
<file path=[Content_Types].xml><?xml version="1.0" encoding="utf-8"?>
<Types xmlns="http://schemas.openxmlformats.org/package/2006/content-types">
  <Default Extension="bin" ContentType="application/vnd.openxmlformats-officedocument.spreadsheetml.printerSettings"/>
  <Default Extension="png" ContentType="image/png"/>
  <Default Extension="jpeg" ContentType="image/jpeg"/>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worksheets/sheet48.xml" ContentType="application/vnd.openxmlformats-officedocument.spreadsheetml.worksheet+xml"/>
  <Override PartName="/xl/worksheets/sheet49.xml" ContentType="application/vnd.openxmlformats-officedocument.spreadsheetml.worksheet+xml"/>
  <Override PartName="/xl/worksheets/sheet50.xml" ContentType="application/vnd.openxmlformats-officedocument.spreadsheetml.worksheet+xml"/>
  <Override PartName="/xl/worksheets/sheet51.xml" ContentType="application/vnd.openxmlformats-officedocument.spreadsheetml.worksheet+xml"/>
  <Override PartName="/xl/worksheets/sheet52.xml" ContentType="application/vnd.openxmlformats-officedocument.spreadsheetml.worksheet+xml"/>
  <Override PartName="/xl/worksheets/sheet53.xml" ContentType="application/vnd.openxmlformats-officedocument.spreadsheetml.worksheet+xml"/>
  <Override PartName="/xl/worksheets/sheet54.xml" ContentType="application/vnd.openxmlformats-officedocument.spreadsheetml.worksheet+xml"/>
  <Override PartName="/xl/worksheets/sheet55.xml" ContentType="application/vnd.openxmlformats-officedocument.spreadsheetml.worksheet+xml"/>
  <Override PartName="/xl/worksheets/sheet56.xml" ContentType="application/vnd.openxmlformats-officedocument.spreadsheetml.worksheet+xml"/>
  <Override PartName="/xl/worksheets/sheet57.xml" ContentType="application/vnd.openxmlformats-officedocument.spreadsheetml.worksheet+xml"/>
  <Override PartName="/xl/worksheets/sheet58.xml" ContentType="application/vnd.openxmlformats-officedocument.spreadsheetml.worksheet+xml"/>
  <Override PartName="/xl/worksheets/sheet59.xml" ContentType="application/vnd.openxmlformats-officedocument.spreadsheetml.worksheet+xml"/>
  <Override PartName="/xl/worksheets/sheet60.xml" ContentType="application/vnd.openxmlformats-officedocument.spreadsheetml.worksheet+xml"/>
  <Override PartName="/xl/worksheets/sheet61.xml" ContentType="application/vnd.openxmlformats-officedocument.spreadsheetml.worksheet+xml"/>
  <Override PartName="/xl/worksheets/sheet62.xml" ContentType="application/vnd.openxmlformats-officedocument.spreadsheetml.worksheet+xml"/>
  <Override PartName="/xl/worksheets/sheet63.xml" ContentType="application/vnd.openxmlformats-officedocument.spreadsheetml.worksheet+xml"/>
  <Override PartName="/xl/worksheets/sheet64.xml" ContentType="application/vnd.openxmlformats-officedocument.spreadsheetml.worksheet+xml"/>
  <Override PartName="/xl/worksheets/sheet65.xml" ContentType="application/vnd.openxmlformats-officedocument.spreadsheetml.worksheet+xml"/>
  <Override PartName="/xl/worksheets/sheet66.xml" ContentType="application/vnd.openxmlformats-officedocument.spreadsheetml.worksheet+xml"/>
  <Override PartName="/xl/worksheets/sheet67.xml" ContentType="application/vnd.openxmlformats-officedocument.spreadsheetml.worksheet+xml"/>
  <Override PartName="/xl/worksheets/sheet68.xml" ContentType="application/vnd.openxmlformats-officedocument.spreadsheetml.worksheet+xml"/>
  <Override PartName="/xl/worksheets/sheet69.xml" ContentType="application/vnd.openxmlformats-officedocument.spreadsheetml.worksheet+xml"/>
  <Override PartName="/xl/worksheets/sheet70.xml" ContentType="application/vnd.openxmlformats-officedocument.spreadsheetml.worksheet+xml"/>
  <Override PartName="/xl/worksheets/sheet71.xml" ContentType="application/vnd.openxmlformats-officedocument.spreadsheetml.worksheet+xml"/>
  <Override PartName="/xl/worksheets/sheet72.xml" ContentType="application/vnd.openxmlformats-officedocument.spreadsheetml.worksheet+xml"/>
  <Override PartName="/xl/worksheets/sheet73.xml" ContentType="application/vnd.openxmlformats-officedocument.spreadsheetml.worksheet+xml"/>
  <Override PartName="/xl/worksheets/sheet74.xml" ContentType="application/vnd.openxmlformats-officedocument.spreadsheetml.worksheet+xml"/>
  <Override PartName="/xl/worksheets/sheet75.xml" ContentType="application/vnd.openxmlformats-officedocument.spreadsheetml.worksheet+xml"/>
  <Override PartName="/xl/worksheets/sheet76.xml" ContentType="application/vnd.openxmlformats-officedocument.spreadsheetml.worksheet+xml"/>
  <Override PartName="/xl/worksheets/sheet77.xml" ContentType="application/vnd.openxmlformats-officedocument.spreadsheetml.worksheet+xml"/>
  <Override PartName="/xl/worksheets/sheet78.xml" ContentType="application/vnd.openxmlformats-officedocument.spreadsheetml.worksheet+xml"/>
  <Override PartName="/xl/worksheets/sheet79.xml" ContentType="application/vnd.openxmlformats-officedocument.spreadsheetml.worksheet+xml"/>
  <Override PartName="/xl/worksheets/sheet80.xml" ContentType="application/vnd.openxmlformats-officedocument.spreadsheetml.worksheet+xml"/>
  <Override PartName="/xl/worksheets/sheet81.xml" ContentType="application/vnd.openxmlformats-officedocument.spreadsheetml.worksheet+xml"/>
  <Override PartName="/xl/worksheets/sheet82.xml" ContentType="application/vnd.openxmlformats-officedocument.spreadsheetml.worksheet+xml"/>
  <Override PartName="/xl/worksheets/sheet83.xml" ContentType="application/vnd.openxmlformats-officedocument.spreadsheetml.worksheet+xml"/>
  <Override PartName="/xl/worksheets/sheet84.xml" ContentType="application/vnd.openxmlformats-officedocument.spreadsheetml.worksheet+xml"/>
  <Override PartName="/xl/worksheets/sheet85.xml" ContentType="application/vnd.openxmlformats-officedocument.spreadsheetml.worksheet+xml"/>
  <Override PartName="/xl/worksheets/sheet86.xml" ContentType="application/vnd.openxmlformats-officedocument.spreadsheetml.worksheet+xml"/>
  <Override PartName="/xl/worksheets/sheet87.xml" ContentType="application/vnd.openxmlformats-officedocument.spreadsheetml.worksheet+xml"/>
  <Override PartName="/xl/worksheets/sheet88.xml" ContentType="application/vnd.openxmlformats-officedocument.spreadsheetml.worksheet+xml"/>
  <Override PartName="/xl/worksheets/sheet8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omments1.xml" ContentType="application/vnd.openxmlformats-officedocument.spreadsheetml.comments+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comments2.xml" ContentType="application/vnd.openxmlformats-officedocument.spreadsheetml.comments+xml"/>
  <Override PartName="/xl/comments3.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2"/>
  <workbookPr/>
  <bookViews>
    <workbookView xWindow="630" yWindow="570" windowWidth="27495" windowHeight="11700" tabRatio="852" firstSheet="1" activeTab="1"/>
  </bookViews>
  <sheets>
    <sheet name="Инструкция" sheetId="1" r:id="rId1"/>
    <sheet name="Титульный" sheetId="2" r:id="rId2"/>
    <sheet name="Список территорий" sheetId="3" r:id="rId3"/>
    <sheet name="Дифференциация" sheetId="4" r:id="rId4"/>
    <sheet name="Перечень тарифов" sheetId="5" state="hidden" r:id="rId5"/>
    <sheet name="Дифференциация тариф показатель" sheetId="6" state="hidden" r:id="rId6"/>
    <sheet name="Общая информация об организации" sheetId="7" state="hidden" r:id="rId7"/>
    <sheet name="Общая информация по ВД" sheetId="8" state="hidden" r:id="rId8"/>
    <sheet name="Виды объектов" sheetId="9" state="hidden" r:id="rId9"/>
    <sheet name="Сведения по территориям" sheetId="10" state="hidden" r:id="rId10"/>
    <sheet name="ТС. Т-ТЭ | &gt;=25МВт" sheetId="11" state="hidden" r:id="rId11"/>
    <sheet name="ТС. Т-ТЭ | ТСО" sheetId="12" state="hidden" r:id="rId12"/>
    <sheet name="ТС. Т-ТЭ | предел" sheetId="13" state="hidden" r:id="rId13"/>
    <sheet name="ТС. Т-ТЭ | индикат" sheetId="14" state="hidden" r:id="rId14"/>
    <sheet name="ТС. Резерв мощности" sheetId="15" state="hidden" r:id="rId15"/>
    <sheet name="ТС. Т-ТН" sheetId="16" state="hidden" r:id="rId16"/>
    <sheet name="ТС. Т-передача ТЭ" sheetId="17" state="hidden" r:id="rId17"/>
    <sheet name="ТС. Т-передача ТН" sheetId="18" state="hidden" r:id="rId18"/>
    <sheet name="ТС. Т-гор.вода" sheetId="19" state="hidden" r:id="rId19"/>
    <sheet name="ТС. Т-подкл" sheetId="20" state="hidden" r:id="rId20"/>
    <sheet name="ХВС. Т-пит" sheetId="21" state="hidden" r:id="rId21"/>
    <sheet name="ХВС. Т-тех" sheetId="22" state="hidden" r:id="rId22"/>
    <sheet name="ХВС. Т-транс" sheetId="23" state="hidden" r:id="rId23"/>
    <sheet name="ХВС. Т-подвоз" sheetId="24" state="hidden" r:id="rId24"/>
    <sheet name="ТС. Т-подкл(инд)" sheetId="25" state="hidden" r:id="rId25"/>
    <sheet name="ХВС. Т-подкл" sheetId="26" state="hidden" r:id="rId26"/>
    <sheet name="ВО. Т-во" sheetId="27" state="hidden" r:id="rId27"/>
    <sheet name="ВО. Т-транс" sheetId="28" state="hidden" r:id="rId28"/>
    <sheet name="ВО. Т-подкл" sheetId="29" state="hidden" r:id="rId29"/>
    <sheet name="ГВС. Т-гор.вода" sheetId="30" state="hidden" r:id="rId30"/>
    <sheet name="ГВС. Т-транс" sheetId="31" state="hidden" r:id="rId31"/>
    <sheet name="ГВС. Т-подкл" sheetId="32" state="hidden" r:id="rId32"/>
    <sheet name="Показатели ФХД" sheetId="33" state="hidden" r:id="rId33"/>
    <sheet name="Показатели ФХД &gt;20%" sheetId="34" state="hidden" r:id="rId34"/>
    <sheet name="Показатели ОТЭП" sheetId="35" state="hidden" r:id="rId35"/>
    <sheet name="Стандарты качества" sheetId="36" state="hidden" r:id="rId36"/>
    <sheet name="ТКО. Показатели ФХД" sheetId="37" state="hidden" r:id="rId37"/>
    <sheet name="ТКО. Транс. Показатели ФХД" sheetId="38" state="hidden" r:id="rId38"/>
    <sheet name="Показатели КНЭ" sheetId="39" state="hidden" r:id="rId39"/>
    <sheet name="Ограничения" sheetId="40" r:id="rId40"/>
    <sheet name="ИП" sheetId="41" state="hidden" r:id="rId41"/>
    <sheet name="ИП. Детализация" sheetId="42" state="hidden" r:id="rId42"/>
    <sheet name="ИП. Финансовый план" sheetId="43" state="hidden" r:id="rId43"/>
    <sheet name="ИП. КНЭ" sheetId="44" state="hidden" r:id="rId44"/>
    <sheet name="ТП" sheetId="45" r:id="rId45"/>
    <sheet name="Договоры" sheetId="46" state="hidden" r:id="rId46"/>
    <sheet name="Порядок ТП" sheetId="47" state="hidden" r:id="rId47"/>
    <sheet name="Предложение" sheetId="48" state="hidden" r:id="rId48"/>
    <sheet name="Сведения о закупках" sheetId="49" state="hidden" r:id="rId49"/>
    <sheet name="Потребительские характеристики" sheetId="50" state="hidden" r:id="rId50"/>
    <sheet name="TEHSHEET" sheetId="51" state="hidden" r:id="rId51"/>
    <sheet name="Орган регулирования" sheetId="52" state="hidden" r:id="rId52"/>
    <sheet name="Перечень организаций" sheetId="53" state="hidden" r:id="rId53"/>
    <sheet name="Дела об установлении тарифов" sheetId="54" state="hidden" r:id="rId54"/>
    <sheet name="Дела об утверждении ПУЦ" sheetId="55" state="hidden" r:id="rId55"/>
    <sheet name="Привлечение к ответственности" sheetId="56" state="hidden" r:id="rId56"/>
    <sheet name="ЭД" sheetId="57" state="hidden" r:id="rId57"/>
    <sheet name="Сведения об изменении" sheetId="58" state="hidden" r:id="rId58"/>
    <sheet name="Комментарии" sheetId="59" r:id="rId59"/>
    <sheet name="Проверка" sheetId="60" state="hidden" r:id="rId60"/>
    <sheet name="et_union_hor" sheetId="61" state="hidden" r:id="rId61"/>
    <sheet name="DATA_FORMS" sheetId="62" state="hidden" r:id="rId62"/>
    <sheet name="DATA_NPA" sheetId="63" state="hidden" r:id="rId63"/>
    <sheet name="Т-ТЭ | потр" sheetId="64" state="hidden" r:id="rId64"/>
    <sheet name="modMainProcedures" sheetId="65" state="hidden" r:id="rId65"/>
    <sheet name="modB_FHD" sheetId="66" state="hidden" r:id="rId66"/>
    <sheet name="modB_FHD20" sheetId="67" state="hidden" r:id="rId67"/>
    <sheet name="modB_KNE" sheetId="68" state="hidden" r:id="rId68"/>
    <sheet name="modIP_MAIN" sheetId="69" state="hidden" r:id="rId69"/>
    <sheet name="modIP_QRE" sheetId="70" state="hidden" r:id="rId70"/>
    <sheet name="modIP_DETAILED" sheetId="71" state="hidden" r:id="rId71"/>
    <sheet name="et_union_vert" sheetId="72" state="hidden" r:id="rId72"/>
    <sheet name="Легенда" sheetId="73" state="hidden" r:id="rId73"/>
    <sheet name="modfrmListIP" sheetId="74" state="hidden" r:id="rId74"/>
    <sheet name="modfrmActivity" sheetId="75" state="hidden" r:id="rId75"/>
    <sheet name="REESTR_ORG" sheetId="76" state="hidden" r:id="rId76"/>
    <sheet name="REESTR_MO" sheetId="77" state="hidden" r:id="rId77"/>
    <sheet name="REESTR_IP" sheetId="78" state="hidden" r:id="rId78"/>
    <sheet name="REESTR_OBJ_INFR" sheetId="79" state="hidden" r:id="rId79"/>
    <sheet name="REESTR_DS" sheetId="80" state="hidden" r:id="rId80"/>
    <sheet name="REESTR_VT" sheetId="81" state="hidden" r:id="rId81"/>
    <sheet name="REESTR_VED" sheetId="82" state="hidden" r:id="rId82"/>
    <sheet name="REESTR_MO_FILTER" sheetId="83" state="hidden" r:id="rId83"/>
    <sheet name="REESTR_LINK" sheetId="84" state="hidden" r:id="rId84"/>
    <sheet name="modSheetMain" sheetId="85" state="hidden" r:id="rId85"/>
    <sheet name="modfrmReportMode" sheetId="86" state="hidden" r:id="rId86"/>
    <sheet name="modfrmReestrObj" sheetId="87" state="hidden" r:id="rId87"/>
    <sheet name="AllSheetsInThisWorkbook" sheetId="88" state="hidden" r:id="rId88"/>
    <sheet name="modInfo" sheetId="89" state="hidden" r:id="rId89"/>
  </sheets>
  <definedNames>
    <definedName name="_xlnm._FilterDatabase" localSheetId="59">Проверка!$B$4:$E$5</definedName>
    <definedName name="anscount">1</definedName>
    <definedName name="B_FHD_CHECK_INDEX_1">'Показатели ФХД'!$L$66</definedName>
    <definedName name="B_FHD_CHECK_INDEX_2">'Показатели ФХД'!$L$68</definedName>
    <definedName name="B_FHD_COSTS_INDEX_1">'Показатели ФХД'!$H$65:$J$65</definedName>
    <definedName name="B_FHD_COSTS_INDEX_2">'Показатели ФХД'!$H$67:$J$67</definedName>
    <definedName name="B_FHD_DATA_TOP80_ACTIVITY">'Показатели ФХД'!$H$81:$J$81</definedName>
    <definedName name="B_FHD_diff_1">'Показатели ФХД'!$I$25:$I$27</definedName>
    <definedName name="B_FHD_FLAG_DIFFERENTIATION">'Показатели ФХД'!$H$24:$J$24</definedName>
    <definedName name="B_FHD_FLAG_INDEX_1">'Показатели ФХД'!$H$66:$J$66</definedName>
    <definedName name="B_FHD_FLAG_INDEX_2">'Показатели ФХД'!$H$68:$J$68</definedName>
    <definedName name="B_FHD_TKO_DATA_TOP80_ACTIVITY">'ТКО. Показатели ФХД'!$H$43:$J$43</definedName>
    <definedName name="B_FHD_TKO_diff_1">'ТКО. Показатели ФХД'!$I$10:$I$12</definedName>
    <definedName name="B_FHD_TKO_FLAG_DIFFERENTIATION">'ТКО. Показатели ФХД'!$H$9:$J$9</definedName>
    <definedName name="B_FHD_TKO_TRANS_DATA_TOP80_ACTIVITY">'ТКО. Транс. Показатели ФХД'!$H$35:$J$35</definedName>
    <definedName name="B_FHD_TKO_TRANS_diff_1">'ТКО. Транс. Показатели ФХД'!$I$10:$I$12</definedName>
    <definedName name="B_FHD_TKO_TRANS_FLAG_DIFFERENTIATION">'ТКО. Транс. Показатели ФХД'!$H$9:$J$9</definedName>
    <definedName name="B_FHD20_ADD_HL_2_COLUMN_MARKER">'Показатели ФХД &gt;20%'!$G$8</definedName>
    <definedName name="B_FHD20_ADD_HL_3_COLUMN_MARKER">'Показатели ФХД &gt;20%'!$J$8</definedName>
    <definedName name="B_FHD20_ADD_HL_4_COLUMN_MARKER">'Показатели ФХД &gt;20%'!$N$8</definedName>
    <definedName name="B_FHD20_ALL_DATA">'Показатели ФХД &gt;20%'!$D$13:$S$23</definedName>
    <definedName name="B_FHD20_COSTS_OPS_diff_1">'Показатели ФХД &gt;20%'!$Q$17</definedName>
    <definedName name="B_FHD20_COSTS_PH_diff_1">'Показатели ФХД &gt;20%'!$Q$20</definedName>
    <definedName name="B_FHD20_DEL_HL_2_COLUMN_MARKER">'Показатели ФХД &gt;20%'!$E$8</definedName>
    <definedName name="B_FHD20_DEL_HL_3_COLUMN_MARKER">'Показатели ФХД &gt;20%'!$H$8</definedName>
    <definedName name="B_FHD20_DEL_HL_4_COLUMN_MARKER">'Показатели ФХД &gt;20%'!$L$8</definedName>
    <definedName name="B_FHD20_diff_1">'Показатели ФХД &gt;20%'!$H$14:$R$16</definedName>
    <definedName name="B_FHD20_FLAG_FHD">'Показатели ФХД &gt;20%'!$V$11:$V$23</definedName>
    <definedName name="B_FHD20_NUMBER_COLUMN_MARKER">'Показатели ФХД &gt;20%'!$D$8</definedName>
    <definedName name="B_FHD20_PART_COLUMN_MARKER">'Показатели ФХД &gt;20%'!$R$8</definedName>
    <definedName name="B_KNE_diff_1">'Показатели КНЭ'!$I$7:$J$9</definedName>
    <definedName name="B_OTEP_diff_1">'Показатели ОТЭП'!$L$10:$L$12</definedName>
    <definedName name="B_OTEP_FLAG_DIFFERENTIATION">'Показатели ОТЭП'!$L$9:$O$9</definedName>
    <definedName name="B_OTEP_HEAT_DATA_TOP80_ACTIVITY">'Показатели ОТЭП'!$L$15:$O$15</definedName>
    <definedName name="BLOCK_BALANCE_INDICATORS">Титульный!$50:$60</definedName>
    <definedName name="BLOCK_BALANCE_TKO_FLAG_TRANS">Титульный!$61:$62</definedName>
    <definedName name="BLOCK_CONNECTION_STATE">Титульный!$48:$49</definedName>
    <definedName name="BLOCK_DIFF_CS">Титульный!$40:$41</definedName>
    <definedName name="BLOCK_DIFFERENTIATION_NOT_TKO">Дифференциация!$J:$M</definedName>
    <definedName name="BLOCK_FIRST_TARIFF">Титульный!$20:$24</definedName>
    <definedName name="BLOCK_FIRST_TARIFF_OREG_PUBL">Титульный!$23:$24</definedName>
    <definedName name="BLOCK_IP_DETAILED_FACT_IST_FIN">'ИП. Детализация'!$AD:$AE</definedName>
    <definedName name="BLOCK_IP_DETAILED_FACT_PERIOD_EVENT">'ИП. Детализация'!$AI:$AK</definedName>
    <definedName name="BLOCK_MAIN_INFO_HEAT">'Общая информация об организации'!$19:$24</definedName>
    <definedName name="BLOCK_MAIN_INFO_NOT_TKO">'Общая информация об организации'!$46:$49</definedName>
    <definedName name="BLOCK_MAIN_INFO_OBJECT_COLDVSNA">'Общая информация по ВД'!$X:$Z</definedName>
    <definedName name="BLOCK_MAIN_INFO_OBJECT_COMM_COLDVSNA">'Общая информация по ВД'!$AG:$AG</definedName>
    <definedName name="BLOCK_MAIN_INFO_OBJECT_COMM_HEAT">'Общая информация по ВД'!$AE:$AE</definedName>
    <definedName name="BLOCK_MAIN_INFO_OBJECT_COMM_HOTVSNA">'Общая информация по ВД'!$AH:$AH</definedName>
    <definedName name="BLOCK_MAIN_INFO_OBJECT_COMM_VOTV">'Общая информация по ВД'!$AF:$AF</definedName>
    <definedName name="BLOCK_MAIN_INFO_OBJECT_HEAT">'Общая информация по ВД'!$H:$R</definedName>
    <definedName name="BLOCK_MAIN_INFO_OBJECT_HOTVSNA">'Общая информация по ВД'!$AB:$AC</definedName>
    <definedName name="BLOCK_MAIN_INFO_OBJECT_VOTV">'Общая информация по ВД'!$T:$V</definedName>
    <definedName name="BLOCK_NOT_ROIV_INDICATORS_1">Титульный!$37:$37</definedName>
    <definedName name="BLOCK_NOT_ROIV_INDICATORS_2">Титульный!$38:$39</definedName>
    <definedName name="BLOCK_NOT_ROIV_INDICATORS_3">Титульный!$63:$65</definedName>
    <definedName name="BLOCK_NOTE_P_TARIFF_A">'ТС. Т-ТЭ | &gt;=25МВт'!$58:$60</definedName>
    <definedName name="BLOCK_NOTE_P_TARIFF_A_COLDVSNA">'ХВС. Т-пит'!$54:$55</definedName>
    <definedName name="BLOCK_NOTE_P_TARIFF_A_HOTVSNA">'ГВС. Т-гор.вода'!$55:$56</definedName>
    <definedName name="BLOCK_NOTE_P_TARIFF_A_VOTV">'ВО. Т-во'!$54:$55</definedName>
    <definedName name="BLOCK_NOTE_P_TARIFF_B">'ТС. Т-ТЭ | ТСО'!$58:$60</definedName>
    <definedName name="BLOCK_NOTE_P_TARIFF_B_COLDVSNA">'ХВС. Т-тех'!$54:$55</definedName>
    <definedName name="BLOCK_NOTE_P_TARIFF_B_HOTVSNA">'ГВС. Т-транс'!$55:$56</definedName>
    <definedName name="BLOCK_NOTE_P_TARIFF_B_VOTV">'ВО. Т-транс'!$54:$55</definedName>
    <definedName name="BLOCK_NOTE_P_TARIFF_C">'ТС. Т-ТН'!$58:$61</definedName>
    <definedName name="BLOCK_NOTE_P_TARIFF_C_COLDVSNA">'ХВС. Т-транс'!$54:$55</definedName>
    <definedName name="BLOCK_NOTE_P_TARIFF_C_HOTVSNA">'ГВС. Т-подкл'!$64:$65</definedName>
    <definedName name="BLOCK_NOTE_P_TARIFF_C_VOTV">'ВО. Т-подкл'!$64:$65</definedName>
    <definedName name="BLOCK_NOTE_P_TARIFF_D">'ТС. Т-гор.вода'!$66:$68</definedName>
    <definedName name="BLOCK_NOTE_P_TARIFF_D_COLDVSNA">'ХВС. Т-подвоз'!$54:$55</definedName>
    <definedName name="BLOCK_NOTE_P_TARIFF_E_COLDVSNA">'ХВС. Т-подкл'!$64:$65</definedName>
    <definedName name="BLOCK_NOTE_P_TARIFF_E1">'ТС. Т-передача ТЭ'!$58:$61</definedName>
    <definedName name="BLOCK_NOTE_P_TARIFF_E2">'ТС. Т-передача ТН'!$58:$61</definedName>
    <definedName name="BLOCK_NOTE_P_TARIFF_F">'ТС. Резерв мощности'!$58:$60</definedName>
    <definedName name="BLOCK_NOTE_P_TARIFF_G">'ТС. Т-подкл'!$63:$65</definedName>
    <definedName name="BLOCK_NOTE_P_TARIFF_H">'ТС. Т-подкл(инд)'!$60:$62</definedName>
    <definedName name="BLOCK_NOTE_P_TARIFF_I">'ТС. Т-ТЭ | предел'!$58:$60</definedName>
    <definedName name="BLOCK_NOTE_P_TARIFF_I_1">'ТС. Т-ТЭ | индикат'!$58:$60</definedName>
    <definedName name="BLOCK_NOTE_R_TARIFF_A">'ТС. Т-ТЭ | &gt;=25МВт'!$61:$64</definedName>
    <definedName name="BLOCK_NOTE_R_TARIFF_A_COLDVSNA">'ХВС. Т-пит'!$56:$57</definedName>
    <definedName name="BLOCK_NOTE_R_TARIFF_A_HOTVSNA">'ГВС. Т-гор.вода'!$57:$58</definedName>
    <definedName name="BLOCK_NOTE_R_TARIFF_A_VOTV">'ВО. Т-во'!$56:$57</definedName>
    <definedName name="BLOCK_NOTE_R_TARIFF_B">'ТС. Т-ТЭ | ТСО'!$61:$64</definedName>
    <definedName name="BLOCK_NOTE_R_TARIFF_B_COLDVSNA">'ХВС. Т-тех'!$56:$57</definedName>
    <definedName name="BLOCK_NOTE_R_TARIFF_B_HOTVSNA">'ГВС. Т-транс'!$57:$58</definedName>
    <definedName name="BLOCK_NOTE_R_TARIFF_B_VOTV">'ВО. Т-транс'!$56:$57</definedName>
    <definedName name="BLOCK_NOTE_R_TARIFF_C">'ТС. Т-ТН'!$62:$65</definedName>
    <definedName name="BLOCK_NOTE_R_TARIFF_C_COLDVSNA">'ХВС. Т-транс'!$56:$57</definedName>
    <definedName name="BLOCK_NOTE_R_TARIFF_C_HOTVSNA">'ГВС. Т-подкл'!$66:$67</definedName>
    <definedName name="BLOCK_NOTE_R_TARIFF_C_VOTV">'ВО. Т-подкл'!$66:$67</definedName>
    <definedName name="BLOCK_NOTE_R_TARIFF_D">'ТС. Т-гор.вода'!$69:$71</definedName>
    <definedName name="BLOCK_NOTE_R_TARIFF_D_COLDVSNA">'ХВС. Т-подвоз'!$56:$57</definedName>
    <definedName name="BLOCK_NOTE_R_TARIFF_E_COLDVSNA">'ХВС. Т-подкл'!$66:$67</definedName>
    <definedName name="BLOCK_NOTE_R_TARIFF_E1">'ТС. Т-передача ТЭ'!$62:$65</definedName>
    <definedName name="BLOCK_NOTE_R_TARIFF_E2">'ТС. Т-передача ТН'!$62:$65</definedName>
    <definedName name="BLOCK_NOTE_R_TARIFF_F">'ТС. Резерв мощности'!$61:$64</definedName>
    <definedName name="BLOCK_NOTE_R_TARIFF_G">'ТС. Т-подкл'!$66:$68</definedName>
    <definedName name="BLOCK_NOTE_R_TARIFF_H">'ТС. Т-подкл(инд)'!$63:$65</definedName>
    <definedName name="BLOCK_NOTE_R_TARIFF_I">'ТС. Т-ТЭ | предел'!$61:$64</definedName>
    <definedName name="BLOCK_NOTE_R_TARIFF_I_1">'ТС. Т-ТЭ | индикат'!$61:$64</definedName>
    <definedName name="BLOCK_PERIOD_DATA">Титульный!$13:$13</definedName>
    <definedName name="BLOCK_PERIOD_QUARTER">Титульный!$15:$15</definedName>
    <definedName name="BLOCK_PERIOD_TWO_DATA">Титульный!$11:$12</definedName>
    <definedName name="BLOCK_PERIOD_YEAR">Титульный!$14:$14</definedName>
    <definedName name="BLOCK_POK_FHD_COLDVSNA_P1">'Показатели ФХД'!$82:$90</definedName>
    <definedName name="BLOCK_POK_FHD_COLDVSNA_P2">'Показатели ФХД'!$115:$119</definedName>
    <definedName name="BLOCK_POK_FHD_HEAT_ONLY_REG_ORG_P1">'Показатели ФХД'!$56:$57</definedName>
    <definedName name="BLOCK_POK_FHD_HEAT_ONLY_REG_ORG_P2">'Показатели ФХД'!$80:$131</definedName>
    <definedName name="BLOCK_POK_FHD_HEAT_P1">'Показатели ФХД'!$33:$40</definedName>
    <definedName name="BLOCK_POK_FHD_HEAT_P2">'Показатели ФХД'!$72:$72</definedName>
    <definedName name="BLOCK_POK_FHD_HEAT_P3">'Показатели ФХД'!$99:$111</definedName>
    <definedName name="BLOCK_POK_FHD_HEAT_P4">'Показатели ФХД'!$113:$113</definedName>
    <definedName name="BLOCK_POK_FHD_HEAT_P5">'Показатели ФХД'!$120:$130</definedName>
    <definedName name="BLOCK_POK_FHD_HEAT_P6">'Показатели ФХД'!$47:$47</definedName>
    <definedName name="BLOCK_POK_FHD_HOTVSNA_P1">'Показатели ФХД'!$41:$43</definedName>
    <definedName name="BLOCK_POK_FHD_HOTVSNA_P2">'Показатели ФХД'!$91:$95</definedName>
    <definedName name="BLOCK_POK_FHD_NOT_HEAT_P1">'Показатели ФХД'!$67:$68</definedName>
    <definedName name="BLOCK_POK_FHD_NOT_HEAT_P2">'Показатели ФХД'!$80:$80</definedName>
    <definedName name="BLOCK_POK_FHD_NOT_HOTVSNA">'Показатели ФХД'!$48:$48</definedName>
    <definedName name="BLOCK_POK_FHD_VOTV_P1">'Показатели ФХД'!$96:$98</definedName>
    <definedName name="BLOCK_POK_FHD_VSNA">'Показатели ФХД'!$114:$114</definedName>
    <definedName name="BLOCK_POK_FHD20_NOT_HEAT">'Показатели ФХД &gt;20%'!$20:$22</definedName>
    <definedName name="BLOCK_POK_KNE_COLDVSNA">'Показатели КНЭ'!$37:$63</definedName>
    <definedName name="BLOCK_POK_KNE_HEAT">'Показатели КНЭ'!$13:$35</definedName>
    <definedName name="BLOCK_POK_KNE_HOTVSNA">'Показатели КНЭ'!$65:$75</definedName>
    <definedName name="BLOCK_POK_KNE_VOTV">'Показатели КНЭ'!$77:$100</definedName>
    <definedName name="BLOCK_PRICE_INDICATORS_HEAT">Титульный!$42:$47</definedName>
    <definedName name="BLOCK_PRICE_INDICATORS_LEVEL">Титульный!$43:$44</definedName>
    <definedName name="BLOCK_PRICE_IST_TE">'Перечень тарифов'!$S:$V</definedName>
    <definedName name="BLOCK_PRICE_REQUEST">Титульный!$20:$24</definedName>
    <definedName name="BLOCK_PT_COLDVSNA">'Перечень тарифов'!$79:$103</definedName>
    <definedName name="BLOCK_PT_HEAT">'Перечень тарифов'!$13:$77</definedName>
    <definedName name="BLOCK_PT_HEAT_NOT_R">'Перечень тарифов'!$63:$67</definedName>
    <definedName name="BLOCK_PT_HEAT_NOT_R_TMP">'Перечень тарифов'!$58:$62</definedName>
    <definedName name="BLOCK_PT_HEAT_PHEAT">'Перечень тарифов'!$23:$27</definedName>
    <definedName name="BLOCK_PT_HEAT_PHEAT_HIDDEN_FORMULAS">'Перечень тарифов'!$Z$23:$AQ$23</definedName>
    <definedName name="BLOCK_PT_HEAT_RHEAT">'Перечень тарифов'!$18:$22</definedName>
    <definedName name="BLOCK_PT_HEAT_RHEAT_HIDDEN_FORMULAS">'Перечень тарифов'!$Z$18:$AQ$18</definedName>
    <definedName name="BLOCK_PT_HOTVSNA">'Перечень тарифов'!$105:$119</definedName>
    <definedName name="BLOCK_PT_VOTV">'Перечень тарифов'!$121:$135</definedName>
    <definedName name="BLOCK_TABLE_P_TARIFF_A">'ТС. Т-ТЭ | &gt;=25МВт'!$28:$32</definedName>
    <definedName name="BLOCK_TABLE_P_TARIFF_A_COLDVSNA">'ХВС. Т-пит'!$26:$30</definedName>
    <definedName name="BLOCK_TABLE_P_TARIFF_A_HOTVSNA">'ГВС. Т-гор.вода'!$26:$30</definedName>
    <definedName name="BLOCK_TABLE_P_TARIFF_A_VOTV">'ВО. Т-во'!$26:$30</definedName>
    <definedName name="BLOCK_TABLE_P_TARIFF_B">'ТС. Т-ТЭ | ТСО'!$28:$32</definedName>
    <definedName name="BLOCK_TABLE_P_TARIFF_B_COLDVSNA">'ХВС. Т-тех'!$26:$30</definedName>
    <definedName name="BLOCK_TABLE_P_TARIFF_B_HOTVSNA">'ГВС. Т-транс'!$26:$30</definedName>
    <definedName name="BLOCK_TABLE_P_TARIFF_B_VOTV">'ВО. Т-транс'!$26:$30</definedName>
    <definedName name="BLOCK_TABLE_P_TARIFF_C">'ТС. Т-ТН'!$28:$32</definedName>
    <definedName name="BLOCK_TABLE_P_TARIFF_C_COLDVSNA">'ХВС. Т-транс'!$26:$30</definedName>
    <definedName name="BLOCK_TABLE_P_TARIFF_C_HOTVSNA">'ГВС. Т-подкл'!$30:$34</definedName>
    <definedName name="BLOCK_TABLE_P_TARIFF_C_VOTV">'ВО. Т-подкл'!$30:$34</definedName>
    <definedName name="BLOCK_TABLE_P_TARIFF_D">'ТС. Т-гор.вода'!$32:$36</definedName>
    <definedName name="BLOCK_TABLE_P_TARIFF_D_COLDVSNA">'ХВС. Т-подвоз'!$26:$30</definedName>
    <definedName name="BLOCK_TABLE_P_TARIFF_E_COLDVSNA">'ХВС. Т-подкл'!$30:$34</definedName>
    <definedName name="BLOCK_TABLE_P_TARIFF_E1">'ТС. Т-передача ТЭ'!$28:$32</definedName>
    <definedName name="BLOCK_TABLE_P_TARIFF_E2">'ТС. Т-передача ТН'!$28:$32</definedName>
    <definedName name="BLOCK_TABLE_P_TARIFF_F">'ТС. Резерв мощности'!$28:$32</definedName>
    <definedName name="BLOCK_TABLE_P_TARIFF_G">'ТС. Т-подкл'!$29:$33</definedName>
    <definedName name="BLOCK_TABLE_P_TARIFF_H">'ТС. Т-подкл(инд)'!$26:$30</definedName>
    <definedName name="BLOCK_TABLE_P_TARIFF_I">'ТС. Т-ТЭ | предел'!$28:$32</definedName>
    <definedName name="BLOCK_TABLE_P_TARIFF_I_1">'ТС. Т-ТЭ | индикат'!$28:$32</definedName>
    <definedName name="BLOCK_TABLE_R_TARIFF_A">'ТС. Т-ТЭ | &gt;=25МВт'!$33:$35</definedName>
    <definedName name="BLOCK_TABLE_R_TARIFF_A_COLDVSNA">'ХВС. Т-пит'!$31:$33</definedName>
    <definedName name="BLOCK_TABLE_R_TARIFF_A_HOTVSNA">'ГВС. Т-гор.вода'!$31:$33</definedName>
    <definedName name="BLOCK_TABLE_R_TARIFF_A_VOTV">'ВО. Т-во'!$31:$33</definedName>
    <definedName name="BLOCK_TABLE_R_TARIFF_B">'ТС. Т-ТЭ | ТСО'!$33:$35</definedName>
    <definedName name="BLOCK_TABLE_R_TARIFF_B_COLDVSNA">'ХВС. Т-тех'!$31:$33</definedName>
    <definedName name="BLOCK_TABLE_R_TARIFF_B_HOTVSNA">'ГВС. Т-транс'!$31:$33</definedName>
    <definedName name="BLOCK_TABLE_R_TARIFF_B_VOTV">'ВО. Т-транс'!$31:$33</definedName>
    <definedName name="BLOCK_TABLE_R_TARIFF_C">'ТС. Т-ТН'!$33:$35</definedName>
    <definedName name="BLOCK_TABLE_R_TARIFF_C_COLDVSNA">'ХВС. Т-транс'!$31:$33</definedName>
    <definedName name="BLOCK_TABLE_R_TARIFF_C_HOTVSNA">'ГВС. Т-подкл'!$35:$37</definedName>
    <definedName name="BLOCK_TABLE_R_TARIFF_C_VOTV">'ВО. Т-подкл'!$35:$37</definedName>
    <definedName name="BLOCK_TABLE_R_TARIFF_D">'ТС. Т-гор.вода'!$37:$39</definedName>
    <definedName name="BLOCK_TABLE_R_TARIFF_D_COLDVSNA">'ХВС. Т-подвоз'!$31:$33</definedName>
    <definedName name="BLOCK_TABLE_R_TARIFF_E_COLDVSNA">'ХВС. Т-подкл'!$35:$37</definedName>
    <definedName name="BLOCK_TABLE_R_TARIFF_E1">'ТС. Т-передача ТЭ'!$33:$35</definedName>
    <definedName name="BLOCK_TABLE_R_TARIFF_E2">'ТС. Т-передача ТН'!$33:$35</definedName>
    <definedName name="BLOCK_TABLE_R_TARIFF_F">'ТС. Резерв мощности'!$33:$35</definedName>
    <definedName name="BLOCK_TABLE_R_TARIFF_G">'ТС. Т-подкл'!$34:$36</definedName>
    <definedName name="BLOCK_TABLE_R_TARIFF_H">'ТС. Т-подкл(инд)'!$31:$33</definedName>
    <definedName name="BLOCK_TABLE_R_TARIFF_I">'ТС. Т-ТЭ | предел'!$33:$35</definedName>
    <definedName name="BLOCK_TABLE_R_TARIFF_I_1">'ТС. Т-ТЭ | индикат'!$33:$35</definedName>
    <definedName name="BLOCK_TEMPLATES_INVEST_TIT">Титульный!$59:$60</definedName>
    <definedName name="BLOCK_TERMS_HEAT_P1">Договоры!$19:$19</definedName>
    <definedName name="BLOCK_TERMS_NOT_TKO_P1">Договоры!$16:$18</definedName>
    <definedName name="BLOCK_TERMS_NOT_TKO_P2">Договоры!$20:$22</definedName>
    <definedName name="BLOCK_TERMS_TKO_TRANS">Договоры!$23:$26</definedName>
    <definedName name="BLOCK_TERRITORY_INFO">'Список территорий'!$7:$7</definedName>
    <definedName name="BLOCK_TITLE_ROIV_INFO">Титульный!$9:$9</definedName>
    <definedName name="BLOCK_WARM_ORG_TYPE">Титульный!$36:$36</definedName>
    <definedName name="checkCell_List01">'Список территорий'!$E$15:$I$15</definedName>
    <definedName name="checkCell_List07">'Сведения об изменении'!$D$11:$E$13</definedName>
    <definedName name="CLASS_TKO_LIST">TEHSHEET!$AZ$90:$AZ$94</definedName>
    <definedName name="code">Инструкция!$B$2</definedName>
    <definedName name="CodeTemplateList">TEHSHEET!$F$46:$F$53</definedName>
    <definedName name="COLDVSNA_FIN_SRC_LIST">TEHSHEET!$BJ$4:$BJ$34</definedName>
    <definedName name="COLDVSNA_FIN_SRC_VLD_LIST">TEHSHEET!$BJ$39:$BJ$60</definedName>
    <definedName name="COLDVSNA_IP_EVENT_CI_STAGE_LIST">TEHSHEET!$BJ$97:$BJ$100</definedName>
    <definedName name="COLDVSNA_IP_EVENT_GROUP_LIST">TEHSHEET!$BJ$69:$BJ$76</definedName>
    <definedName name="COLDVSNA_IP_EVENT_SUBGROUP_1_LIST">TEHSHEET!$BJ$80:$BJ$83</definedName>
    <definedName name="COLDVSNA_IP_EVENT_SUBGROUP_3_LIST">TEHSHEET!$BJ$87:$BJ$88</definedName>
    <definedName name="COLDVSNA_IP_EVENT_SUBGROUP_5_LIST">TEHSHEET!$BJ$92:$BJ$93</definedName>
    <definedName name="COLDVSNA_IP_EVENT_TYPE_LIST">TEHSHEET!$BJ$108</definedName>
    <definedName name="COLDVSNA_PT_VED_ID">TEHSHEET!$BT$19:$BT$25</definedName>
    <definedName name="COLDVSNA_PT_VED_NAME">TEHSHEET!$BU$19:$BU$25</definedName>
    <definedName name="COLDVSNA_PT_VED_NAME_LIST">TEHSHEET!$BT$19:$BU$25</definedName>
    <definedName name="COLDVSNA_TARIFF_A_COLDVSNA_ADD_HL_COLUMN_MARKER">'ХВС. Т-пит'!$T$34</definedName>
    <definedName name="COLDVSNA_TARIFF_A_COLDVSNA_DEL_HL_DATA_DIFF_COLUMN_MARKER">'ХВС. Т-пит'!$R$34</definedName>
    <definedName name="COLDVSNA_TARIFF_A_COLDVSNA_DEL_HL_FLAG_DIFF_COLUMN_MARKER">'ХВС. Т-пит'!$P$34</definedName>
    <definedName name="COLDVSNA_TARIFF_A_COLDVSNA_DEL_HL_GC_COLUMN_MARKER">'ХВС. Т-пит'!$Q$34</definedName>
    <definedName name="COLDVSNA_TARIFF_A_COLDVSNA_DELETE_PERIOD_ROW_MARKER">'ХВС. Т-пит'!$O$35</definedName>
    <definedName name="COLDVSNA_TARIFF_A_COLDVSNA_FLAG_BLOCK_COLUMN_MARKER">'ХВС. Т-пит'!$L$36</definedName>
    <definedName name="COLDVSNA_TARIFF_A_COLDVSNA_FLAG_BLOCK_ROW_MARKER">'ХВС. Т-пит'!$O$20</definedName>
    <definedName name="COLDVSNA_TARIFF_A_COLDVSNA_NUM_CS_COLUMN_MARKER">'ХВС. Т-пит'!$G$36</definedName>
    <definedName name="COLDVSNA_TARIFF_A_COLDVSNA_NUM_DATA_DIFF_COLUMN_MARKER">'ХВС. Т-пит'!$K$36</definedName>
    <definedName name="COLDVSNA_TARIFF_A_COLDVSNA_NUM_FLAG_DIFF_COLUMN_MARKER">'ХВС. Т-пит'!$I$36</definedName>
    <definedName name="COLDVSNA_TARIFF_A_COLDVSNA_NUM_GC_COLUMN_MARKER">'ХВС. Т-пит'!$J$36</definedName>
    <definedName name="COLDVSNA_TARIFF_A_COLDVSNA_NUM_NTAR_COLUMN_MARKER">'ХВС. Т-пит'!$E$36</definedName>
    <definedName name="COLDVSNA_TARIFF_A_COLDVSNA_NUM_TER_COLUMN_MARKER">'ХВС. Т-пит'!$F$36</definedName>
    <definedName name="COLDVSNA_TARIFF_B_COLDVSNA_ADD_HL_COLUMN_MARKER">'ХВС. Т-тех'!$T$34</definedName>
    <definedName name="COLDVSNA_TARIFF_B_COLDVSNA_DEL_HL_DATA_DIFF_COLUMN_MARKER">'ХВС. Т-тех'!$R$34</definedName>
    <definedName name="COLDVSNA_TARIFF_B_COLDVSNA_DEL_HL_FLAG_DIFF_COLUMN_MARKER">'ХВС. Т-тех'!$P$34</definedName>
    <definedName name="COLDVSNA_TARIFF_B_COLDVSNA_DEL_HL_GC_COLUMN_MARKER">'ХВС. Т-тех'!$Q$34</definedName>
    <definedName name="COLDVSNA_TARIFF_B_COLDVSNA_DELETE_PERIOD_ROW_MARKER">'ХВС. Т-тех'!$O$35</definedName>
    <definedName name="COLDVSNA_TARIFF_B_COLDVSNA_FLAG_BLOCK_COLUMN_MARKER">'ХВС. Т-тех'!$L$36</definedName>
    <definedName name="COLDVSNA_TARIFF_B_COLDVSNA_FLAG_BLOCK_ROW_MARKER">'ХВС. Т-тех'!$O$20</definedName>
    <definedName name="COLDVSNA_TARIFF_B_COLDVSNA_NUM_CS_COLUMN_MARKER">'ХВС. Т-тех'!$G$36</definedName>
    <definedName name="COLDVSNA_TARIFF_B_COLDVSNA_NUM_DATA_DIFF_COLUMN_MARKER">'ХВС. Т-тех'!$K$36</definedName>
    <definedName name="COLDVSNA_TARIFF_B_COLDVSNA_NUM_FLAG_DIFF_COLUMN_MARKER">'ХВС. Т-тех'!$I$36</definedName>
    <definedName name="COLDVSNA_TARIFF_B_COLDVSNA_NUM_GC_COLUMN_MARKER">'ХВС. Т-тех'!$J$36</definedName>
    <definedName name="COLDVSNA_TARIFF_B_COLDVSNA_NUM_NTAR_COLUMN_MARKER">'ХВС. Т-тех'!$E$36</definedName>
    <definedName name="COLDVSNA_TARIFF_B_COLDVSNA_NUM_TER_COLUMN_MARKER">'ХВС. Т-тех'!$F$36</definedName>
    <definedName name="COLDVSNA_TARIFF_C_COLDVSNA_ADD_HL_COLUMN_MARKER">'ХВС. Т-транс'!$T$34</definedName>
    <definedName name="COLDVSNA_TARIFF_C_COLDVSNA_DEL_HL_DATA_DIFF_COLUMN_MARKER">'ХВС. Т-транс'!$R$34</definedName>
    <definedName name="COLDVSNA_TARIFF_C_COLDVSNA_DEL_HL_FLAG_DIFF_COLUMN_MARKER">'ХВС. Т-транс'!$P$34</definedName>
    <definedName name="COLDVSNA_TARIFF_C_COLDVSNA_DEL_HL_GC_COLUMN_MARKER">'ХВС. Т-транс'!$Q$34</definedName>
    <definedName name="COLDVSNA_TARIFF_C_COLDVSNA_DELETE_PERIOD_ROW_MARKER">'ХВС. Т-транс'!$O$35</definedName>
    <definedName name="COLDVSNA_TARIFF_C_COLDVSNA_FLAG_BLOCK_COLUMN_MARKER">'ХВС. Т-транс'!$L$36</definedName>
    <definedName name="COLDVSNA_TARIFF_C_COLDVSNA_FLAG_BLOCK_ROW_MARKER">'ХВС. Т-транс'!$O$20</definedName>
    <definedName name="COLDVSNA_TARIFF_C_COLDVSNA_NUM_CS_COLUMN_MARKER">'ХВС. Т-транс'!$G$36</definedName>
    <definedName name="COLDVSNA_TARIFF_C_COLDVSNA_NUM_DATA_DIFF_COLUMN_MARKER">'ХВС. Т-транс'!$K$36</definedName>
    <definedName name="COLDVSNA_TARIFF_C_COLDVSNA_NUM_FLAG_DIFF_COLUMN_MARKER">'ХВС. Т-транс'!$I$36</definedName>
    <definedName name="COLDVSNA_TARIFF_C_COLDVSNA_NUM_GC_COLUMN_MARKER">'ХВС. Т-транс'!$J$36</definedName>
    <definedName name="COLDVSNA_TARIFF_C_COLDVSNA_NUM_NTAR_COLUMN_MARKER">'ХВС. Т-транс'!$E$36</definedName>
    <definedName name="COLDVSNA_TARIFF_C_COLDVSNA_NUM_TER_COLUMN_MARKER">'ХВС. Т-транс'!$F$36</definedName>
    <definedName name="COLDVSNA_TARIFF_D_COLDVSNA_ADD_HL_COLUMN_MARKER">'ХВС. Т-подвоз'!$T$34</definedName>
    <definedName name="COLDVSNA_TARIFF_D_COLDVSNA_DEL_HL_DATA_DIFF_COLUMN_MARKER">'ХВС. Т-подвоз'!$R$34</definedName>
    <definedName name="COLDVSNA_TARIFF_D_COLDVSNA_DEL_HL_FLAG_DIFF_COLUMN_MARKER">'ХВС. Т-подвоз'!$P$34</definedName>
    <definedName name="COLDVSNA_TARIFF_D_COLDVSNA_DEL_HL_GC_COLUMN_MARKER">'ХВС. Т-подвоз'!$Q$34</definedName>
    <definedName name="COLDVSNA_TARIFF_D_COLDVSNA_DELETE_PERIOD_ROW_MARKER">'ХВС. Т-подвоз'!$O$35</definedName>
    <definedName name="COLDVSNA_TARIFF_D_COLDVSNA_FLAG_BLOCK_COLUMN_MARKER">'ХВС. Т-подвоз'!$L$36</definedName>
    <definedName name="COLDVSNA_TARIFF_D_COLDVSNA_FLAG_BLOCK_ROW_MARKER">'ХВС. Т-подвоз'!$O$20</definedName>
    <definedName name="COLDVSNA_TARIFF_D_COLDVSNA_NUM_CS_COLUMN_MARKER">'ХВС. Т-подвоз'!$G$36</definedName>
    <definedName name="COLDVSNA_TARIFF_D_COLDVSNA_NUM_DATA_DIFF_COLUMN_MARKER">'ХВС. Т-подвоз'!$K$36</definedName>
    <definedName name="COLDVSNA_TARIFF_D_COLDVSNA_NUM_FLAG_DIFF_COLUMN_MARKER">'ХВС. Т-подвоз'!$I$36</definedName>
    <definedName name="COLDVSNA_TARIFF_D_COLDVSNA_NUM_GC_COLUMN_MARKER">'ХВС. Т-подвоз'!$J$36</definedName>
    <definedName name="COLDVSNA_TARIFF_D_COLDVSNA_NUM_NTAR_COLUMN_MARKER">'ХВС. Т-подвоз'!$E$36</definedName>
    <definedName name="COLDVSNA_TARIFF_D_COLDVSNA_NUM_TER_COLUMN_MARKER">'ХВС. Т-подвоз'!$F$36</definedName>
    <definedName name="COLDVSNA_TARIFF_E_COLDVSNA_ADD_HL_COLUMN_MARKER">'ХВС. Т-подкл'!$T$38</definedName>
    <definedName name="COLDVSNA_TARIFF_E_COLDVSNA_ADD_HL_DIAMETERS_COLUMN_MARKER">'ХВС. Т-подкл'!$AK$38</definedName>
    <definedName name="COLDVSNA_TARIFF_E_COLDVSNA_ADD_HL_LEN_COLUMN_MARKER">'ХВС. Т-подкл'!$AO$38</definedName>
    <definedName name="COLDVSNA_TARIFF_E_COLDVSNA_ADD_HL_LOAD_COLUMN_MARKER">'ХВС. Т-подкл'!$AG$38</definedName>
    <definedName name="COLDVSNA_TARIFF_E_COLDVSNA_ADD_HL_NETS_COLUMN_MARKER">'ХВС. Т-подкл'!$AS$38</definedName>
    <definedName name="COLDVSNA_TARIFF_E_COLDVSNA_DEL_HL_DATA_DIFF_COLUMN_MARKER">'ХВС. Т-подкл'!$R$38</definedName>
    <definedName name="COLDVSNA_TARIFF_E_COLDVSNA_DEL_HL_DIAMETERS_COLUMN_MARKER">'ХВС. Т-подкл'!$AI$38</definedName>
    <definedName name="COLDVSNA_TARIFF_E_COLDVSNA_DEL_HL_FLAG_DIFF_COLUMN_MARKER">'ХВС. Т-подкл'!$P$38</definedName>
    <definedName name="COLDVSNA_TARIFF_E_COLDVSNA_DEL_HL_GC_COLUMN_MARKER">'ХВС. Т-подкл'!$Q$38</definedName>
    <definedName name="COLDVSNA_TARIFF_E_COLDVSNA_DEL_HL_LEN_COLUMN_MARKER">'ХВС. Т-подкл'!$AM$38</definedName>
    <definedName name="COLDVSNA_TARIFF_E_COLDVSNA_DEL_HL_LOAD_COLUMN_MARKER">'ХВС. Т-подкл'!$AE$38</definedName>
    <definedName name="COLDVSNA_TARIFF_E_COLDVSNA_DEL_HL_NETS_COLUMN_MARKER">'ХВС. Т-подкл'!$AQ$38</definedName>
    <definedName name="COLDVSNA_TARIFF_E_COLDVSNA_DELETE_PERIOD_ROW_MARKER">'ХВС. Т-подкл'!$O$39</definedName>
    <definedName name="COLDVSNA_TARIFF_E_COLDVSNA_FLAG_BLOCK_COLUMN_MARKER">'ХВС. Т-подкл'!$L$44</definedName>
    <definedName name="COLDVSNA_TARIFF_E_COLDVSNA_FLAG_BLOCK_ROW_MARKER">'ХВС. Т-подкл'!$O$24</definedName>
    <definedName name="COLDVSNA_TARIFF_E_COLDVSNA_NUM_CS_COLUMN_MARKER">'ХВС. Т-подкл'!$G$44</definedName>
    <definedName name="COLDVSNA_TARIFF_E_COLDVSNA_NUM_DATA_DIFF_COLUMN_MARKER">'ХВС. Т-подкл'!$K$44</definedName>
    <definedName name="COLDVSNA_TARIFF_E_COLDVSNA_NUM_DIAMETERS_COLUMN_MARKER">'ХВС. Т-подкл'!$AJ$38</definedName>
    <definedName name="COLDVSNA_TARIFF_E_COLDVSNA_NUM_FLAG_DIFF_COLUMN_MARKER">'ХВС. Т-подкл'!$I$44</definedName>
    <definedName name="COLDVSNA_TARIFF_E_COLDVSNA_NUM_GC_COLUMN_MARKER">'ХВС. Т-подкл'!$J$44</definedName>
    <definedName name="COLDVSNA_TARIFF_E_COLDVSNA_NUM_LEN_COLUMN_MARKER">'ХВС. Т-подкл'!$AN$38</definedName>
    <definedName name="COLDVSNA_TARIFF_E_COLDVSNA_NUM_LOAD_COLUMN_MARKER">'ХВС. Т-подкл'!$AF$38</definedName>
    <definedName name="COLDVSNA_TARIFF_E_COLDVSNA_NUM_NETS_COLUMN_MARKER">'ХВС. Т-подкл'!$AR$38</definedName>
    <definedName name="COLDVSNA_TARIFF_E_COLDVSNA_NUM_NTAR_COLUMN_MARKER">'ХВС. Т-подкл'!$E$44</definedName>
    <definedName name="COLDVSNA_TARIFF_E_COLDVSNA_NUM_TER_COLUMN_MARKER">'ХВС. Т-подкл'!$F$44</definedName>
    <definedName name="cross_without_borders">TEHSHEET!$J$27</definedName>
    <definedName name="CS_ID">TEHSHEET!$E$63</definedName>
    <definedName name="CURRENT_DATE">TEHSHEET!$H$29</definedName>
    <definedName name="CURRENT_YEAR">TEHSHEET!$G$44</definedName>
    <definedName name="DATA_URL">TEHSHEET!$H$32</definedName>
    <definedName name="DESCRIPTION_TERRITORY">REESTR_DS!$B$2</definedName>
    <definedName name="DIFFERENTIATION_AREA">Дифференциация!$I$12:$I$16</definedName>
    <definedName name="DIFFERENTIATION_AREA_ID">Дифференциация!$U$11:$U$17</definedName>
    <definedName name="DIFFERENTIATION_CheckC">Дифференциация!$D$12:$M$16</definedName>
    <definedName name="DIFFERENTIATION_fieldMarker">Дифференциация!$W$12:$W$16</definedName>
    <definedName name="DIFFERENTIATION_ID">TEHSHEET!$E$57</definedName>
    <definedName name="DIFFERENTIATION_ID_DIFF">Дифференциация!$O$12:$O$16</definedName>
    <definedName name="DIFFERENTIATION_SYSTEM">Дифференциация!$M$12:$M$16</definedName>
    <definedName name="DIFFERENTIATION_TARIFF_AREA_ID">'Перечень тарифов'!$Z$12:$Z$137</definedName>
    <definedName name="DIFFERENTIATION_TARIFF_VD_ID">'Перечень тарифов'!$AB$12:$AB$137</definedName>
    <definedName name="DIFFERENTIATION_TARIFF_VTAR_ID">'Перечень тарифов'!$AA$12:$AA$137</definedName>
    <definedName name="DIFFERENTIATION_TKO_ADD_HL_CLASS_TKO_COLUMN_MARKER">'Дифференциация тариф показатель'!$AH$7</definedName>
    <definedName name="DIFFERENTIATION_TKO_ADD_HL_NTAR_COLUMN_MARKER">'Дифференциация тариф показатель'!$J$7</definedName>
    <definedName name="DIFFERENTIATION_TKO_ADD_HL_TER_COLUMN_MARKER">'Дифференциация тариф показатель'!$V$7</definedName>
    <definedName name="DIFFERENTIATION_TKO_ADD_HL_TO_COLUMN_MARKER">'Дифференциация тариф показатель'!$P$7</definedName>
    <definedName name="DIFFERENTIATION_TKO_ADD_HL_TYPE_TKO_COLUMN_MARKER">'Дифференциация тариф показатель'!$AB$7</definedName>
    <definedName name="DIFFERENTIATION_TKO_ADD_HL_VTAR_COLUMN_MARKER">'Дифференциация тариф показатель'!$F$7</definedName>
    <definedName name="DIFFERENTIATION_TKO_AREA_ID">'Дифференциация тариф показатель'!$AK$11:$AK$41</definedName>
    <definedName name="DIFFERENTIATION_TKO_DEL_HL_CLASS_TKO_COLUMN_MARKER">'Дифференциация тариф показатель'!$AF$7</definedName>
    <definedName name="DIFFERENTIATION_TKO_DEL_HL_NTAR_COLUMN_MARKER">'Дифференциация тариф показатель'!$H$7</definedName>
    <definedName name="DIFFERENTIATION_TKO_DEL_HL_TER_COLUMN_MARKER">'Дифференциация тариф показатель'!$T$7</definedName>
    <definedName name="DIFFERENTIATION_TKO_DEL_HL_TO_COLUMN_MARKER">'Дифференциация тариф показатель'!$N$7</definedName>
    <definedName name="DIFFERENTIATION_TKO_DEL_HL_TYPE_TKO_COLUMN_MARKER">'Дифференциация тариф показатель'!$Z$7</definedName>
    <definedName name="DIFFERENTIATION_TKO_FLAG_DIFF_CLASS_TKO_ETC_COLUMN_MARKER">'Дифференциация тариф показатель'!$AE$7</definedName>
    <definedName name="DIFFERENTIATION_TKO_FLAG_DIFF_CLASS_TKO_TARIFF_COLUMN_MARKER">'Дифференциация тариф показатель'!$AD$7</definedName>
    <definedName name="DIFFERENTIATION_TKO_FLAG_DIFF_TER_ETC_COLUMN_MARKER">'Дифференциация тариф показатель'!$S$7</definedName>
    <definedName name="DIFFERENTIATION_TKO_FLAG_DIFF_TER_TARIFF_COLUMN_MARKER">'Дифференциация тариф показатель'!$R$7</definedName>
    <definedName name="DIFFERENTIATION_TKO_FLAG_DIFF_TO_ETC_COLUMN_MARKER">'Дифференциация тариф показатель'!$M$7</definedName>
    <definedName name="DIFFERENTIATION_TKO_FLAG_DIFF_TO_TARIFF_COLUMN_MARKER">'Дифференциация тариф показатель'!$L$7</definedName>
    <definedName name="DIFFERENTIATION_TKO_FLAG_DIFF_TYPE_TKO_ETC_COLUMN_MARKER">'Дифференциация тариф показатель'!$Y$7</definedName>
    <definedName name="DIFFERENTIATION_TKO_FLAG_DIFF_TYPE_TKO_TARIFF_COLUMN_MARKER">'Дифференциация тариф показатель'!$X$7</definedName>
    <definedName name="DIFFERENTIATION_TKO_FLAG_VTAR_COLUMN_MARKER">'Дифференциация тариф показатель'!$G$7</definedName>
    <definedName name="DIFFERENTIATION_TKO_TER_ID">'Дифференциация тариф показатель'!$AL$11:$AL$41</definedName>
    <definedName name="DIFFERENTIATION_UNMERGE_AREA">Дифференциация!$Q$12:$Q$16</definedName>
    <definedName name="DIFFERENTIATION_UNMERGE_SYSTEM">Дифференциация!$R$12:$R$16</definedName>
    <definedName name="DIFFERENTIATION_UNMERGE_VD">Дифференциация!$P$12:$P$16</definedName>
    <definedName name="DIFFERENTIATION_VD">Дифференциация!$E$12:$E$16</definedName>
    <definedName name="DIFFERENTIATION_VD_ID">Дифференциация!$V$11:$V$17</definedName>
    <definedName name="ED_DATE">ЭД!$G$12:$G$13</definedName>
    <definedName name="ED_DATE_PARKING">ЭД!$I$5</definedName>
    <definedName name="ED_LINK">ЭД!$H$12:$H$13</definedName>
    <definedName name="EndDateList">TEHSHEET!$H$46:$H$53</definedName>
    <definedName name="et_B_FHD20_1">et_union_hor!$127:$135</definedName>
    <definedName name="et_B_FHD20_1_HEAT">et_union_hor!$127:$135</definedName>
    <definedName name="et_B_FHD20_1_NOT_HEAT">et_union_hor!$115:$123</definedName>
    <definedName name="et_B_FHD20_2">et_union_hor!$139:$142</definedName>
    <definedName name="et_B_FHD20_3">et_union_hor!$147:$148</definedName>
    <definedName name="et_B_FHD20_4">et_union_hor!$150:$150</definedName>
    <definedName name="et_B_STANDARTS">'Стандарты качества'!$2:$2</definedName>
    <definedName name="et_CHANGE_INFO">et_union_hor!$4:$4</definedName>
    <definedName name="et_COLDVSNA_TARIFF_A_COLDVSNA_CS">'ХВС. Т-пит'!$4:$11</definedName>
    <definedName name="et_COLDVSNA_TARIFF_A_COLDVSNA_DATA_DIFF">'ХВС. Т-пит'!$7:$8</definedName>
    <definedName name="et_COLDVSNA_TARIFF_A_COLDVSNA_FLAG_DIFF">'ХВС. Т-пит'!$5:$10</definedName>
    <definedName name="et_COLDVSNA_TARIFF_A_COLDVSNA_GC">'ХВС. Т-пит'!$6:$9</definedName>
    <definedName name="et_COLDVSNA_TARIFF_A_COLDVSNA_NTAR">'ХВС. Т-пит'!$2:$13</definedName>
    <definedName name="et_COLDVSNA_TARIFF_A_COLDVSNA_PERIOD_COLOR">'ХВС. Т-пит'!$AC$7:$AI$8</definedName>
    <definedName name="et_COLDVSNA_TARIFF_A_COLDVSNA_PERIOD_NOT_COLOR">'ХВС. Т-пит'!$AC$15:$AI$16</definedName>
    <definedName name="et_COLDVSNA_TARIFF_A_COLDVSNA_TER">'ХВС. Т-пит'!$3:$12</definedName>
    <definedName name="et_COLDVSNA_TARIFF_A_COLDVSNA_TN">'ХВС. Т-пит'!$7:$8</definedName>
    <definedName name="et_COLDVSNA_TARIFF_B_COLDVSNA_CS">'ХВС. Т-тех'!$4:$11</definedName>
    <definedName name="et_COLDVSNA_TARIFF_B_COLDVSNA_DATA_DIFF">'ХВС. Т-тех'!$7:$8</definedName>
    <definedName name="et_COLDVSNA_TARIFF_B_COLDVSNA_FLAG_DIFF">'ХВС. Т-тех'!$5:$10</definedName>
    <definedName name="et_COLDVSNA_TARIFF_B_COLDVSNA_GC">'ХВС. Т-тех'!$6:$9</definedName>
    <definedName name="et_COLDVSNA_TARIFF_B_COLDVSNA_NTAR">'ХВС. Т-тех'!$2:$13</definedName>
    <definedName name="et_COLDVSNA_TARIFF_B_COLDVSNA_PERIOD_COLOR">'ХВС. Т-тех'!$AC$7:$AI$8</definedName>
    <definedName name="et_COLDVSNA_TARIFF_B_COLDVSNA_PERIOD_NOT_COLOR">'ХВС. Т-тех'!$AC$15:$AI$16</definedName>
    <definedName name="et_COLDVSNA_TARIFF_B_COLDVSNA_TER">'ХВС. Т-тех'!$3:$12</definedName>
    <definedName name="et_COLDVSNA_TARIFF_C_COLDVSNA_CS">'ХВС. Т-транс'!$4:$11</definedName>
    <definedName name="et_COLDVSNA_TARIFF_C_COLDVSNA_DATA_DIFF">'ХВС. Т-транс'!$7:$8</definedName>
    <definedName name="et_COLDVSNA_TARIFF_C_COLDVSNA_FLAG_DIFF">'ХВС. Т-транс'!$5:$10</definedName>
    <definedName name="et_COLDVSNA_TARIFF_C_COLDVSNA_GC">'ХВС. Т-транс'!$6:$9</definedName>
    <definedName name="et_COLDVSNA_TARIFF_C_COLDVSNA_NTAR">'ХВС. Т-транс'!$2:$13</definedName>
    <definedName name="et_COLDVSNA_TARIFF_C_COLDVSNA_PERIOD_COLOR">'ХВС. Т-транс'!$AC$7:$AI$8</definedName>
    <definedName name="et_COLDVSNA_TARIFF_C_COLDVSNA_PERIOD_NOT_COLOR">'ХВС. Т-транс'!$AC$15:$AI$16</definedName>
    <definedName name="et_COLDVSNA_TARIFF_C_COLDVSNA_TER">'ХВС. Т-транс'!$3:$12</definedName>
    <definedName name="et_COLDVSNA_TARIFF_D_COLDVSNA_CS">'ХВС. Т-подвоз'!$4:$11</definedName>
    <definedName name="et_COLDVSNA_TARIFF_D_COLDVSNA_DATA_DIFF">'ХВС. Т-подвоз'!$7:$8</definedName>
    <definedName name="et_COLDVSNA_TARIFF_D_COLDVSNA_FLAG_DIFF">'ХВС. Т-подвоз'!$5:$10</definedName>
    <definedName name="et_COLDVSNA_TARIFF_D_COLDVSNA_GC">'ХВС. Т-подвоз'!$6:$9</definedName>
    <definedName name="et_COLDVSNA_TARIFF_D_COLDVSNA_NTAR">'ХВС. Т-подвоз'!$2:$13</definedName>
    <definedName name="et_COLDVSNA_TARIFF_D_COLDVSNA_PERIOD_COLOR">'ХВС. Т-подвоз'!$AC$7:$AI$8</definedName>
    <definedName name="et_COLDVSNA_TARIFF_D_COLDVSNA_PERIOD_NOT_COLOR">'ХВС. Т-подвоз'!$AC$15:$AI$16</definedName>
    <definedName name="et_COLDVSNA_TARIFF_D_COLDVSNA_TER">'ХВС. Т-подвоз'!$3:$12</definedName>
    <definedName name="et_COLDVSNA_TARIFF_E_COLDVSNA_CS">'ХВС. Т-подкл'!$4:$16</definedName>
    <definedName name="et_COLDVSNA_TARIFF_E_COLDVSNA_DATA_DIFF">'ХВС. Т-подкл'!$8:$12</definedName>
    <definedName name="et_COLDVSNA_TARIFF_E_COLDVSNA_DIAMETERS">'ХВС. Т-подкл'!$8:$10</definedName>
    <definedName name="et_COLDVSNA_TARIFF_E_COLDVSNA_FLAG_DIFF">'ХВС. Т-подкл'!$6:$14</definedName>
    <definedName name="et_COLDVSNA_TARIFF_E_COLDVSNA_GC">'ХВС. Т-подкл'!$7:$13</definedName>
    <definedName name="et_COLDVSNA_TARIFF_E_COLDVSNA_LEN">'ХВС. Т-подкл'!$8:$9</definedName>
    <definedName name="et_COLDVSNA_TARIFF_E_COLDVSNA_LOAD">'ХВС. Т-подкл'!$8:$11</definedName>
    <definedName name="et_COLDVSNA_TARIFF_E_COLDVSNA_NETS">'ХВС. Т-подкл'!$8:$8</definedName>
    <definedName name="et_COLDVSNA_TARIFF_E_COLDVSNA_NTAR">'ХВС. Т-подкл'!$2:$18</definedName>
    <definedName name="et_COLDVSNA_TARIFF_E_COLDVSNA_PERIOD_COLOR">'ХВС. Т-подкл'!$AT$8:$BA$8</definedName>
    <definedName name="et_COLDVSNA_TARIFF_E_COLDVSNA_PERIOD_NOT_COLOR">'ХВС. Т-подкл'!$AT$20:$BA$20</definedName>
    <definedName name="et_COLDVSNA_TARIFF_E_COLDVSNA_TER">'ХВС. Т-подкл'!$3:$17</definedName>
    <definedName name="et_Comm">et_union_hor!$8:$8</definedName>
    <definedName name="et_DIFFERENTIATION_AREA">et_union_hor!$29:$30</definedName>
    <definedName name="et_DIFFERENTIATION_SYSTEM">et_union_hor!$34:$34</definedName>
    <definedName name="et_DIFFERENTIATION_TARIFF_COLOR">et_union_hor!$H$154:$W$158</definedName>
    <definedName name="et_DIFFERENTIATION_TARIFF_CS">et_union_hor!$169:$170</definedName>
    <definedName name="et_DIFFERENTIATION_TARIFF_IST_TE">et_union_hor!$172:$172</definedName>
    <definedName name="et_DIFFERENTIATION_TARIFF_NOT_COLOR">et_union_hor!$H$194:$W$198</definedName>
    <definedName name="et_DIFFERENTIATION_TARIFF_NOT_HEAT_COLOR">et_union_hor!$H$176:$W$180</definedName>
    <definedName name="et_DIFFERENTIATION_TARIFF_NOT_HEAT_CS">et_union_hor!$191:$192</definedName>
    <definedName name="et_DIFFERENTIATION_TARIFF_NOT_HEAT_NTAR">et_union_hor!$182:$185</definedName>
    <definedName name="et_DIFFERENTIATION_TARIFF_NOT_HEAT_TER">et_union_hor!$187:$189</definedName>
    <definedName name="et_DIFFERENTIATION_TARIFF_NOT_HEAT_VTAR">et_union_hor!$176:$180</definedName>
    <definedName name="et_DIFFERENTIATION_TARIFF_NTAR">et_union_hor!$160:$163</definedName>
    <definedName name="et_DIFFERENTIATION_TARIFF_TER">et_union_hor!$165:$167</definedName>
    <definedName name="et_DIFFERENTIATION_TARIFF_VTAR">et_union_hor!$154:$158</definedName>
    <definedName name="et_DIFFERENTIATION_TKO_CLASS_TKO">et_union_hor!$202:$202</definedName>
    <definedName name="et_DIFFERENTIATION_TKO_COLOR">et_union_hor!$H$202:$AI$207</definedName>
    <definedName name="et_DIFFERENTIATION_TKO_NOT_COLOR">et_union_hor!$H$209:$AI$214</definedName>
    <definedName name="et_DIFFERENTIATION_TKO_NTAR">et_union_hor!$202:$206</definedName>
    <definedName name="et_DIFFERENTIATION_TKO_TER">et_union_hor!$202:$204</definedName>
    <definedName name="et_DIFFERENTIATION_TKO_TO">et_union_hor!$202:$205</definedName>
    <definedName name="et_DIFFERENTIATION_TKO_TYPE_TKO">et_union_hor!$202:$203</definedName>
    <definedName name="et_DIFFERENTIATION_TKO_VTAR">et_union_hor!$202:$207</definedName>
    <definedName name="et_DIFFERENTIATION_VD">et_union_hor!$23:$25</definedName>
    <definedName name="et_ED">et_union_hor!$64:$64</definedName>
    <definedName name="et_HEAT_TARIFF_A_CS">'ТС. Т-ТЭ | &gt;=25МВт'!$4:$13</definedName>
    <definedName name="et_HEAT_TARIFF_A_GC">'ТС. Т-ТЭ | &gt;=25МВт'!$7:$10</definedName>
    <definedName name="et_HEAT_TARIFF_A_IST_TE">'ТС. Т-ТЭ | &gt;=25МВт'!$5:$12</definedName>
    <definedName name="et_HEAT_TARIFF_A_NTAR">'ТС. Т-ТЭ | &gt;=25МВт'!$2:$15</definedName>
    <definedName name="et_HEAT_TARIFF_A_PERIOD_COLOR">'ТС. Т-ТЭ | &gt;=25МВт'!$AD$8:$AK$9</definedName>
    <definedName name="et_HEAT_TARIFF_A_PERIOD_NOT_COLOR">'ТС. Т-ТЭ | &gt;=25МВт'!$AD$17:$AK$18</definedName>
    <definedName name="et_HEAT_TARIFF_A_SCHEME">'ТС. Т-ТЭ | &gt;=25МВт'!$6:$11</definedName>
    <definedName name="et_HEAT_TARIFF_A_TER">'ТС. Т-ТЭ | &gt;=25МВт'!$3:$14</definedName>
    <definedName name="et_HEAT_TARIFF_A_TN">'ТС. Т-ТЭ | &gt;=25МВт'!$8:$9</definedName>
    <definedName name="et_HEAT_TARIFF_B_CS">'ТС. Т-ТЭ | ТСО'!$4:$13</definedName>
    <definedName name="et_HEAT_TARIFF_B_GC">'ТС. Т-ТЭ | ТСО'!$7:$10</definedName>
    <definedName name="et_HEAT_TARIFF_B_IST_TE">'ТС. Т-ТЭ | ТСО'!$5:$12</definedName>
    <definedName name="et_HEAT_TARIFF_B_NTAR">'ТС. Т-ТЭ | ТСО'!$2:$15</definedName>
    <definedName name="et_HEAT_TARIFF_B_PERIOD_COLOR">'ТС. Т-ТЭ | ТСО'!$AD$8:$AK$9</definedName>
    <definedName name="et_HEAT_TARIFF_B_PERIOD_NOT_COLOR">'ТС. Т-ТЭ | ТСО'!$AD$17:$AK$18</definedName>
    <definedName name="et_HEAT_TARIFF_B_SCHEME">'ТС. Т-ТЭ | ТСО'!$6:$11</definedName>
    <definedName name="et_HEAT_TARIFF_B_TER">'ТС. Т-ТЭ | ТСО'!$3:$14</definedName>
    <definedName name="et_HEAT_TARIFF_B_TN">'ТС. Т-ТЭ | ТСО'!$8:$9</definedName>
    <definedName name="et_HEAT_TARIFF_C_CS">'ТС. Т-ТН'!$4:$13</definedName>
    <definedName name="et_HEAT_TARIFF_C_GC">'ТС. Т-ТН'!$7:$10</definedName>
    <definedName name="et_HEAT_TARIFF_C_IST_TE">'ТС. Т-ТН'!$5:$12</definedName>
    <definedName name="et_HEAT_TARIFF_C_NTAR">'ТС. Т-ТН'!$2:$15</definedName>
    <definedName name="et_HEAT_TARIFF_C_PERIOD_COLOR">'ТС. Т-ТН'!$AD$8:$AK$9</definedName>
    <definedName name="et_HEAT_TARIFF_C_PERIOD_NOT_COLOR">'ТС. Т-ТН'!$AD$17:$AK$18</definedName>
    <definedName name="et_HEAT_TARIFF_C_SCHEME">'ТС. Т-ТН'!$6:$11</definedName>
    <definedName name="et_HEAT_TARIFF_C_TER">'ТС. Т-ТН'!$3:$14</definedName>
    <definedName name="et_HEAT_TARIFF_C_TN">'ТС. Т-ТН'!$8:$9</definedName>
    <definedName name="et_HEAT_TARIFF_D_CONS">'ТС. Т-гор.вода'!$9:$10</definedName>
    <definedName name="et_HEAT_TARIFF_D_CS">'ТС. Т-гор.вода'!$4:$15</definedName>
    <definedName name="et_HEAT_TARIFF_D_GC">'ТС. Т-гор.вода'!$7:$12</definedName>
    <definedName name="et_HEAT_TARIFF_D_IST_TE">'ТС. Т-гор.вода'!$5:$14</definedName>
    <definedName name="et_HEAT_TARIFF_D_NTAR">'ТС. Т-гор.вода'!$2:$17</definedName>
    <definedName name="et_HEAT_TARIFF_D_PERIOD_COLOR">'ТС. Т-гор.вода'!$AG$8:$AO$10</definedName>
    <definedName name="et_HEAT_TARIFF_D_PERIOD_NOT_COLOR">'ТС. Т-гор.вода'!$AG$19:$AO$22</definedName>
    <definedName name="et_HEAT_TARIFF_D_SCHEME">'ТС. Т-гор.вода'!$6:$13</definedName>
    <definedName name="et_HEAT_TARIFF_D_TER">'ТС. Т-гор.вода'!$3:$16</definedName>
    <definedName name="et_HEAT_TARIFF_D_TN">'ТС. Т-гор.вода'!$8:$11</definedName>
    <definedName name="et_HEAT_TARIFF_E1_CS">'ТС. Т-передача ТЭ'!$4:$13</definedName>
    <definedName name="et_HEAT_TARIFF_E1_GC">'ТС. Т-передача ТЭ'!$7:$10</definedName>
    <definedName name="et_HEAT_TARIFF_E1_IST_TE">'ТС. Т-передача ТЭ'!$5:$12</definedName>
    <definedName name="et_HEAT_TARIFF_E1_NTAR">'ТС. Т-передача ТЭ'!$2:$15</definedName>
    <definedName name="et_HEAT_TARIFF_E1_PERIOD_COLOR">'ТС. Т-передача ТЭ'!$AD$8:$AK$9</definedName>
    <definedName name="et_HEAT_TARIFF_E1_PERIOD_NOT_COLOR">'ТС. Т-передача ТЭ'!$AD$17:$AK$18</definedName>
    <definedName name="et_HEAT_TARIFF_E1_SCHEME">'ТС. Т-передача ТЭ'!$6:$11</definedName>
    <definedName name="et_HEAT_TARIFF_E1_TER">'ТС. Т-передача ТЭ'!$3:$14</definedName>
    <definedName name="et_HEAT_TARIFF_E1_TN">'ТС. Т-передача ТЭ'!$8:$9</definedName>
    <definedName name="et_HEAT_TARIFF_E2_CS">'ТС. Т-передача ТН'!$4:$13</definedName>
    <definedName name="et_HEAT_TARIFF_E2_GC">'ТС. Т-передача ТН'!$7:$10</definedName>
    <definedName name="et_HEAT_TARIFF_E2_IST_TE">'ТС. Т-передача ТН'!$5:$12</definedName>
    <definedName name="et_HEAT_TARIFF_E2_NTAR">'ТС. Т-передача ТН'!$2:$15</definedName>
    <definedName name="et_HEAT_TARIFF_E2_PERIOD_COLOR">'ТС. Т-передача ТН'!$AD$8:$AK$9</definedName>
    <definedName name="et_HEAT_TARIFF_E2_PERIOD_NOT_COLOR">'ТС. Т-передача ТН'!$AD$17:$AK$18</definedName>
    <definedName name="et_HEAT_TARIFF_E2_SCHEME">'ТС. Т-передача ТН'!$6:$11</definedName>
    <definedName name="et_HEAT_TARIFF_E2_TER">'ТС. Т-передача ТН'!$3:$14</definedName>
    <definedName name="et_HEAT_TARIFF_E2_TN">'ТС. Т-передача ТН'!$8:$9</definedName>
    <definedName name="et_HEAT_TARIFF_F_CS">'ТС. Резерв мощности'!$4:$13</definedName>
    <definedName name="et_HEAT_TARIFF_F_GC">'ТС. Резерв мощности'!$7:$10</definedName>
    <definedName name="et_HEAT_TARIFF_F_IST_TE">'ТС. Резерв мощности'!$5:$12</definedName>
    <definedName name="et_HEAT_TARIFF_F_NTAR">'ТС. Резерв мощности'!$2:$15</definedName>
    <definedName name="et_HEAT_TARIFF_F_PERIOD_COLOR">'ТС. Резерв мощности'!$AD$8:$AK$9</definedName>
    <definedName name="et_HEAT_TARIFF_F_PERIOD_NOT_COLOR">'ТС. Резерв мощности'!$AD$17:$AK$18</definedName>
    <definedName name="et_HEAT_TARIFF_F_SCHEME">'ТС. Резерв мощности'!$6:$11</definedName>
    <definedName name="et_HEAT_TARIFF_F_TER">'ТС. Резерв мощности'!$3:$14</definedName>
    <definedName name="et_HEAT_TARIFF_F_TN">'ТС. Резерв мощности'!$8:$9</definedName>
    <definedName name="et_HEAT_TARIFF_G_CS">'ТС. Т-подкл'!$4:$15</definedName>
    <definedName name="et_HEAT_TARIFF_G_DIAMETERS">'ТС. Т-подкл'!$8:$8</definedName>
    <definedName name="et_HEAT_TARIFF_G_GC">'ТС. Т-подкл'!$7:$12</definedName>
    <definedName name="et_HEAT_TARIFF_G_IST_TE">'ТС. Т-подкл'!$5:$14</definedName>
    <definedName name="et_HEAT_TARIFF_G_LOAD">'ТС. Т-подкл'!$8:$10</definedName>
    <definedName name="et_HEAT_TARIFF_G_NETS">'ТС. Т-подкл'!$8:$9</definedName>
    <definedName name="et_HEAT_TARIFF_G_NTAR">'ТС. Т-подкл'!$2:$17</definedName>
    <definedName name="et_HEAT_TARIFF_G_PERIOD_COLOR">'ТС. Т-подкл'!$AN$8:$AS$8</definedName>
    <definedName name="et_HEAT_TARIFF_G_PERIOD_NOT_COLOR">'ТС. Т-подкл'!$AN$19:$AS$19</definedName>
    <definedName name="et_HEAT_TARIFF_G_SCHEME">'ТС. Т-подкл'!$6:$13</definedName>
    <definedName name="et_HEAT_TARIFF_G_TER">'ТС. Т-подкл'!$3:$16</definedName>
    <definedName name="et_HEAT_TARIFF_G_TN">'ТС. Т-подкл'!$8:$11</definedName>
    <definedName name="et_HEAT_TARIFF_H_CS">'ТС. Т-подкл(инд)'!$4:$12</definedName>
    <definedName name="et_HEAT_TARIFF_H_DIAMETERS">'ТС. Т-подкл(инд)'!$8:$8</definedName>
    <definedName name="et_HEAT_TARIFF_H_GC">'ТС. Т-подкл(инд)'!$7:$9</definedName>
    <definedName name="et_HEAT_TARIFF_H_IST_TE">'ТС. Т-подкл(инд)'!$5:$11</definedName>
    <definedName name="et_HEAT_TARIFF_H_LOAD">'ТС. Т-подкл(инд)'!$8:$8</definedName>
    <definedName name="et_HEAT_TARIFF_H_NETS">'ТС. Т-подкл(инд)'!$8:$8</definedName>
    <definedName name="et_HEAT_TARIFF_H_NTAR">'ТС. Т-подкл(инд)'!$2:$14</definedName>
    <definedName name="et_HEAT_TARIFF_H_PERIOD_COLOR">'ТС. Т-подкл(инд)'!$AD$8:$AI$8</definedName>
    <definedName name="et_HEAT_TARIFF_H_PERIOD_NOT_COLOR">'ТС. Т-подкл(инд)'!$AD$16:$AI$16</definedName>
    <definedName name="et_HEAT_TARIFF_H_SCHEME">'ТС. Т-подкл(инд)'!$6:$10</definedName>
    <definedName name="et_HEAT_TARIFF_H_TER">'ТС. Т-подкл(инд)'!$3:$13</definedName>
    <definedName name="et_HEAT_TARIFF_H_TN">'ТС. Т-подкл(инд)'!$8:$8</definedName>
    <definedName name="et_HEAT_TARIFF_I_1_CS">'ТС. Т-ТЭ | индикат'!$4:$13</definedName>
    <definedName name="et_HEAT_TARIFF_I_1_GC">'ТС. Т-ТЭ | индикат'!$7:$10</definedName>
    <definedName name="et_HEAT_TARIFF_I_1_IST_TE">'ТС. Т-ТЭ | индикат'!$5:$12</definedName>
    <definedName name="et_HEAT_TARIFF_I_1_NTAR">'ТС. Т-ТЭ | индикат'!$2:$15</definedName>
    <definedName name="et_HEAT_TARIFF_I_1_PERIOD_COLOR">'ТС. Т-ТЭ | индикат'!$AD$8:$AK$9</definedName>
    <definedName name="et_HEAT_TARIFF_I_1_PERIOD_NOT_COLOR">'ТС. Т-ТЭ | индикат'!$AD$17:$AK$18</definedName>
    <definedName name="et_HEAT_TARIFF_I_1_SCHEME">'ТС. Т-ТЭ | индикат'!$6:$11</definedName>
    <definedName name="et_HEAT_TARIFF_I_1_TER">'ТС. Т-ТЭ | индикат'!$3:$14</definedName>
    <definedName name="et_HEAT_TARIFF_I_1_TN">'ТС. Т-ТЭ | индикат'!$8:$9</definedName>
    <definedName name="et_HEAT_TARIFF_I_CS">'ТС. Т-ТЭ | предел'!$4:$13</definedName>
    <definedName name="et_HEAT_TARIFF_I_GC">'ТС. Т-ТЭ | предел'!$7:$10</definedName>
    <definedName name="et_HEAT_TARIFF_I_IST_TE">'ТС. Т-ТЭ | предел'!$5:$12</definedName>
    <definedName name="et_HEAT_TARIFF_I_NTAR">'ТС. Т-ТЭ | предел'!$2:$15</definedName>
    <definedName name="et_HEAT_TARIFF_I_PERIOD_COLOR">'ТС. Т-ТЭ | предел'!$AD$8:$AK$9</definedName>
    <definedName name="et_HEAT_TARIFF_I_PERIOD_NOT_COLOR">'ТС. Т-ТЭ | предел'!$AD$17:$AK$18</definedName>
    <definedName name="et_HEAT_TARIFF_I_SCHEME">'ТС. Т-ТЭ | предел'!$6:$11</definedName>
    <definedName name="et_HEAT_TARIFF_I_TER">'ТС. Т-ТЭ | предел'!$3:$14</definedName>
    <definedName name="et_HEAT_TARIFF_I_TN">'ТС. Т-ТЭ | предел'!$8:$9</definedName>
    <definedName name="et_hor_B_FHD_1">'Показатели ФХД'!$2:$7</definedName>
    <definedName name="et_hor_B_FHD_2">'Показатели ФХД'!$9:$9</definedName>
    <definedName name="et_hor_B_FHD_3">'Показатели ФХД'!$11:$11</definedName>
    <definedName name="et_hor_B_FHD_4">'Показатели ФХД'!$13:$13</definedName>
    <definedName name="et_hor_B_FHD_5">'Показатели ФХД'!$15:$15</definedName>
    <definedName name="et_hor_B_FHD_6">'Показатели ФХД'!$17:$17</definedName>
    <definedName name="et_hor_B_FHD_TKO_2">'ТКО. Показатели ФХД'!$2:$2</definedName>
    <definedName name="et_hor_B_FHD_TKO_TRANS_2">'ТКО. Транс. Показатели ФХД'!$2:$2</definedName>
    <definedName name="et_hor_B_OTEP_2">'Показатели ОТЭП'!$2:$2</definedName>
    <definedName name="et_hor_Q_LIMIT_1">Ограничения!$3:$4</definedName>
    <definedName name="et_hor_Q_LIMIT_2">Ограничения!$6:$7</definedName>
    <definedName name="et_hor_Q_LIMIT_3">Ограничения!$9:$11</definedName>
    <definedName name="et_hor_Q_LIMIT_4">Ограничения!$13:$14</definedName>
    <definedName name="et_hor_Q_TP_1">ТП!$2:$2</definedName>
    <definedName name="et_HOTVSNA_TARIFF_A_HOTVSNA_CS">'ГВС. Т-гор.вода'!$4:$11</definedName>
    <definedName name="et_HOTVSNA_TARIFF_A_HOTVSNA_DATA_DIFF">'ГВС. Т-гор.вода'!$7:$8</definedName>
    <definedName name="et_HOTVSNA_TARIFF_A_HOTVSNA_FLAG_DIFF">'ГВС. Т-гор.вода'!$5:$10</definedName>
    <definedName name="et_HOTVSNA_TARIFF_A_HOTVSNA_GC">'ГВС. Т-гор.вода'!$6:$9</definedName>
    <definedName name="et_HOTVSNA_TARIFF_A_HOTVSNA_NTAR">'ГВС. Т-гор.вода'!$2:$13</definedName>
    <definedName name="et_HOTVSNA_TARIFF_A_HOTVSNA_PERIOD_COLOR">'ГВС. Т-гор.вода'!$AG$7:$AQ$8</definedName>
    <definedName name="et_HOTVSNA_TARIFF_A_HOTVSNA_PERIOD_NOT_COLOR">'ГВС. Т-гор.вода'!$AG$15:$AQ$16</definedName>
    <definedName name="et_HOTVSNA_TARIFF_A_HOTVSNA_TER">'ГВС. Т-гор.вода'!$3:$12</definedName>
    <definedName name="et_HOTVSNA_TARIFF_A_HOTVSNA_TN">'ГВС. Т-гор.вода'!$7:$8</definedName>
    <definedName name="et_HOTVSNA_TARIFF_B_HOTVSNA_CS">'ГВС. Т-транс'!$4:$11</definedName>
    <definedName name="et_HOTVSNA_TARIFF_B_HOTVSNA_DATA_DIFF">'ГВС. Т-транс'!$7:$8</definedName>
    <definedName name="et_HOTVSNA_TARIFF_B_HOTVSNA_FLAG_DIFF">'ГВС. Т-транс'!$5:$10</definedName>
    <definedName name="et_HOTVSNA_TARIFF_B_HOTVSNA_GC">'ГВС. Т-транс'!$6:$9</definedName>
    <definedName name="et_HOTVSNA_TARIFF_B_HOTVSNA_NTAR">'ГВС. Т-транс'!$2:$13</definedName>
    <definedName name="et_HOTVSNA_TARIFF_B_HOTVSNA_PERIOD_COLOR">'ГВС. Т-транс'!$AG$7:$AQ$8</definedName>
    <definedName name="et_HOTVSNA_TARIFF_B_HOTVSNA_PERIOD_NOT_COLOR">'ГВС. Т-транс'!$AG$15:$AQ$16</definedName>
    <definedName name="et_HOTVSNA_TARIFF_B_HOTVSNA_TER">'ГВС. Т-транс'!$3:$12</definedName>
    <definedName name="et_HOTVSNA_TARIFF_B_HOTVSNA_TN">'ГВС. Т-транс'!$7:$8</definedName>
    <definedName name="et_HOTVSNA_TARIFF_C_HOTVSNA_CS">'ГВС. Т-подкл'!$4:$16</definedName>
    <definedName name="et_HOTVSNA_TARIFF_C_HOTVSNA_DATA_DIFF">'ГВС. Т-подкл'!$8:$12</definedName>
    <definedName name="et_HOTVSNA_TARIFF_C_HOTVSNA_DIAMETERS">'ГВС. Т-подкл'!$8:$10</definedName>
    <definedName name="et_HOTVSNA_TARIFF_C_HOTVSNA_FLAG_DIFF">'ГВС. Т-подкл'!$6:$14</definedName>
    <definedName name="et_HOTVSNA_TARIFF_C_HOTVSNA_GC">'ГВС. Т-подкл'!$7:$13</definedName>
    <definedName name="et_HOTVSNA_TARIFF_C_HOTVSNA_LEN">'ГВС. Т-подкл'!$8:$9</definedName>
    <definedName name="et_HOTVSNA_TARIFF_C_HOTVSNA_LOAD">'ГВС. Т-подкл'!$8:$11</definedName>
    <definedName name="et_HOTVSNA_TARIFF_C_HOTVSNA_NETS">'ГВС. Т-подкл'!$8:$8</definedName>
    <definedName name="et_HOTVSNA_TARIFF_C_HOTVSNA_NTAR">'ГВС. Т-подкл'!$2:$18</definedName>
    <definedName name="et_HOTVSNA_TARIFF_C_HOTVSNA_PERIOD_COLOR">'ГВС. Т-подкл'!$AT$8:$BA$8</definedName>
    <definedName name="et_HOTVSNA_TARIFF_C_HOTVSNA_PERIOD_NOT_COLOR">'ГВС. Т-подкл'!$AT$20:$BA$20</definedName>
    <definedName name="et_HOTVSNA_TARIFF_C_HOTVSNA_TER">'ГВС. Т-подкл'!$3:$17</definedName>
    <definedName name="et_IP_DETAILED">et_union_hor!$81:$87</definedName>
    <definedName name="et_IP_DETAILED_EVENT">et_union_hor!$101:$105</definedName>
    <definedName name="et_IP_DETAILED_IST_FIN">et_union_hor!$97:$97</definedName>
    <definedName name="et_IP_DETAILED_OBJECT">et_union_hor!$91:$93</definedName>
    <definedName name="et_IP_DETAILED_YEAR">et_union_hor!$82:$87</definedName>
    <definedName name="et_IP_MAIN">et_union_hor!$72:$73</definedName>
    <definedName name="et_IP_MAIN_PROPERTY">et_union_hor!$77:$77</definedName>
    <definedName name="et_IP_QRE">et_union_hor!$109:$111</definedName>
    <definedName name="et_IP_QRE_CLAIM">et_union_hor!$110:$110</definedName>
    <definedName name="et_List02">et_union_hor!$154:$158</definedName>
    <definedName name="et_List02_1_wd">et_union_hor!$194:$197</definedName>
    <definedName name="et_List02_2_wd">et_union_hor!$194:$196</definedName>
    <definedName name="et_List02_3_wd">et_union_hor!$194:$195</definedName>
    <definedName name="et_List02_4_wd">et_union_hor!$194:$194</definedName>
    <definedName name="et_List02_changeColor_1">et_union_hor!$J$154:$J$157</definedName>
    <definedName name="et_List02_changeColor_1_wd">et_union_hor!$J$194:$J$197</definedName>
    <definedName name="et_List02_changeColor_2">et_union_hor!$N$154:$N$156</definedName>
    <definedName name="et_List02_changeColor_2_wd">et_union_hor!$N$194:$N$196</definedName>
    <definedName name="et_List02_changeColor_3">et_union_hor!$R$154:$R$155</definedName>
    <definedName name="et_List02_changeColor_3_wd">et_union_hor!$R$194:$R$195</definedName>
    <definedName name="et_List02_changeColor_4">et_union_hor!$V$154</definedName>
    <definedName name="et_List02_changeColor_4_wd">et_union_hor!$V$194</definedName>
    <definedName name="et_List02_wd">et_union_hor!$194:$198</definedName>
    <definedName name="et_OFFER_p1">Предложение!$8:$8</definedName>
    <definedName name="et_OFFER_p1_0">Предложение!$2:$3</definedName>
    <definedName name="et_OFFER_p2">Предложение!$10:$10</definedName>
    <definedName name="et_OFFER_p2_0">Предложение!$5:$6</definedName>
    <definedName name="et_ORG_INFO_1">et_union_hor!$39:$39</definedName>
    <definedName name="et_ORG_INFO_2">et_union_hor!$43:$43</definedName>
    <definedName name="et_ORG_INFO_3">et_union_hor!$47:$51</definedName>
    <definedName name="et_ORG_TERRITORY_MO">et_union_hor!$56:$56</definedName>
    <definedName name="et_ORG_TERRITORY_MO_FLAG_INTERNET">et_union_hor!$J$56</definedName>
    <definedName name="et_ORG_TERRITORY_MO_LINK">et_union_hor!$K$56</definedName>
    <definedName name="et_ORG_VD">et_union_hor!$60:$60</definedName>
    <definedName name="et_ORG_VD_COLDVSNA">et_union_hor!$X$60:$Z$60</definedName>
    <definedName name="et_ORG_VD_FIRST_SYSTEM">et_union_hor!$E$60</definedName>
    <definedName name="et_ORG_VD_HEAT">et_union_hor!$H$60:$R$60</definedName>
    <definedName name="et_ORG_VD_HOTVSNA">et_union_hor!$AB$60:$AC$60</definedName>
    <definedName name="et_ORG_VD_TKO_ACTIVITY">'Виды объектов'!$2:$3</definedName>
    <definedName name="et_ORG_VD_TKO_TYPE_OBJECT">'Виды объектов'!$2:$2</definedName>
    <definedName name="et_ORG_VD_VOTV">et_union_hor!$T$60:$V$60</definedName>
    <definedName name="et_P_PROCEDURE_TC_1">'Порядок ТП'!$2:$2</definedName>
    <definedName name="et_P_PROCEDURE_TC_2">'Порядок ТП'!$4:$4</definedName>
    <definedName name="et_P_PROCEDURE_TC_3">'Порядок ТП'!$6:$6</definedName>
    <definedName name="et_P_PROCEDURE_TC_4">'Порядок ТП'!$8:$8</definedName>
    <definedName name="et_P_PROCEDURE_TC_5">'Порядок ТП'!$10:$10</definedName>
    <definedName name="et_P_T_TERMS">et_union_hor!$68:$68</definedName>
    <definedName name="et_Q_TP_DIFFERENTIATION">ТП!$G:$G</definedName>
    <definedName name="et_QRE">et_union_hor!$109:$111</definedName>
    <definedName name="et_QRE_CLAIM">et_union_hor!$110:$110</definedName>
    <definedName name="et_R_B_Purch">'Сведения о закупках'!$2:$2</definedName>
    <definedName name="et_ROIV_CASE_case">'Дела об установлении тарифов'!$2:$2</definedName>
    <definedName name="et_ROIV_CASE_PUC_case">'Дела об утверждении ПУЦ'!$2:$2</definedName>
    <definedName name="et_ROIV_INFO_phone">'Орган регулирования'!$2:$2</definedName>
    <definedName name="et_ROIV_ORG_org">'Перечень организаций'!$2:$2</definedName>
    <definedName name="et_ROIV_OTV_DL">'Привлечение к ответственности'!$5:$5</definedName>
    <definedName name="et_ROIV_OTV_org">'Привлечение к ответственности'!$2:$3</definedName>
    <definedName name="et_TERMS">et_union_hor!$68:$68</definedName>
    <definedName name="et_TERRITORY_AREA">et_union_hor!$13:$15</definedName>
    <definedName name="et_TERRITORY_MO">et_union_hor!$19:$19</definedName>
    <definedName name="et_ver_B_FHD_DIFFERENTIATION">'Показатели ФХД'!$H:$H</definedName>
    <definedName name="et_ver_B_FHD_TKO_DIFFERENTIATION">'ТКО. Показатели ФХД'!$H:$H</definedName>
    <definedName name="et_ver_B_FHD_TKO_TRANS_DIFFERENTIATION">'ТКО. Транс. Показатели ФХД'!$H:$H</definedName>
    <definedName name="et_ver_B_KNE_DIFFERENTIATION">'Показатели КНЭ'!$G:$H</definedName>
    <definedName name="et_ver_B_OTEP_DIFFERENTIATION">'Показатели ОТЭП'!$L:$L</definedName>
    <definedName name="et_ver_COLDVSNA_TARIFF_A_COLDVSNA">'ХВС. Т-пит'!$V:$AB</definedName>
    <definedName name="et_ver_COLDVSNA_TARIFF_B_COLDVSNA">'ХВС. Т-тех'!$V:$AB</definedName>
    <definedName name="et_ver_COLDVSNA_TARIFF_C_COLDVSNA">'ХВС. Т-транс'!$V:$AB</definedName>
    <definedName name="et_ver_COLDVSNA_TARIFF_D_COLDVSNA">'ХВС. Т-подвоз'!$V:$AB</definedName>
    <definedName name="et_ver_COLDVSNA_TARIFF_E_COLDVSNA">'ХВС. Т-подкл'!$V:$AC</definedName>
    <definedName name="et_ver_HEAT_TARIFF_A">'ТС. Т-ТЭ | &gt;=25МВт'!$V:$AC</definedName>
    <definedName name="et_ver_HEAT_TARIFF_B">'ТС. Т-ТЭ | ТСО'!$V:$AC</definedName>
    <definedName name="et_ver_HEAT_TARIFF_C">'ТС. Т-ТН'!$V:$AC</definedName>
    <definedName name="et_ver_HEAT_TARIFF_D">'ТС. Т-гор.вода'!$X:$AF</definedName>
    <definedName name="et_ver_HEAT_TARIFF_E1">'ТС. Т-передача ТЭ'!$V:$AC</definedName>
    <definedName name="et_ver_HEAT_TARIFF_E2">'ТС. Т-передача ТН'!$V:$AC</definedName>
    <definedName name="et_ver_HEAT_TARIFF_F">'ТС. Резерв мощности'!$V:$AC</definedName>
    <definedName name="et_ver_HEAT_TARIFF_G">'ТС. Т-подкл'!$V:$AA</definedName>
    <definedName name="et_ver_HEAT_TARIFF_H">'ТС. Т-подкл(инд)'!$V:$AA</definedName>
    <definedName name="et_ver_HEAT_TARIFF_I">'ТС. Т-ТЭ | предел'!$V:$AC</definedName>
    <definedName name="et_ver_HEAT_TARIFF_I_1">'ТС. Т-ТЭ | индикат'!$V:$AC</definedName>
    <definedName name="et_ver_HOTVSNA_TARIFF_A_HOTVSNA">'ГВС. Т-гор.вода'!$V:$AF</definedName>
    <definedName name="et_ver_HOTVSNA_TARIFF_B_HOTVSNA">'ГВС. Т-транс'!$V:$AF</definedName>
    <definedName name="et_ver_HOTVSNA_TARIFF_C_HOTVSNA">'ГВС. Т-подкл'!$V:$AC</definedName>
    <definedName name="et_ver_IP_FIN_PLAN">'ИП. Финансовый план'!$H:$J</definedName>
    <definedName name="et_ver_IP_FIN_PLAN_YEAR">'ИП. Финансовый план'!$I:$I</definedName>
    <definedName name="et_ver_Q_LIMIT_DIFFERENTIATION">Ограничения!$G:$H</definedName>
    <definedName name="et_ver_Q_PH_DIFFERENTIATION">'Потребительские характеристики'!$G:$H</definedName>
    <definedName name="et_ver_Q_TP_DIFFERENTIATION">ТП!$G:$G</definedName>
    <definedName name="et_ver_VOTV_TARIFF_A_VOTV">'ВО. Т-во'!$V:$AB</definedName>
    <definedName name="et_ver_VOTV_TARIFF_B_VOTV">'ВО. Т-транс'!$V:$AB</definedName>
    <definedName name="et_ver_VOTV_TARIFF_C_VOTV">'ВО. Т-подкл'!$V:$AC</definedName>
    <definedName name="et_VOTV_TARIFF_A_VOTV_CS">'ВО. Т-во'!$4:$11</definedName>
    <definedName name="et_VOTV_TARIFF_A_VOTV_DATA_DIFF">'ВО. Т-во'!$7:$8</definedName>
    <definedName name="et_VOTV_TARIFF_A_VOTV_FLAG_DIFF">'ВО. Т-во'!$5:$10</definedName>
    <definedName name="et_VOTV_TARIFF_A_VOTV_GC">'ВО. Т-во'!$6:$9</definedName>
    <definedName name="et_VOTV_TARIFF_A_VOTV_NTAR">'ВО. Т-во'!$2:$13</definedName>
    <definedName name="et_VOTV_TARIFF_A_VOTV_PERIOD_COLOR">'ВО. Т-во'!$AC$7:$AI$8</definedName>
    <definedName name="et_VOTV_TARIFF_A_VOTV_PERIOD_NOT_COLOR">'ВО. Т-во'!$AC$15:$AI$16</definedName>
    <definedName name="et_VOTV_TARIFF_A_VOTV_TER">'ВО. Т-во'!$3:$12</definedName>
    <definedName name="et_VOTV_TARIFF_A_VOTV_TN">'ВО. Т-во'!$7:$8</definedName>
    <definedName name="et_VOTV_TARIFF_B_VOTV_CS">'ВО. Т-транс'!$4:$11</definedName>
    <definedName name="et_VOTV_TARIFF_B_VOTV_DATA_DIFF">'ВО. Т-транс'!$7:$8</definedName>
    <definedName name="et_VOTV_TARIFF_B_VOTV_FLAG_DIFF">'ВО. Т-транс'!$5:$10</definedName>
    <definedName name="et_VOTV_TARIFF_B_VOTV_GC">'ВО. Т-транс'!$6:$9</definedName>
    <definedName name="et_VOTV_TARIFF_B_VOTV_NTAR">'ВО. Т-транс'!$2:$13</definedName>
    <definedName name="et_VOTV_TARIFF_B_VOTV_PERIOD_COLOR">'ВО. Т-транс'!$AC$7:$AI$8</definedName>
    <definedName name="et_VOTV_TARIFF_B_VOTV_PERIOD_NOT_COLOR">'ВО. Т-транс'!$AC$15:$AI$16</definedName>
    <definedName name="et_VOTV_TARIFF_B_VOTV_TER">'ВО. Т-транс'!$3:$12</definedName>
    <definedName name="et_VOTV_TARIFF_B_VOTV_TN">'ВО. Т-транс'!$7:$8</definedName>
    <definedName name="et_VOTV_TARIFF_C_VOTV_CS">'ВО. Т-подкл'!$4:$16</definedName>
    <definedName name="et_VOTV_TARIFF_C_VOTV_DATA_DIFF">'ВО. Т-подкл'!$8:$12</definedName>
    <definedName name="et_VOTV_TARIFF_C_VOTV_DIAMETERS">'ВО. Т-подкл'!$8:$10</definedName>
    <definedName name="et_VOTV_TARIFF_C_VOTV_FLAG_DIFF">'ВО. Т-подкл'!$6:$14</definedName>
    <definedName name="et_VOTV_TARIFF_C_VOTV_GC">'ВО. Т-подкл'!$7:$13</definedName>
    <definedName name="et_VOTV_TARIFF_C_VOTV_LEN">'ВО. Т-подкл'!$8:$9</definedName>
    <definedName name="et_VOTV_TARIFF_C_VOTV_LOAD">'ВО. Т-подкл'!$8:$11</definedName>
    <definedName name="et_VOTV_TARIFF_C_VOTV_NETS">'ВО. Т-подкл'!$8:$8</definedName>
    <definedName name="et_VOTV_TARIFF_C_VOTV_NTAR">'ВО. Т-подкл'!$2:$18</definedName>
    <definedName name="et_VOTV_TARIFF_C_VOTV_PERIOD_COLOR">'ВО. Т-подкл'!$AT$8:$BA$8</definedName>
    <definedName name="et_VOTV_TARIFF_C_VOTV_PERIOD_NOT_COLOR">'ВО. Т-подкл'!$AT$20:$BA$20</definedName>
    <definedName name="et_VOTV_TARIFF_C_VOTV_TER">'ВО. Т-подкл'!$3:$17</definedName>
    <definedName name="f_quart">Титульный!$F$15</definedName>
    <definedName name="f_year">Титульный!$F$14</definedName>
    <definedName name="FHD_NAME_FORM">DATA_FORMS!$C$6</definedName>
    <definedName name="FHD_NOTE_P_1">DATA_NPA!$N$18</definedName>
    <definedName name="FHD_NOTE_P_10">DATA_NPA!$N$27</definedName>
    <definedName name="FHD_NOTE_P_11">DATA_NPA!$N$28</definedName>
    <definedName name="FHD_NOTE_P_12">DATA_NPA!$N$29</definedName>
    <definedName name="FHD_NOTE_P_13">DATA_NPA!$N$30</definedName>
    <definedName name="FHD_NOTE_P_14">DATA_NPA!$N$31</definedName>
    <definedName name="FHD_NOTE_P_15">DATA_NPA!$N$32</definedName>
    <definedName name="FHD_NOTE_P_16">DATA_NPA!$N$33</definedName>
    <definedName name="FHD_NOTE_P_17">DATA_NPA!$N$34</definedName>
    <definedName name="FHD_NOTE_P_18">DATA_NPA!$N$35</definedName>
    <definedName name="FHD_NOTE_P_19">DATA_NPA!$N$36</definedName>
    <definedName name="FHD_NOTE_P_2">DATA_NPA!$N$19</definedName>
    <definedName name="FHD_NOTE_P_20">DATA_NPA!$N$37</definedName>
    <definedName name="FHD_NOTE_P_21">DATA_NPA!$N$38</definedName>
    <definedName name="FHD_NOTE_P_22">DATA_NPA!$N$39</definedName>
    <definedName name="FHD_NOTE_P_23">DATA_NPA!$N$40</definedName>
    <definedName name="FHD_NOTE_P_24">DATA_NPA!$N$41</definedName>
    <definedName name="FHD_NOTE_P_25">DATA_NPA!$N$42</definedName>
    <definedName name="FHD_NOTE_P_26">DATA_NPA!$N$43</definedName>
    <definedName name="FHD_NOTE_P_27">DATA_NPA!$N$44</definedName>
    <definedName name="FHD_NOTE_P_28">DATA_NPA!$N$45</definedName>
    <definedName name="FHD_NOTE_P_29">DATA_NPA!$N$46</definedName>
    <definedName name="FHD_NOTE_P_3">DATA_NPA!$N$20</definedName>
    <definedName name="FHD_NOTE_P_30">DATA_NPA!$N$47</definedName>
    <definedName name="FHD_NOTE_P_31">DATA_NPA!$N$48</definedName>
    <definedName name="FHD_NOTE_P_32">DATA_NPA!$N$49</definedName>
    <definedName name="FHD_NOTE_P_33">DATA_NPA!$N$50</definedName>
    <definedName name="FHD_NOTE_P_34">DATA_NPA!$N$51</definedName>
    <definedName name="FHD_NOTE_P_35">DATA_NPA!$N$52</definedName>
    <definedName name="FHD_NOTE_P_36">DATA_NPA!$N$53</definedName>
    <definedName name="FHD_NOTE_P_37">DATA_NPA!$N$54</definedName>
    <definedName name="FHD_NOTE_P_38">DATA_NPA!$N$55</definedName>
    <definedName name="FHD_NOTE_P_39">DATA_NPA!$N$56</definedName>
    <definedName name="FHD_NOTE_P_4">DATA_NPA!$N$21</definedName>
    <definedName name="FHD_NOTE_P_40">DATA_NPA!$N$57</definedName>
    <definedName name="FHD_NOTE_P_41">DATA_NPA!$N$58</definedName>
    <definedName name="FHD_NOTE_P_42">DATA_NPA!$N$59</definedName>
    <definedName name="FHD_NOTE_P_43">DATA_NPA!$N$60</definedName>
    <definedName name="FHD_NOTE_P_44">DATA_NPA!$N$61</definedName>
    <definedName name="FHD_NOTE_P_45">DATA_NPA!$N$62</definedName>
    <definedName name="FHD_NOTE_P_46">DATA_NPA!$N$63</definedName>
    <definedName name="FHD_NOTE_P_47">DATA_NPA!$N$64</definedName>
    <definedName name="FHD_NOTE_P_48">DATA_NPA!$N$65</definedName>
    <definedName name="FHD_NOTE_P_49">DATA_NPA!$N$66</definedName>
    <definedName name="FHD_NOTE_P_5">DATA_NPA!$N$22</definedName>
    <definedName name="FHD_NOTE_P_50">DATA_NPA!$N$67</definedName>
    <definedName name="FHD_NOTE_P_51">DATA_NPA!$N$68</definedName>
    <definedName name="FHD_NOTE_P_52">DATA_NPA!$N$69</definedName>
    <definedName name="FHD_NOTE_P_53">DATA_NPA!$N$70</definedName>
    <definedName name="FHD_NOTE_P_54">DATA_NPA!$N$71</definedName>
    <definedName name="FHD_NOTE_P_55">DATA_NPA!$N$72</definedName>
    <definedName name="FHD_NOTE_P_56">DATA_NPA!$N$73</definedName>
    <definedName name="FHD_NOTE_P_57">DATA_NPA!$N$74</definedName>
    <definedName name="FHD_NOTE_P_58">DATA_NPA!$N$75</definedName>
    <definedName name="FHD_NOTE_P_59">DATA_NPA!$N$76</definedName>
    <definedName name="FHD_NOTE_P_6">DATA_NPA!$N$23</definedName>
    <definedName name="FHD_NOTE_P_60">DATA_NPA!$N$77</definedName>
    <definedName name="FHD_NOTE_P_61">DATA_NPA!$N$78</definedName>
    <definedName name="FHD_NOTE_P_62">DATA_NPA!$N$79</definedName>
    <definedName name="FHD_NOTE_P_63">DATA_NPA!$N$80</definedName>
    <definedName name="FHD_NOTE_P_64">DATA_NPA!$N$81</definedName>
    <definedName name="FHD_NOTE_P_65">DATA_NPA!$N$82</definedName>
    <definedName name="FHD_NOTE_P_66">DATA_NPA!$N$83</definedName>
    <definedName name="FHD_NOTE_P_67">DATA_NPA!$N$84</definedName>
    <definedName name="FHD_NOTE_P_68">DATA_NPA!$N$85</definedName>
    <definedName name="FHD_NOTE_P_69">DATA_NPA!$N$86</definedName>
    <definedName name="FHD_NOTE_P_7">DATA_NPA!$N$24</definedName>
    <definedName name="FHD_NOTE_P_70">DATA_NPA!$N$87</definedName>
    <definedName name="FHD_NOTE_P_71">DATA_NPA!$N$88</definedName>
    <definedName name="FHD_NOTE_P_72">DATA_NPA!$N$89</definedName>
    <definedName name="FHD_NOTE_P_73">DATA_NPA!$N$90</definedName>
    <definedName name="FHD_NOTE_P_74">DATA_NPA!$N$91</definedName>
    <definedName name="FHD_NOTE_P_75">DATA_NPA!$N$92</definedName>
    <definedName name="FHD_NOTE_P_76">DATA_NPA!$N$93</definedName>
    <definedName name="FHD_NOTE_P_77">DATA_NPA!$N$94</definedName>
    <definedName name="FHD_NOTE_P_78">DATA_NPA!$N$95</definedName>
    <definedName name="FHD_NOTE_P_79">DATA_NPA!$N$96</definedName>
    <definedName name="FHD_NOTE_P_8">DATA_NPA!$N$25</definedName>
    <definedName name="FHD_NOTE_P_80">DATA_NPA!$N$97</definedName>
    <definedName name="FHD_NOTE_P_81">DATA_NPA!$N$98</definedName>
    <definedName name="FHD_NOTE_P_82">DATA_NPA!$N$99</definedName>
    <definedName name="FHD_NOTE_P_83">DATA_NPA!$N$100</definedName>
    <definedName name="FHD_NOTE_P_84">DATA_NPA!$N$101</definedName>
    <definedName name="FHD_NOTE_P_9">DATA_NPA!$N$26</definedName>
    <definedName name="FHD_NUM_P_1">DATA_NPA!$L$18</definedName>
    <definedName name="FHD_NUM_P_10">DATA_NPA!$L$27</definedName>
    <definedName name="FHD_NUM_P_11">DATA_NPA!$L$28</definedName>
    <definedName name="FHD_NUM_P_12">DATA_NPA!$L$29</definedName>
    <definedName name="FHD_NUM_P_13">DATA_NPA!$L$30</definedName>
    <definedName name="FHD_NUM_P_14">DATA_NPA!$L$31</definedName>
    <definedName name="FHD_NUM_P_15">DATA_NPA!$L$32</definedName>
    <definedName name="FHD_NUM_P_16">DATA_NPA!$L$33</definedName>
    <definedName name="FHD_NUM_P_17">DATA_NPA!$L$34</definedName>
    <definedName name="FHD_NUM_P_18">DATA_NPA!$L$35</definedName>
    <definedName name="FHD_NUM_P_19">DATA_NPA!$L$36</definedName>
    <definedName name="FHD_NUM_P_2">DATA_NPA!$L$19</definedName>
    <definedName name="FHD_NUM_P_20">DATA_NPA!$L$37</definedName>
    <definedName name="FHD_NUM_P_21">DATA_NPA!$L$38</definedName>
    <definedName name="FHD_NUM_P_22">DATA_NPA!$L$39</definedName>
    <definedName name="FHD_NUM_P_23">DATA_NPA!$L$40</definedName>
    <definedName name="FHD_NUM_P_24">DATA_NPA!$L$41</definedName>
    <definedName name="FHD_NUM_P_25">DATA_NPA!$L$42</definedName>
    <definedName name="FHD_NUM_P_26">DATA_NPA!$L$43</definedName>
    <definedName name="FHD_NUM_P_27">DATA_NPA!$L$44</definedName>
    <definedName name="FHD_NUM_P_28">DATA_NPA!$L$45</definedName>
    <definedName name="FHD_NUM_P_29">DATA_NPA!$L$46</definedName>
    <definedName name="FHD_NUM_P_3">DATA_NPA!$L$20</definedName>
    <definedName name="FHD_NUM_P_30">DATA_NPA!$L$47</definedName>
    <definedName name="FHD_NUM_P_31">DATA_NPA!$L$48</definedName>
    <definedName name="FHD_NUM_P_32">DATA_NPA!$L$49</definedName>
    <definedName name="FHD_NUM_P_33">DATA_NPA!$L$50</definedName>
    <definedName name="FHD_NUM_P_34">DATA_NPA!$L$51</definedName>
    <definedName name="FHD_NUM_P_35">DATA_NPA!$L$52</definedName>
    <definedName name="FHD_NUM_P_36">DATA_NPA!$L$53</definedName>
    <definedName name="FHD_NUM_P_37">DATA_NPA!$L$54</definedName>
    <definedName name="FHD_NUM_P_38">DATA_NPA!$L$55</definedName>
    <definedName name="FHD_NUM_P_39">DATA_NPA!$L$56</definedName>
    <definedName name="FHD_NUM_P_4">DATA_NPA!$L$21</definedName>
    <definedName name="FHD_NUM_P_40">DATA_NPA!$L$57</definedName>
    <definedName name="FHD_NUM_P_41">DATA_NPA!$L$58</definedName>
    <definedName name="FHD_NUM_P_42">DATA_NPA!$L$59</definedName>
    <definedName name="FHD_NUM_P_43">DATA_NPA!$L$60</definedName>
    <definedName name="FHD_NUM_P_44">DATA_NPA!$L$61</definedName>
    <definedName name="FHD_NUM_P_45">DATA_NPA!$L$62</definedName>
    <definedName name="FHD_NUM_P_46">DATA_NPA!$L$63</definedName>
    <definedName name="FHD_NUM_P_47">DATA_NPA!$L$64</definedName>
    <definedName name="FHD_NUM_P_48">DATA_NPA!$L$65</definedName>
    <definedName name="FHD_NUM_P_49">DATA_NPA!$L$66</definedName>
    <definedName name="FHD_NUM_P_5">DATA_NPA!$L$22</definedName>
    <definedName name="FHD_NUM_P_50">DATA_NPA!$L$67</definedName>
    <definedName name="FHD_NUM_P_51">DATA_NPA!$L$68</definedName>
    <definedName name="FHD_NUM_P_52">DATA_NPA!$L$69</definedName>
    <definedName name="FHD_NUM_P_53">DATA_NPA!$L$70</definedName>
    <definedName name="FHD_NUM_P_54">DATA_NPA!$L$71</definedName>
    <definedName name="FHD_NUM_P_55">DATA_NPA!$L$72</definedName>
    <definedName name="FHD_NUM_P_56">DATA_NPA!$L$73</definedName>
    <definedName name="FHD_NUM_P_57">DATA_NPA!$L$74</definedName>
    <definedName name="FHD_NUM_P_58">DATA_NPA!$L$75</definedName>
    <definedName name="FHD_NUM_P_59">DATA_NPA!$L$76</definedName>
    <definedName name="FHD_NUM_P_6">DATA_NPA!$L$23</definedName>
    <definedName name="FHD_NUM_P_60">DATA_NPA!$L$77</definedName>
    <definedName name="FHD_NUM_P_61">DATA_NPA!$L$78</definedName>
    <definedName name="FHD_NUM_P_62">DATA_NPA!$L$79</definedName>
    <definedName name="FHD_NUM_P_63">DATA_NPA!$L$80</definedName>
    <definedName name="FHD_NUM_P_64">DATA_NPA!$L$81</definedName>
    <definedName name="FHD_NUM_P_65">DATA_NPA!$L$82</definedName>
    <definedName name="FHD_NUM_P_66">DATA_NPA!$L$83</definedName>
    <definedName name="FHD_NUM_P_67">DATA_NPA!$L$84</definedName>
    <definedName name="FHD_NUM_P_68">DATA_NPA!$L$85</definedName>
    <definedName name="FHD_NUM_P_69">DATA_NPA!$L$86</definedName>
    <definedName name="FHD_NUM_P_7">DATA_NPA!$L$24</definedName>
    <definedName name="FHD_NUM_P_70">DATA_NPA!$L$87</definedName>
    <definedName name="FHD_NUM_P_71">DATA_NPA!$L$88</definedName>
    <definedName name="FHD_NUM_P_72">DATA_NPA!$L$89</definedName>
    <definedName name="FHD_NUM_P_73">DATA_NPA!$L$90</definedName>
    <definedName name="FHD_NUM_P_74">DATA_NPA!$L$91</definedName>
    <definedName name="FHD_NUM_P_75">DATA_NPA!$L$92</definedName>
    <definedName name="FHD_NUM_P_76">DATA_NPA!$L$93</definedName>
    <definedName name="FHD_NUM_P_77">DATA_NPA!$L$94</definedName>
    <definedName name="FHD_NUM_P_78">DATA_NPA!$L$95</definedName>
    <definedName name="FHD_NUM_P_79">DATA_NPA!$L$96</definedName>
    <definedName name="FHD_NUM_P_8">DATA_NPA!$L$25</definedName>
    <definedName name="FHD_NUM_P_80">DATA_NPA!$L$97</definedName>
    <definedName name="FHD_NUM_P_81">DATA_NPA!$L$98</definedName>
    <definedName name="FHD_NUM_P_82">DATA_NPA!$L$99</definedName>
    <definedName name="FHD_NUM_P_83">DATA_NPA!$L$100</definedName>
    <definedName name="FHD_NUM_P_84">DATA_NPA!$L$101</definedName>
    <definedName name="FHD_NUM_P_9">DATA_NPA!$L$26</definedName>
    <definedName name="FHD_NUM_P_A">DATA_NPA!$L$18</definedName>
    <definedName name="FHD_P_1">DATA_NPA!$M$18</definedName>
    <definedName name="FHD_P_10">DATA_NPA!$M$27</definedName>
    <definedName name="FHD_P_11">DATA_NPA!$M$28</definedName>
    <definedName name="FHD_P_12">DATA_NPA!$M$29</definedName>
    <definedName name="FHD_P_13">DATA_NPA!$M$30</definedName>
    <definedName name="FHD_P_14">DATA_NPA!$M$31</definedName>
    <definedName name="FHD_P_15">DATA_NPA!$M$32</definedName>
    <definedName name="FHD_P_16">DATA_NPA!$M$33</definedName>
    <definedName name="FHD_P_17">DATA_NPA!$M$34</definedName>
    <definedName name="FHD_P_18">DATA_NPA!$M$35</definedName>
    <definedName name="FHD_P_19">DATA_NPA!$M$36</definedName>
    <definedName name="FHD_P_2">DATA_NPA!$M$19</definedName>
    <definedName name="FHD_P_20">DATA_NPA!$M$37</definedName>
    <definedName name="FHD_P_21">DATA_NPA!$M$38</definedName>
    <definedName name="FHD_P_22">DATA_NPA!$M$39</definedName>
    <definedName name="FHD_P_23">DATA_NPA!$M$40</definedName>
    <definedName name="FHD_P_24">DATA_NPA!$M$41</definedName>
    <definedName name="FHD_P_25">DATA_NPA!$M$42</definedName>
    <definedName name="FHD_P_26">DATA_NPA!$M$43</definedName>
    <definedName name="FHD_P_27">DATA_NPA!$M$44</definedName>
    <definedName name="FHD_P_28">DATA_NPA!$M$45</definedName>
    <definedName name="FHD_P_29">DATA_NPA!$M$46</definedName>
    <definedName name="FHD_P_3">DATA_NPA!$M$20</definedName>
    <definedName name="FHD_P_30">DATA_NPA!$M$47</definedName>
    <definedName name="FHD_P_31">DATA_NPA!$M$48</definedName>
    <definedName name="FHD_P_32">DATA_NPA!$M$49</definedName>
    <definedName name="FHD_P_33">DATA_NPA!$M$50</definedName>
    <definedName name="FHD_P_34">DATA_NPA!$M$51</definedName>
    <definedName name="FHD_P_35">DATA_NPA!$M$52</definedName>
    <definedName name="FHD_P_36">DATA_NPA!$M$53</definedName>
    <definedName name="FHD_P_37">DATA_NPA!$M$54</definedName>
    <definedName name="FHD_P_38">DATA_NPA!$M$55</definedName>
    <definedName name="FHD_P_39">DATA_NPA!$M$56</definedName>
    <definedName name="FHD_P_4">DATA_NPA!$M$21</definedName>
    <definedName name="FHD_P_40">DATA_NPA!$M$57</definedName>
    <definedName name="FHD_P_41">DATA_NPA!$M$58</definedName>
    <definedName name="FHD_P_42">DATA_NPA!$M$59</definedName>
    <definedName name="FHD_P_43">DATA_NPA!$M$60</definedName>
    <definedName name="FHD_P_44">DATA_NPA!$M$61</definedName>
    <definedName name="FHD_P_45">DATA_NPA!$M$62</definedName>
    <definedName name="FHD_P_46">DATA_NPA!$M$63</definedName>
    <definedName name="FHD_P_47">DATA_NPA!$M$64</definedName>
    <definedName name="FHD_P_48">DATA_NPA!$M$65</definedName>
    <definedName name="FHD_P_49">DATA_NPA!$M$66</definedName>
    <definedName name="FHD_P_5">DATA_NPA!$M$22</definedName>
    <definedName name="FHD_P_50">DATA_NPA!$M$67</definedName>
    <definedName name="FHD_P_51">DATA_NPA!$M$68</definedName>
    <definedName name="FHD_P_52">DATA_NPA!$M$69</definedName>
    <definedName name="FHD_P_53">DATA_NPA!$M$70</definedName>
    <definedName name="FHD_P_54">DATA_NPA!$M$71</definedName>
    <definedName name="FHD_P_55">DATA_NPA!$M$72</definedName>
    <definedName name="FHD_P_56">DATA_NPA!$M$73</definedName>
    <definedName name="FHD_P_57">DATA_NPA!$M$74</definedName>
    <definedName name="FHD_P_58">DATA_NPA!$M$75</definedName>
    <definedName name="FHD_P_59">DATA_NPA!$M$76</definedName>
    <definedName name="FHD_P_6">DATA_NPA!$M$23</definedName>
    <definedName name="FHD_P_60">DATA_NPA!$M$77</definedName>
    <definedName name="FHD_P_61">DATA_NPA!$M$78</definedName>
    <definedName name="FHD_P_62">DATA_NPA!$M$79</definedName>
    <definedName name="FHD_P_63">DATA_NPA!$M$80</definedName>
    <definedName name="FHD_P_64">DATA_NPA!$M$81</definedName>
    <definedName name="FHD_P_65">DATA_NPA!$M$82</definedName>
    <definedName name="FHD_P_66">DATA_NPA!$M$83</definedName>
    <definedName name="FHD_P_67">DATA_NPA!$M$84</definedName>
    <definedName name="FHD_P_68">DATA_NPA!$M$85</definedName>
    <definedName name="FHD_P_69">DATA_NPA!$M$86</definedName>
    <definedName name="FHD_P_7">DATA_NPA!$M$24</definedName>
    <definedName name="FHD_P_70">DATA_NPA!$M$87</definedName>
    <definedName name="FHD_P_71">DATA_NPA!$M$88</definedName>
    <definedName name="FHD_P_72">DATA_NPA!$M$89</definedName>
    <definedName name="FHD_P_73">DATA_NPA!$M$90</definedName>
    <definedName name="FHD_P_74">DATA_NPA!$M$91</definedName>
    <definedName name="FHD_P_75">DATA_NPA!$M$92</definedName>
    <definedName name="FHD_P_76">DATA_NPA!$M$93</definedName>
    <definedName name="FHD_P_77">DATA_NPA!$M$94</definedName>
    <definedName name="FHD_P_78">DATA_NPA!$M$95</definedName>
    <definedName name="FHD_P_79">DATA_NPA!$M$96</definedName>
    <definedName name="FHD_P_8">DATA_NPA!$M$25</definedName>
    <definedName name="FHD_P_80">DATA_NPA!$M$97</definedName>
    <definedName name="FHD_P_81">DATA_NPA!$M$98</definedName>
    <definedName name="FHD_P_82">DATA_NPA!$M$99</definedName>
    <definedName name="FHD_P_83">DATA_NPA!$M$100</definedName>
    <definedName name="FHD_P_84">DATA_NPA!$M$101</definedName>
    <definedName name="FHD_P_9">DATA_NPA!$M$26</definedName>
    <definedName name="FHD_P_A">DATA_NPA!$M$18</definedName>
    <definedName name="FHD20_NAME_FORM">DATA_FORMS!$C$7</definedName>
    <definedName name="fil">Титульный!$F$32</definedName>
    <definedName name="flag_Q_LIMIT_p3">Ограничения!$F$36:$K$36</definedName>
    <definedName name="flag_Q_LIMIT_p4">Ограничения!$F$38:$K$38</definedName>
    <definedName name="HEAT_FIN_SRC_LIST">TEHSHEET!$BH$4:$BH$26</definedName>
    <definedName name="HEAT_FIN_SRC_VLD_LIST">TEHSHEET!$BH$39:$BH$54</definedName>
    <definedName name="HEAT_IP_EVENT_CI_STAGE_LIST">TEHSHEET!$BH$97:$BH$99</definedName>
    <definedName name="HEAT_IP_EVENT_GROUP_LIST">TEHSHEET!$BH$69:$BH$76</definedName>
    <definedName name="HEAT_IP_EVENT_SUBGROUP_1_LIST">TEHSHEET!$BH$80:$BH$83</definedName>
    <definedName name="HEAT_IP_EVENT_SUBGROUP_3_LIST">TEHSHEET!$BH$87:$BH$88</definedName>
    <definedName name="HEAT_IP_EVENT_SUBGROUP_5_LIST">TEHSHEET!$BH$92:$BH$93</definedName>
    <definedName name="HEAT_IP_EVENT_TYPE_LIST">TEHSHEET!$BH$108:$BH$110</definedName>
    <definedName name="HEAT_PT_SCHEME">TEHSHEET!$BH$115:$BH$118</definedName>
    <definedName name="HEAT_PT_TARIFF_ID">TEHSHEET!$BQ$5:$BQ$14</definedName>
    <definedName name="HEAT_PT_TARIFF_NAME">TEHSHEET!$BR$5:$BR$14</definedName>
    <definedName name="HEAT_PT_TARIFF_NAME_LIST">TEHSHEET!$BQ$5:$BR$14</definedName>
    <definedName name="HEAT_PT_VED_ID">TEHSHEET!$BQ$19:$BQ$28</definedName>
    <definedName name="HEAT_PT_VED_NAME">TEHSHEET!$BR$19:$BR$28</definedName>
    <definedName name="HEAT_PT_VED_NAME_LIST">TEHSHEET!$BQ$19:$BR$28</definedName>
    <definedName name="HEAT_TARIFF_A_ADD_HL_COLUMN_MARKER">'ТС. Т-ТЭ | &gt;=25МВт'!$T$36</definedName>
    <definedName name="HEAT_TARIFF_A_DEL_HL_GC_COLUMN_MARKER">'ТС. Т-ТЭ | &gt;=25МВт'!$Q$36</definedName>
    <definedName name="HEAT_TARIFF_A_DEL_HL_SCHEME_COLUMN_MARKER">'ТС. Т-ТЭ | &gt;=25МВт'!$P$36</definedName>
    <definedName name="HEAT_TARIFF_A_DEL_HL_TN_COLUMN_MARKER">'ТС. Т-ТЭ | &gt;=25МВт'!$R$36</definedName>
    <definedName name="HEAT_TARIFF_A_DELETE_PERIOD_ROW_MARKER">'ТС. Т-ТЭ | &gt;=25МВт'!$O$37</definedName>
    <definedName name="HEAT_TARIFF_A_FLAG_BLOCK_COLUMN_MARKER">'ТС. Т-ТЭ | &gt;=25МВт'!$L$41</definedName>
    <definedName name="HEAT_TARIFF_A_FLAG_BLOCK_ROW_MARKER">'ТС. Т-ТЭ | &gt;=25МВт'!$O$22</definedName>
    <definedName name="HEAT_TARIFF_A_NUM_CS_COLUMN_MARKER">'ТС. Т-ТЭ | &gt;=25МВт'!$G$41</definedName>
    <definedName name="HEAT_TARIFF_A_NUM_GC_COLUMN_MARKER">'ТС. Т-ТЭ | &gt;=25МВт'!$J$41</definedName>
    <definedName name="HEAT_TARIFF_A_NUM_IST_TE_COLUMN_MARKER">'ТС. Т-ТЭ | &gt;=25МВт'!$H$41</definedName>
    <definedName name="HEAT_TARIFF_A_NUM_NTAR_COLUMN_MARKER">'ТС. Т-ТЭ | &gt;=25МВт'!$E$41</definedName>
    <definedName name="HEAT_TARIFF_A_NUM_SCHEME_COLUMN_MARKER">'ТС. Т-ТЭ | &gt;=25МВт'!$I$41</definedName>
    <definedName name="HEAT_TARIFF_A_NUM_TER_COLUMN_MARKER">'ТС. Т-ТЭ | &gt;=25МВт'!$F$41</definedName>
    <definedName name="HEAT_TARIFF_A_NUM_TN_COLUMN_MARKER">'ТС. Т-ТЭ | &gt;=25МВт'!$K$41</definedName>
    <definedName name="HEAT_TARIFF_B_ADD_HL_COLUMN_MARKER">'ТС. Т-ТЭ | ТСО'!$T$36</definedName>
    <definedName name="HEAT_TARIFF_B_DEL_HL_GC_COLUMN_MARKER">'ТС. Т-ТЭ | ТСО'!$Q$36</definedName>
    <definedName name="HEAT_TARIFF_B_DEL_HL_SCHEME_COLUMN_MARKER">'ТС. Т-ТЭ | ТСО'!$P$36</definedName>
    <definedName name="HEAT_TARIFF_B_DEL_HL_TN_COLUMN_MARKER">'ТС. Т-ТЭ | ТСО'!$R$36</definedName>
    <definedName name="HEAT_TARIFF_B_DELETE_PERIOD_ROW_MARKER">'ТС. Т-ТЭ | ТСО'!$O$37</definedName>
    <definedName name="HEAT_TARIFF_B_FLAG_BLOCK_COLUMN_MARKER">'ТС. Т-ТЭ | ТСО'!$L$41</definedName>
    <definedName name="HEAT_TARIFF_B_FLAG_BLOCK_ROW_MARKER">'ТС. Т-ТЭ | ТСО'!$O$22</definedName>
    <definedName name="HEAT_TARIFF_B_NUM_CS_COLUMN_MARKER">'ТС. Т-ТЭ | ТСО'!$G$41</definedName>
    <definedName name="HEAT_TARIFF_B_NUM_GC_COLUMN_MARKER">'ТС. Т-ТЭ | ТСО'!$J$41</definedName>
    <definedName name="HEAT_TARIFF_B_NUM_IST_TE_COLUMN_MARKER">'ТС. Т-ТЭ | ТСО'!$H$41</definedName>
    <definedName name="HEAT_TARIFF_B_NUM_NTAR_COLUMN_MARKER">'ТС. Т-ТЭ | ТСО'!$E$41</definedName>
    <definedName name="HEAT_TARIFF_B_NUM_SCHEME_COLUMN_MARKER">'ТС. Т-ТЭ | ТСО'!$I$41</definedName>
    <definedName name="HEAT_TARIFF_B_NUM_TER_COLUMN_MARKER">'ТС. Т-ТЭ | ТСО'!$F$41</definedName>
    <definedName name="HEAT_TARIFF_B_NUM_TN_COLUMN_MARKER">'ТС. Т-ТЭ | ТСО'!$K$41</definedName>
    <definedName name="HEAT_TARIFF_C_ADD_HL_COLUMN_MARKER">'ТС. Т-ТН'!$T$36</definedName>
    <definedName name="HEAT_TARIFF_C_DEL_HL_GC_COLUMN_MARKER">'ТС. Т-ТН'!$Q$36</definedName>
    <definedName name="HEAT_TARIFF_C_DEL_HL_SCHEME_COLUMN_MARKER">'ТС. Т-ТН'!$P$36</definedName>
    <definedName name="HEAT_TARIFF_C_DEL_HL_TN_COLUMN_MARKER">'ТС. Т-ТН'!$R$36</definedName>
    <definedName name="HEAT_TARIFF_C_DELETE_PERIOD_ROW_MARKER">'ТС. Т-ТН'!$O$37</definedName>
    <definedName name="HEAT_TARIFF_C_FLAG_BLOCK_COLUMN_MARKER">'ТС. Т-ТН'!$L$41</definedName>
    <definedName name="HEAT_TARIFF_C_FLAG_BLOCK_ROW_MARKER">'ТС. Т-ТН'!$O$22</definedName>
    <definedName name="HEAT_TARIFF_C_NUM_CS_COLUMN_MARKER">'ТС. Т-ТН'!$G$41</definedName>
    <definedName name="HEAT_TARIFF_C_NUM_GC_COLUMN_MARKER">'ТС. Т-ТН'!$J$41</definedName>
    <definedName name="HEAT_TARIFF_C_NUM_IST_TE_COLUMN_MARKER">'ТС. Т-ТН'!$H$41</definedName>
    <definedName name="HEAT_TARIFF_C_NUM_NTAR_COLUMN_MARKER">'ТС. Т-ТН'!$E$41</definedName>
    <definedName name="HEAT_TARIFF_C_NUM_SCHEME_COLUMN_MARKER">'ТС. Т-ТН'!$I$41</definedName>
    <definedName name="HEAT_TARIFF_C_NUM_TER_COLUMN_MARKER">'ТС. Т-ТН'!$F$41</definedName>
    <definedName name="HEAT_TARIFF_C_NUM_TN_COLUMN_MARKER">'ТС. Т-ТН'!$K$41</definedName>
    <definedName name="HEAT_TARIFF_D_ADD_HL_COLUMN_MARKER">'ТС. Т-гор.вода'!$V$40</definedName>
    <definedName name="HEAT_TARIFF_D_DEL_HL_CONS_COLUMN_MARKER">'ТС. Т-гор.вода'!$T$40</definedName>
    <definedName name="HEAT_TARIFF_D_DEL_HL_GC_COLUMN_MARKER">'ТС. Т-гор.вода'!$R$40</definedName>
    <definedName name="HEAT_TARIFF_D_DEL_HL_SCHEME_COLUMN_MARKER">'ТС. Т-гор.вода'!$Q$40</definedName>
    <definedName name="HEAT_TARIFF_D_DEL_HL_TN_COLUMN_MARKER">'ТС. Т-гор.вода'!$S$40</definedName>
    <definedName name="HEAT_TARIFF_D_DELETE_PERIOD_ROW_MARKER">'ТС. Т-гор.вода'!$P$41</definedName>
    <definedName name="HEAT_TARIFF_D_FLAG_BLOCK_COLUMN_MARKER">'ТС. Т-гор.вода'!$M$47</definedName>
    <definedName name="HEAT_TARIFF_D_FLAG_BLOCK_ROW_MARKER">'ТС. Т-гор.вода'!$P$26</definedName>
    <definedName name="HEAT_TARIFF_D_NUM_CONS_COLUMN_MARKER">'ТС. Т-гор.вода'!$L$47</definedName>
    <definedName name="HEAT_TARIFF_D_NUM_CS_COLUMN_MARKER">'ТС. Т-гор.вода'!$G$47</definedName>
    <definedName name="HEAT_TARIFF_D_NUM_GC_COLUMN_MARKER">'ТС. Т-гор.вода'!$J$47</definedName>
    <definedName name="HEAT_TARIFF_D_NUM_IST_TE_COLUMN_MARKER">'ТС. Т-гор.вода'!$H$47</definedName>
    <definedName name="HEAT_TARIFF_D_NUM_NTAR_COLUMN_MARKER">'ТС. Т-гор.вода'!$E$47</definedName>
    <definedName name="HEAT_TARIFF_D_NUM_SCHEME_COLUMN_MARKER">'ТС. Т-гор.вода'!$I$47</definedName>
    <definedName name="HEAT_TARIFF_D_NUM_TER_COLUMN_MARKER">'ТС. Т-гор.вода'!$F$47</definedName>
    <definedName name="HEAT_TARIFF_D_NUM_TN_COLUMN_MARKER">'ТС. Т-гор.вода'!$K$47</definedName>
    <definedName name="HEAT_TARIFF_E1_ADD_HL_COLUMN_MARKER">'ТС. Т-передача ТЭ'!$T$36</definedName>
    <definedName name="HEAT_TARIFF_E1_DEL_HL_GC_COLUMN_MARKER">'ТС. Т-передача ТЭ'!$Q$36</definedName>
    <definedName name="HEAT_TARIFF_E1_DEL_HL_SCHEME_COLUMN_MARKER">'ТС. Т-передача ТЭ'!$P$36</definedName>
    <definedName name="HEAT_TARIFF_E1_DEL_HL_TN_COLUMN_MARKER">'ТС. Т-передача ТЭ'!$R$36</definedName>
    <definedName name="HEAT_TARIFF_E1_DELETE_PERIOD_ROW_MARKER">'ТС. Т-передача ТЭ'!$O$37</definedName>
    <definedName name="HEAT_TARIFF_E1_FLAG_BLOCK_COLUMN_MARKER">'ТС. Т-передача ТЭ'!$L$41</definedName>
    <definedName name="HEAT_TARIFF_E1_FLAG_BLOCK_ROW_MARKER">'ТС. Т-передача ТЭ'!$O$22</definedName>
    <definedName name="HEAT_TARIFF_E1_NUM_CS_COLUMN_MARKER">'ТС. Т-передача ТЭ'!$G$41</definedName>
    <definedName name="HEAT_TARIFF_E1_NUM_GC_COLUMN_MARKER">'ТС. Т-передача ТЭ'!$J$41</definedName>
    <definedName name="HEAT_TARIFF_E1_NUM_IST_TE_COLUMN_MARKER">'ТС. Т-передача ТЭ'!$H$41</definedName>
    <definedName name="HEAT_TARIFF_E1_NUM_NTAR_COLUMN_MARKER">'ТС. Т-передача ТЭ'!$E$41</definedName>
    <definedName name="HEAT_TARIFF_E1_NUM_SCHEME_COLUMN_MARKER">'ТС. Т-передача ТЭ'!$I$41</definedName>
    <definedName name="HEAT_TARIFF_E1_NUM_TER_COLUMN_MARKER">'ТС. Т-передача ТЭ'!$F$41</definedName>
    <definedName name="HEAT_TARIFF_E1_NUM_TN_COLUMN_MARKER">'ТС. Т-передача ТЭ'!$K$41</definedName>
    <definedName name="HEAT_TARIFF_E2_ADD_HL_COLUMN_MARKER">'ТС. Т-передача ТН'!$T$36</definedName>
    <definedName name="HEAT_TARIFF_E2_DEL_HL_GC_COLUMN_MARKER">'ТС. Т-передача ТН'!$Q$36</definedName>
    <definedName name="HEAT_TARIFF_E2_DEL_HL_SCHEME_COLUMN_MARKER">'ТС. Т-передача ТН'!$P$36</definedName>
    <definedName name="HEAT_TARIFF_E2_DEL_HL_TN_COLUMN_MARKER">'ТС. Т-передача ТН'!$R$36</definedName>
    <definedName name="HEAT_TARIFF_E2_DELETE_PERIOD_ROW_MARKER">'ТС. Т-передача ТН'!$O$37</definedName>
    <definedName name="HEAT_TARIFF_E2_FLAG_BLOCK_COLUMN_MARKER">'ТС. Т-передача ТН'!$L$41</definedName>
    <definedName name="HEAT_TARIFF_E2_FLAG_BLOCK_ROW_MARKER">'ТС. Т-передача ТН'!$O$22</definedName>
    <definedName name="HEAT_TARIFF_E2_NUM_CS_COLUMN_MARKER">'ТС. Т-передача ТН'!$G$41</definedName>
    <definedName name="HEAT_TARIFF_E2_NUM_GC_COLUMN_MARKER">'ТС. Т-передача ТН'!$J$41</definedName>
    <definedName name="HEAT_TARIFF_E2_NUM_IST_TE_COLUMN_MARKER">'ТС. Т-передача ТН'!$H$41</definedName>
    <definedName name="HEAT_TARIFF_E2_NUM_NTAR_COLUMN_MARKER">'ТС. Т-передача ТН'!$E$41</definedName>
    <definedName name="HEAT_TARIFF_E2_NUM_SCHEME_COLUMN_MARKER">'ТС. Т-передача ТН'!$I$41</definedName>
    <definedName name="HEAT_TARIFF_E2_NUM_TER_COLUMN_MARKER">'ТС. Т-передача ТН'!$F$41</definedName>
    <definedName name="HEAT_TARIFF_E2_NUM_TN_COLUMN_MARKER">'ТС. Т-передача ТН'!$K$41</definedName>
    <definedName name="HEAT_TARIFF_F_ADD_HL_COLUMN_MARKER">'ТС. Резерв мощности'!$T$36</definedName>
    <definedName name="HEAT_TARIFF_F_DEL_HL_GC_COLUMN_MARKER">'ТС. Резерв мощности'!$Q$36</definedName>
    <definedName name="HEAT_TARIFF_F_DEL_HL_SCHEME_COLUMN_MARKER">'ТС. Резерв мощности'!$P$36</definedName>
    <definedName name="HEAT_TARIFF_F_DEL_HL_TN_COLUMN_MARKER">'ТС. Резерв мощности'!$R$36</definedName>
    <definedName name="HEAT_TARIFF_F_DELETE_PERIOD_ROW_MARKER">'ТС. Резерв мощности'!$O$37</definedName>
    <definedName name="HEAT_TARIFF_F_FLAG_BLOCK_COLUMN_MARKER">'ТС. Резерв мощности'!$L$41</definedName>
    <definedName name="HEAT_TARIFF_F_FLAG_BLOCK_ROW_MARKER">'ТС. Резерв мощности'!$O$22</definedName>
    <definedName name="HEAT_TARIFF_F_NUM_CS_COLUMN_MARKER">'ТС. Резерв мощности'!$G$41</definedName>
    <definedName name="HEAT_TARIFF_F_NUM_GC_COLUMN_MARKER">'ТС. Резерв мощности'!$J$41</definedName>
    <definedName name="HEAT_TARIFF_F_NUM_IST_TE_COLUMN_MARKER">'ТС. Резерв мощности'!$H$41</definedName>
    <definedName name="HEAT_TARIFF_F_NUM_NTAR_COLUMN_MARKER">'ТС. Резерв мощности'!$E$41</definedName>
    <definedName name="HEAT_TARIFF_F_NUM_SCHEME_COLUMN_MARKER">'ТС. Резерв мощности'!$I$41</definedName>
    <definedName name="HEAT_TARIFF_F_NUM_TER_COLUMN_MARKER">'ТС. Резерв мощности'!$F$41</definedName>
    <definedName name="HEAT_TARIFF_F_NUM_TN_COLUMN_MARKER">'ТС. Резерв мощности'!$K$41</definedName>
    <definedName name="HEAT_TARIFF_G_ADD_HL_COLUMN_MARKER">'ТС. Т-подкл'!$T$37</definedName>
    <definedName name="HEAT_TARIFF_G_ADD_HL_DIAMETERS_COLUMN_MARKER">'ТС. Т-подкл'!$AM$37</definedName>
    <definedName name="HEAT_TARIFF_G_ADD_HL_LOAD_COLUMN_MARKER">'ТС. Т-подкл'!$AE$37</definedName>
    <definedName name="HEAT_TARIFF_G_ADD_HL_NETS_COLUMN_MARKER">'ТС. Т-подкл'!$AI$37</definedName>
    <definedName name="HEAT_TARIFF_G_DEL_HL_DIAMETERS_COLUMN_MARKER">'ТС. Т-подкл'!$AK$37</definedName>
    <definedName name="HEAT_TARIFF_G_DEL_HL_GC_COLUMN_MARKER">'ТС. Т-подкл'!$Q$37</definedName>
    <definedName name="HEAT_TARIFF_G_DEL_HL_LOAD_COLUMN_MARKER">'ТС. Т-подкл'!$AC$37</definedName>
    <definedName name="HEAT_TARIFF_G_DEL_HL_NETS_COLUMN_MARKER">'ТС. Т-подкл'!$AG$37</definedName>
    <definedName name="HEAT_TARIFF_G_DEL_HL_SCHEME_COLUMN_MARKER">'ТС. Т-подкл'!$P$37</definedName>
    <definedName name="HEAT_TARIFF_G_DEL_HL_TN_COLUMN_MARKER">'ТС. Т-подкл'!$R$37</definedName>
    <definedName name="HEAT_TARIFF_G_DELETE_PERIOD_ROW_MARKER">'ТС. Т-подкл'!$O$38</definedName>
    <definedName name="HEAT_TARIFF_G_FLAG_BLOCK_COLUMN_MARKER">'ТС. Т-подкл'!$L$43</definedName>
    <definedName name="HEAT_TARIFF_G_FLAG_BLOCK_ROW_MARKER">'ТС. Т-подкл'!$O$23</definedName>
    <definedName name="HEAT_TARIFF_G_NUM_CS_COLUMN_MARKER">'ТС. Т-подкл'!$G$43</definedName>
    <definedName name="HEAT_TARIFF_G_NUM_DIAMETERS_COLUMN_MARKER">'ТС. Т-подкл'!$AL$37</definedName>
    <definedName name="HEAT_TARIFF_G_NUM_GC_COLUMN_MARKER">'ТС. Т-подкл'!$J$43</definedName>
    <definedName name="HEAT_TARIFF_G_NUM_IST_TE_COLUMN_MARKER">'ТС. Т-подкл'!$H$43</definedName>
    <definedName name="HEAT_TARIFF_G_NUM_LOAD_COLUMN_MARKER">'ТС. Т-подкл'!$AD$37</definedName>
    <definedName name="HEAT_TARIFF_G_NUM_NETS_COLUMN_MARKER">'ТС. Т-подкл'!$AH$37</definedName>
    <definedName name="HEAT_TARIFF_G_NUM_NTAR_COLUMN_MARKER">'ТС. Т-подкл'!$E$43</definedName>
    <definedName name="HEAT_TARIFF_G_NUM_SCHEME_COLUMN_MARKER">'ТС. Т-подкл'!$I$43</definedName>
    <definedName name="HEAT_TARIFF_G_NUM_TER_COLUMN_MARKER">'ТС. Т-подкл'!$F$43</definedName>
    <definedName name="HEAT_TARIFF_G_NUM_TN_COLUMN_MARKER">'ТС. Т-подкл'!$K$43</definedName>
    <definedName name="HEAT_TARIFF_H_ADD_HL_COLUMN_MARKER">'ТС. Т-подкл(инд)'!$T$34</definedName>
    <definedName name="HEAT_TARIFF_H_ADD_HL_DIAMETERS_COLUMN_MARKER">'ТС. Т-подкл(инд)'!$AO$34</definedName>
    <definedName name="HEAT_TARIFF_H_ADD_HL_LOAD_COLUMN_MARKER">'ТС. Т-подкл(инд)'!$AM$34</definedName>
    <definedName name="HEAT_TARIFF_H_ADD_HL_NETS_COLUMN_MARKER">'ТС. Т-подкл(инд)'!$AN$34</definedName>
    <definedName name="HEAT_TARIFF_H_DEL_HL_DIAMETERS_COLUMN_MARKER">'ТС. Т-подкл(инд)'!$AO$34</definedName>
    <definedName name="HEAT_TARIFF_H_DEL_HL_GC_COLUMN_MARKER">'ТС. Т-подкл(инд)'!$Q$34</definedName>
    <definedName name="HEAT_TARIFF_H_DEL_HL_LOAD_COLUMN_MARKER">'ТС. Т-подкл(инд)'!$AM$34</definedName>
    <definedName name="HEAT_TARIFF_H_DEL_HL_NETS_COLUMN_MARKER">'ТС. Т-подкл(инд)'!$AN$34</definedName>
    <definedName name="HEAT_TARIFF_H_DEL_HL_SCHEME_COLUMN_MARKER">'ТС. Т-подкл(инд)'!$P$34</definedName>
    <definedName name="HEAT_TARIFF_H_DEL_HL_TN_COLUMN_MARKER">'ТС. Т-подкл(инд)'!$R$34</definedName>
    <definedName name="HEAT_TARIFF_H_DELETE_PERIOD_ROW_MARKER">'ТС. Т-подкл(инд)'!$O$35</definedName>
    <definedName name="HEAT_TARIFF_H_FLAG_BLOCK_COLUMN_MARKER">'ТС. Т-подкл(инд)'!$L$40</definedName>
    <definedName name="HEAT_TARIFF_H_FLAG_BLOCK_ROW_MARKER">'ТС. Т-подкл(инд)'!$O$20</definedName>
    <definedName name="HEAT_TARIFF_H_NUM_CS_COLUMN_MARKER">'ТС. Т-подкл(инд)'!$G$40</definedName>
    <definedName name="HEAT_TARIFF_H_NUM_DIAMETERS_COLUMN_MARKER">'ТС. Т-подкл(инд)'!$AO$34</definedName>
    <definedName name="HEAT_TARIFF_H_NUM_GC_COLUMN_MARKER">'ТС. Т-подкл(инд)'!$J$40</definedName>
    <definedName name="HEAT_TARIFF_H_NUM_IST_TE_COLUMN_MARKER">'ТС. Т-подкл(инд)'!$H$40</definedName>
    <definedName name="HEAT_TARIFF_H_NUM_LOAD_COLUMN_MARKER">'ТС. Т-подкл(инд)'!$AM$34</definedName>
    <definedName name="HEAT_TARIFF_H_NUM_NETS_COLUMN_MARKER">'ТС. Т-подкл(инд)'!$AN$34</definedName>
    <definedName name="HEAT_TARIFF_H_NUM_NTAR_COLUMN_MARKER">'ТС. Т-подкл(инд)'!$E$40</definedName>
    <definedName name="HEAT_TARIFF_H_NUM_SCHEME_COLUMN_MARKER">'ТС. Т-подкл(инд)'!$I$40</definedName>
    <definedName name="HEAT_TARIFF_H_NUM_TER_COLUMN_MARKER">'ТС. Т-подкл(инд)'!$F$40</definedName>
    <definedName name="HEAT_TARIFF_H_NUM_TN_COLUMN_MARKER">'ТС. Т-подкл(инд)'!$K$40</definedName>
    <definedName name="HEAT_TARIFF_I_1_ADD_HL_COLUMN_MARKER">'ТС. Т-ТЭ | индикат'!$T$36</definedName>
    <definedName name="HEAT_TARIFF_I_1_DEL_HL_GC_COLUMN_MARKER">'ТС. Т-ТЭ | индикат'!$Q$36</definedName>
    <definedName name="HEAT_TARIFF_I_1_DEL_HL_SCHEME_COLUMN_MARKER">'ТС. Т-ТЭ | индикат'!$P$36</definedName>
    <definedName name="HEAT_TARIFF_I_1_DEL_HL_TN_COLUMN_MARKER">'ТС. Т-ТЭ | индикат'!$R$36</definedName>
    <definedName name="HEAT_TARIFF_I_1_DELETE_PERIOD_ROW_MARKER">'ТС. Т-ТЭ | индикат'!$O$37</definedName>
    <definedName name="HEAT_TARIFF_I_1_FLAG_BLOCK_COLUMN_MARKER">'ТС. Т-ТЭ | индикат'!$L$41</definedName>
    <definedName name="HEAT_TARIFF_I_1_FLAG_BLOCK_ROW_MARKER">'ТС. Т-ТЭ | индикат'!$O$22</definedName>
    <definedName name="HEAT_TARIFF_I_1_NUM_CS_COLUMN_MARKER">'ТС. Т-ТЭ | индикат'!$G$41</definedName>
    <definedName name="HEAT_TARIFF_I_1_NUM_GC_COLUMN_MARKER">'ТС. Т-ТЭ | индикат'!$J$41</definedName>
    <definedName name="HEAT_TARIFF_I_1_NUM_IST_TE_COLUMN_MARKER">'ТС. Т-ТЭ | индикат'!$H$41</definedName>
    <definedName name="HEAT_TARIFF_I_1_NUM_NTAR_COLUMN_MARKER">'ТС. Т-ТЭ | индикат'!$E$41</definedName>
    <definedName name="HEAT_TARIFF_I_1_NUM_SCHEME_COLUMN_MARKER">'ТС. Т-ТЭ | индикат'!$I$41</definedName>
    <definedName name="HEAT_TARIFF_I_1_NUM_TER_COLUMN_MARKER">'ТС. Т-ТЭ | индикат'!$F$41</definedName>
    <definedName name="HEAT_TARIFF_I_1_NUM_TN_COLUMN_MARKER">'ТС. Т-ТЭ | индикат'!$K$41</definedName>
    <definedName name="HEAT_TARIFF_I_ADD_HL_COLUMN_MARKER">'ТС. Т-ТЭ | предел'!$T$36</definedName>
    <definedName name="HEAT_TARIFF_I_DEL_HL_GC_COLUMN_MARKER">'ТС. Т-ТЭ | предел'!$Q$36</definedName>
    <definedName name="HEAT_TARIFF_I_DEL_HL_SCHEME_COLUMN_MARKER">'ТС. Т-ТЭ | предел'!$P$36</definedName>
    <definedName name="HEAT_TARIFF_I_DEL_HL_TN_COLUMN_MARKER">'ТС. Т-ТЭ | предел'!$R$36</definedName>
    <definedName name="HEAT_TARIFF_I_DELETE_PERIOD_ROW_MARKER">'ТС. Т-ТЭ | предел'!$O$37</definedName>
    <definedName name="HEAT_TARIFF_I_FLAG_BLOCK_COLUMN_MARKER">'ТС. Т-ТЭ | предел'!$L$41</definedName>
    <definedName name="HEAT_TARIFF_I_FLAG_BLOCK_ROW_MARKER">'ТС. Т-ТЭ | предел'!$O$22</definedName>
    <definedName name="HEAT_TARIFF_I_NUM_CS_COLUMN_MARKER">'ТС. Т-ТЭ | предел'!$G$41</definedName>
    <definedName name="HEAT_TARIFF_I_NUM_GC_COLUMN_MARKER">'ТС. Т-ТЭ | предел'!$J$41</definedName>
    <definedName name="HEAT_TARIFF_I_NUM_IST_TE_COLUMN_MARKER">'ТС. Т-ТЭ | предел'!$H$41</definedName>
    <definedName name="HEAT_TARIFF_I_NUM_NTAR_COLUMN_MARKER">'ТС. Т-ТЭ | предел'!$E$41</definedName>
    <definedName name="HEAT_TARIFF_I_NUM_SCHEME_COLUMN_MARKER">'ТС. Т-ТЭ | предел'!$I$41</definedName>
    <definedName name="HEAT_TARIFF_I_NUM_TER_COLUMN_MARKER">'ТС. Т-ТЭ | предел'!$F$41</definedName>
    <definedName name="HEAT_TARIFF_I_NUM_TN_COLUMN_MARKER">'ТС. Т-ТЭ | предел'!$K$41</definedName>
    <definedName name="HOTVSNA_FIN_SRC_LIST">TEHSHEET!$BJ$4:$BJ$34</definedName>
    <definedName name="HOTVSNA_FIN_SRC_VLD_LIST">TEHSHEET!$BJ$39:$BJ$60</definedName>
    <definedName name="HOTVSNA_IP_EVENT_CI_STAGE_LIST">TEHSHEET!$BJ$97:$BJ$100</definedName>
    <definedName name="HOTVSNA_IP_EVENT_GROUP_LIST">TEHSHEET!$BJ$69:$BJ$76</definedName>
    <definedName name="HOTVSNA_IP_EVENT_SUBGROUP_1_LIST">TEHSHEET!$BJ$80:$BJ$83</definedName>
    <definedName name="HOTVSNA_IP_EVENT_SUBGROUP_3_LIST">TEHSHEET!$BJ$87:$BJ$88</definedName>
    <definedName name="HOTVSNA_IP_EVENT_SUBGROUP_5_LIST">TEHSHEET!$BJ$92:$BJ$93</definedName>
    <definedName name="HOTVSNA_IP_EVENT_TYPE_LIST">TEHSHEET!$BJ$108</definedName>
    <definedName name="HOTVSNA_PT_VED_ID">TEHSHEET!$BW$19:$BW$21</definedName>
    <definedName name="HOTVSNA_PT_VED_NAME">TEHSHEET!$BX$19:$BX$21</definedName>
    <definedName name="HOTVSNA_PT_VED_NAME_LIST">TEHSHEET!$BW$19:$BX$21</definedName>
    <definedName name="HOTVSNA_TARIFF_A_HOTVSNA_ADD_HL_COLUMN_MARKER">'ГВС. Т-гор.вода'!$T$34</definedName>
    <definedName name="HOTVSNA_TARIFF_A_HOTVSNA_DEL_HL_DATA_DIFF_COLUMN_MARKER">'ГВС. Т-гор.вода'!$R$34</definedName>
    <definedName name="HOTVSNA_TARIFF_A_HOTVSNA_DEL_HL_FLAG_DIFF_COLUMN_MARKER">'ГВС. Т-гор.вода'!$P$34</definedName>
    <definedName name="HOTVSNA_TARIFF_A_HOTVSNA_DEL_HL_GC_COLUMN_MARKER">'ГВС. Т-гор.вода'!$Q$34</definedName>
    <definedName name="HOTVSNA_TARIFF_A_HOTVSNA_DELETE_PERIOD_ROW_MARKER">'ГВС. Т-гор.вода'!$O$35</definedName>
    <definedName name="HOTVSNA_TARIFF_A_HOTVSNA_FLAG_BLOCK_COLUMN_MARKER">'ГВС. Т-гор.вода'!$L$36</definedName>
    <definedName name="HOTVSNA_TARIFF_A_HOTVSNA_FLAG_BLOCK_ROW_MARKER">'ГВС. Т-гор.вода'!$O$20</definedName>
    <definedName name="HOTVSNA_TARIFF_A_HOTVSNA_NUM_CS_COLUMN_MARKER">'ГВС. Т-гор.вода'!$G$36</definedName>
    <definedName name="HOTVSNA_TARIFF_A_HOTVSNA_NUM_DATA_DIFF_COLUMN_MARKER">'ГВС. Т-гор.вода'!$K$36</definedName>
    <definedName name="HOTVSNA_TARIFF_A_HOTVSNA_NUM_FLAG_DIFF_COLUMN_MARKER">'ГВС. Т-гор.вода'!$I$36</definedName>
    <definedName name="HOTVSNA_TARIFF_A_HOTVSNA_NUM_GC_COLUMN_MARKER">'ГВС. Т-гор.вода'!$J$36</definedName>
    <definedName name="HOTVSNA_TARIFF_A_HOTVSNA_NUM_NTAR_COLUMN_MARKER">'ГВС. Т-гор.вода'!$E$36</definedName>
    <definedName name="HOTVSNA_TARIFF_A_HOTVSNA_NUM_TER_COLUMN_MARKER">'ГВС. Т-гор.вода'!$F$36</definedName>
    <definedName name="HOTVSNA_TARIFF_B_HOTVSNA_ADD_HL_COLUMN_MARKER">'ГВС. Т-транс'!$T$34</definedName>
    <definedName name="HOTVSNA_TARIFF_B_HOTVSNA_DEL_HL_DATA_DIFF_COLUMN_MARKER">'ГВС. Т-транс'!$R$34</definedName>
    <definedName name="HOTVSNA_TARIFF_B_HOTVSNA_DEL_HL_FLAG_DIFF_COLUMN_MARKER">'ГВС. Т-транс'!$P$34</definedName>
    <definedName name="HOTVSNA_TARIFF_B_HOTVSNA_DEL_HL_GC_COLUMN_MARKER">'ГВС. Т-транс'!$Q$34</definedName>
    <definedName name="HOTVSNA_TARIFF_B_HOTVSNA_DELETE_PERIOD_ROW_MARKER">'ГВС. Т-транс'!$O$35</definedName>
    <definedName name="HOTVSNA_TARIFF_B_HOTVSNA_FLAG_BLOCK_COLUMN_MARKER">'ГВС. Т-транс'!$L$36</definedName>
    <definedName name="HOTVSNA_TARIFF_B_HOTVSNA_FLAG_BLOCK_ROW_MARKER">'ГВС. Т-транс'!$O$20</definedName>
    <definedName name="HOTVSNA_TARIFF_B_HOTVSNA_NUM_CS_COLUMN_MARKER">'ГВС. Т-транс'!$G$36</definedName>
    <definedName name="HOTVSNA_TARIFF_B_HOTVSNA_NUM_DATA_DIFF_COLUMN_MARKER">'ГВС. Т-транс'!$K$36</definedName>
    <definedName name="HOTVSNA_TARIFF_B_HOTVSNA_NUM_FLAG_DIFF_COLUMN_MARKER">'ГВС. Т-транс'!$I$36</definedName>
    <definedName name="HOTVSNA_TARIFF_B_HOTVSNA_NUM_GC_COLUMN_MARKER">'ГВС. Т-транс'!$J$36</definedName>
    <definedName name="HOTVSNA_TARIFF_B_HOTVSNA_NUM_NTAR_COLUMN_MARKER">'ГВС. Т-транс'!$E$36</definedName>
    <definedName name="HOTVSNA_TARIFF_B_HOTVSNA_NUM_TER_COLUMN_MARKER">'ГВС. Т-транс'!$F$36</definedName>
    <definedName name="HOTVSNA_TARIFF_C_HOTVSNA_ADD_HL_COLUMN_MARKER">'ГВС. Т-подкл'!$T$38</definedName>
    <definedName name="HOTVSNA_TARIFF_C_HOTVSNA_ADD_HL_DIAMETERS_COLUMN_MARKER">'ГВС. Т-подкл'!$AK$38</definedName>
    <definedName name="HOTVSNA_TARIFF_C_HOTVSNA_ADD_HL_LEN_COLUMN_MARKER">'ГВС. Т-подкл'!$AO$38</definedName>
    <definedName name="HOTVSNA_TARIFF_C_HOTVSNA_ADD_HL_LOAD_COLUMN_MARKER">'ГВС. Т-подкл'!$AG$38</definedName>
    <definedName name="HOTVSNA_TARIFF_C_HOTVSNA_ADD_HL_NETS_COLUMN_MARKER">'ГВС. Т-подкл'!$AS$38</definedName>
    <definedName name="HOTVSNA_TARIFF_C_HOTVSNA_DEL_HL_DATA_DIFF_COLUMN_MARKER">'ГВС. Т-подкл'!$R$38</definedName>
    <definedName name="HOTVSNA_TARIFF_C_HOTVSNA_DEL_HL_DIAMETERS_COLUMN_MARKER">'ГВС. Т-подкл'!$AI$38</definedName>
    <definedName name="HOTVSNA_TARIFF_C_HOTVSNA_DEL_HL_FLAG_DIFF_COLUMN_MARKER">'ГВС. Т-подкл'!$P$38</definedName>
    <definedName name="HOTVSNA_TARIFF_C_HOTVSNA_DEL_HL_GC_COLUMN_MARKER">'ГВС. Т-подкл'!$Q$38</definedName>
    <definedName name="HOTVSNA_TARIFF_C_HOTVSNA_DEL_HL_LEN_COLUMN_MARKER">'ГВС. Т-подкл'!$AM$38</definedName>
    <definedName name="HOTVSNA_TARIFF_C_HOTVSNA_DEL_HL_LOAD_COLUMN_MARKER">'ГВС. Т-подкл'!$AE$38</definedName>
    <definedName name="HOTVSNA_TARIFF_C_HOTVSNA_DEL_HL_NETS_COLUMN_MARKER">'ГВС. Т-подкл'!$AQ$38</definedName>
    <definedName name="HOTVSNA_TARIFF_C_HOTVSNA_DELETE_PERIOD_ROW_MARKER">'ГВС. Т-подкл'!$O$39</definedName>
    <definedName name="HOTVSNA_TARIFF_C_HOTVSNA_FLAG_BLOCK_COLUMN_MARKER">'ГВС. Т-подкл'!$L$44</definedName>
    <definedName name="HOTVSNA_TARIFF_C_HOTVSNA_FLAG_BLOCK_ROW_MARKER">'ГВС. Т-подкл'!$O$24</definedName>
    <definedName name="HOTVSNA_TARIFF_C_HOTVSNA_NUM_CS_COLUMN_MARKER">'ГВС. Т-подкл'!$G$44</definedName>
    <definedName name="HOTVSNA_TARIFF_C_HOTVSNA_NUM_DATA_DIFF_COLUMN_MARKER">'ГВС. Т-подкл'!$K$44</definedName>
    <definedName name="HOTVSNA_TARIFF_C_HOTVSNA_NUM_DIAMETERS_COLUMN_MARKER">'ГВС. Т-подкл'!$AJ$38</definedName>
    <definedName name="HOTVSNA_TARIFF_C_HOTVSNA_NUM_FLAG_DIFF_COLUMN_MARKER">'ГВС. Т-подкл'!$I$44</definedName>
    <definedName name="HOTVSNA_TARIFF_C_HOTVSNA_NUM_GC_COLUMN_MARKER">'ГВС. Т-подкл'!$J$44</definedName>
    <definedName name="HOTVSNA_TARIFF_C_HOTVSNA_NUM_LEN_COLUMN_MARKER">'ГВС. Т-подкл'!$AN$38</definedName>
    <definedName name="HOTVSNA_TARIFF_C_HOTVSNA_NUM_LOAD_COLUMN_MARKER">'ГВС. Т-подкл'!$AF$38</definedName>
    <definedName name="HOTVSNA_TARIFF_C_HOTVSNA_NUM_NETS_COLUMN_MARKER">'ГВС. Т-подкл'!$AR$38</definedName>
    <definedName name="HOTVSNA_TARIFF_C_HOTVSNA_NUM_NTAR_COLUMN_MARKER">'ГВС. Т-подкл'!$E$44</definedName>
    <definedName name="HOTVSNA_TARIFF_C_HOTVSNA_NUM_TER_COLUMN_MARKER">'ГВС. Т-подкл'!$F$44</definedName>
    <definedName name="Info_Diff">modInfo!$B$28</definedName>
    <definedName name="Info_Diff1">modInfo!$B$30</definedName>
    <definedName name="Info_FilFlag">modInfo!$B$1</definedName>
    <definedName name="Info_ForMOInListMO">modInfo!$B$18</definedName>
    <definedName name="Info_ForMRInListMO">modInfo!$B$17</definedName>
    <definedName name="Info_ForSKIInListMO">modInfo!$B$19</definedName>
    <definedName name="Info_ForSKINumberInListMO">modInfo!$B$20</definedName>
    <definedName name="Info_NoteStandarts">modInfo!$B$22</definedName>
    <definedName name="Info_NoUpdates">modInfo!$B$36</definedName>
    <definedName name="Info_PeriodInTitle">modInfo!$B$4</definedName>
    <definedName name="Info_PrDiff">modInfo!$B$29</definedName>
    <definedName name="Info_PublicationNotDisclosed">modInfo!$B$15</definedName>
    <definedName name="Info_PublicationPdf">modInfo!$B$14</definedName>
    <definedName name="Info_PublicationWeb">modInfo!$B$13</definedName>
    <definedName name="Info_T_Podkl">modInfo!$B$24</definedName>
    <definedName name="Info_TarName">modInfo!$B$27</definedName>
    <definedName name="Info_TerExcludeHelp_1">modInfo!$B$33</definedName>
    <definedName name="Info_TerExcludeHelp_2">modInfo!$B$34</definedName>
    <definedName name="Info_TitleFil">modInfo!$B$11</definedName>
    <definedName name="Info_TitleFlagCrossSubsidization">modInfo!$B$8</definedName>
    <definedName name="Info_TitleFlagIstPubl">modInfo!$B$9</definedName>
    <definedName name="Info_TitleFlagTwoPartTariff">modInfo!$B$7</definedName>
    <definedName name="Info_TitleGroupRates">modInfo!$B$5</definedName>
    <definedName name="Info_TitleKindPublication">modInfo!$B$3</definedName>
    <definedName name="Info_TitleKindsOfGoods">modInfo!$B$6</definedName>
    <definedName name="Info_TitlePublication">modInfo!$B$2</definedName>
    <definedName name="Info_TitleType">modInfo!$B$10</definedName>
    <definedName name="inn">Титульный!$F$33</definedName>
    <definedName name="IP_CLAIM_LIST">TEHSHEET!$AZ$20:$AZ$26</definedName>
    <definedName name="IP_DETAILED_ADD_HL_EVENT_COLUMN_MARKER">'ИП. Детализация'!$I$7</definedName>
    <definedName name="IP_DETAILED_ADD_HL_IST_FIN_COLUMN_MARKER">'ИП. Детализация'!$AB$7</definedName>
    <definedName name="IP_DETAILED_ADD_HL_OBJECT_COLUMN_MARKER">'ИП. Детализация'!$P$7</definedName>
    <definedName name="IP_DETAILED_DATA_KS">'ИП. Детализация'!$M$7</definedName>
    <definedName name="IP_DETAILED_EVENT_MARKER">'ИП. Детализация'!$K$7:$Y$7</definedName>
    <definedName name="IP_DETAILED_EVENT_SUBGROUP_COLUMN_MARKER">'ИП. Детализация'!$J$7</definedName>
    <definedName name="IP_DETAILED_EVENT_SUBGROUP_RANGE_COLUMN_MARKER">'ИП. Детализация'!$B$7</definedName>
    <definedName name="IP_DETAILED_FLAG_KS">'ИП. Детализация'!$L$7</definedName>
    <definedName name="IP_DETAILED_FLAG_OBJECT">'ИП. Детализация'!$P$13</definedName>
    <definedName name="IP_DETAILED_GROUP_MARKER">'ИП. Детализация'!$I$7:$J$7</definedName>
    <definedName name="IP_DETAILED_IST_FIN_FACT_COLUMN_MARKER">'ИП. Детализация'!$AD$7</definedName>
    <definedName name="IP_DETAILED_LIST_IP_ID">'ИП. Детализация'!$A$14:$A$14</definedName>
    <definedName name="IP_DETAILED_MONTH_FACT_COLUMN_MARKER">'ИП. Детализация'!$AJ$7</definedName>
    <definedName name="IP_DETAILED_MONTH_PLAN_COLUMN_MARKER">'ИП. Детализация'!$AG$7</definedName>
    <definedName name="IP_DETAILED_NAME_EVENT_COLUMN_MARKER">'ИП. Детализация'!$K$7</definedName>
    <definedName name="IP_DETAILED_YEAR_FACT_COLUMN_MARKER">'ИП. Детализация'!$AK$7</definedName>
    <definedName name="IP_DETAILED_YEAR_PLAN_COLUMN_MARKER">'ИП. Детализация'!$AH$7</definedName>
    <definedName name="IP_FIN_PLAN_LIST_ID_MARKER_ROW">'ИП. Финансовый план'!$E$8</definedName>
    <definedName name="IP_FIN_PLAN_NAME_IP_MARKER_ROW">'ИП. Финансовый план'!$E$11</definedName>
    <definedName name="IP_FIN_PLAN_YEAR_MARKER_ROW">'ИП. Финансовый план'!$E$12</definedName>
    <definedName name="IP_ID">TEHSHEET!$E$58</definedName>
    <definedName name="IP_MAIN_ADD_HL_PROPERTY_COLUMN_MARKER">ИП!$AB$7</definedName>
    <definedName name="IP_MAIN_APPROVAL_DATE">ИП!$I$11:$I$13</definedName>
    <definedName name="IP_MAIN_CHANGE_DATE">ИП!$J$11:$J$13</definedName>
    <definedName name="IP_MAIN_CLAIM">ИП!$K$11:$K$13</definedName>
    <definedName name="IP_MAIN_DATE_PARKING">ИП!$L$5</definedName>
    <definedName name="IP_MAIN_DELETE_HL_COLUMN_MARKER">ИП!$E$7</definedName>
    <definedName name="IP_MAIN_DIFFERENTIATION_EVENTS_FLAG">ИП!$H$11:$H$13</definedName>
    <definedName name="IP_MAIN_END_DATE">ИП!$O$11:$O$13</definedName>
    <definedName name="IP_MAIN_FLAG_KS">ИП!$Y$11:$Y$13</definedName>
    <definedName name="IP_MAIN_FLAG_KS_COLUMN_MARKER">ИП!$Y$7</definedName>
    <definedName name="IP_MAIN_IP_FIN_PLAN_VISIBLE_FLAG">ИП!$H$15</definedName>
    <definedName name="IP_MAIN_LIST_IP_ID">ИП!$AD$11:$AD$13</definedName>
    <definedName name="IP_MAIN_LIST_NAME_IP">ИП!$G$11:$G$13</definedName>
    <definedName name="IP_MAIN_PERIOD_REALIZ_DATE">ИП!$P$11:$P$13</definedName>
    <definedName name="IP_MAIN_PR_IP_CHANGE_DATE">ИП!$X$11:$X$13</definedName>
    <definedName name="IP_MAIN_PR_IP_DATE">ИП!$T$11:$T$13</definedName>
    <definedName name="IP_MAIN_PR_IP_NAME">ИП!$Q$11:$Q$13</definedName>
    <definedName name="IP_MAIN_PR_IP_NUMBER">ИП!$S$11:$S$13</definedName>
    <definedName name="IP_MAIN_PR_IP_TYPE">ИП!$R$11:$R$13</definedName>
    <definedName name="IP_MAIN_START_DATE">ИП!$N$11:$N$13</definedName>
    <definedName name="IP_NAME_FORM">DATA_FORMS!$C$32</definedName>
    <definedName name="IP_QRE_ADD_HL_CLAIM_COLUMN_MARKER">'ИП. КНЭ'!$G$7</definedName>
    <definedName name="IP_QRE_ADD_HL_COLUMN_MARKER">'ИП. КНЭ'!$G$8</definedName>
    <definedName name="IP_QRE_DELETE_HL_COLUMN_MARKER">'ИП. КНЭ'!$E$8</definedName>
    <definedName name="IP_QRE_LIST_IP_ID">'ИП. КНЭ'!$A$18:$A$20</definedName>
    <definedName name="IP_QRE_NUM_COLUMN_MARKER">'ИП. КНЭ'!$F$8</definedName>
    <definedName name="IP_QRE_OTKO_FEATURES_BLOCK">'ИП. КНЭ'!$DY$8</definedName>
    <definedName name="IP_QRE_VOTV_FEATURES_BLOCK">'ИП. КНЭ'!$CY$8:$DX$8</definedName>
    <definedName name="IP_QRE_VSNA_FEATURES_BLOCK">'ИП. КНЭ'!$BT$8:$CX$8</definedName>
    <definedName name="IP_QRE_WARM_FEATURES_BLOCK">'ИП. КНЭ'!$O$8:$BS$8</definedName>
    <definedName name="IST_TE_ID">TEHSHEET!$E$64</definedName>
    <definedName name="kind_group_rates">TEHSHEET!$X$2:$X$14</definedName>
    <definedName name="kind_group_rates_load">TEHSHEET!$AP$2:$AP$11</definedName>
    <definedName name="kind_group_rates_load_ETS">TEHSHEET!$AP$2:$AP$11</definedName>
    <definedName name="kind_group_rates_load_filter">TEHSHEET!$AQ$2:$AQ$11</definedName>
    <definedName name="kind_group_rates_load_filter_ETS">TEHSHEET!$AQ$2:$AQ$11</definedName>
    <definedName name="kind_of_activity_WARM">TEHSHEET!$N$2:$N$8</definedName>
    <definedName name="kind_of_cons">TEHSHEET!$R$2:$R$6</definedName>
    <definedName name="kind_of_control_method">TEHSHEET!$K$2:$K$5</definedName>
    <definedName name="kind_of_control_method_filter">TEHSHEET!$L$2:$L$5</definedName>
    <definedName name="kind_of_data_type">TEHSHEET!$P$2:$P$3</definedName>
    <definedName name="kind_of_diameters">TEHSHEET!$T$2:$T$6</definedName>
    <definedName name="kind_of_diameters2">TEHSHEET!$AU$2:$AU$8</definedName>
    <definedName name="kind_of_diff">TEHSHEET!$AS$2:$AS$4</definedName>
    <definedName name="kind_of_fuel">TEHSHEET!$AK$2:$AK$9</definedName>
    <definedName name="kind_of_fuels">TEHSHEET!$BB$2:$BB$29</definedName>
    <definedName name="kind_of_heat_transfer">TEHSHEET!$O$2:$O$12</definedName>
    <definedName name="kind_of_heat_transfer2">TEHSHEET!$AH$2:$AH$7</definedName>
    <definedName name="kind_of_heat_transfer3">TEHSHEET!$AI$2:$AI$3</definedName>
    <definedName name="kind_of_load">TEHSHEET!$U$2:$U$7</definedName>
    <definedName name="kind_of_load2">TEHSHEET!$U$2:$U$4</definedName>
    <definedName name="kind_of_load3">TEHSHEET!$AF$2:$AF$5</definedName>
    <definedName name="kind_of_load4">TEHSHEET!$U$2:$U$5</definedName>
    <definedName name="kind_of_NDS">TEHSHEET!$H$2:$H$8</definedName>
    <definedName name="kind_of_NDS_tariff">TEHSHEET!$H$10:$H$11</definedName>
    <definedName name="kind_of_NDS_tariff_people">TEHSHEET!$H$16:$H$17</definedName>
    <definedName name="kind_of_nets">TEHSHEET!$S$2:$S$4</definedName>
    <definedName name="kind_of_org_type">TEHSHEET!$AZ$2:$AZ$5</definedName>
    <definedName name="kind_of_power_te_unit">TEHSHEET!$J$11:$J$12</definedName>
    <definedName name="kind_of_publication">TEHSHEET!$G$2:$G$3</definedName>
    <definedName name="kind_of_purchase_method">TEHSHEET!$K$11:$K$13</definedName>
    <definedName name="kind_of_scheme_in">TEHSHEET!$Q$2:$Q$5</definedName>
    <definedName name="kind_of_scheme_in2">TEHSHEET!$Q$3:$Q$5</definedName>
    <definedName name="kind_of_tariff_RHEAT">TEHSHEET!$E$19:$E$20</definedName>
    <definedName name="kind_of_tariff_unit">TEHSHEET!$J$7:$J$8</definedName>
    <definedName name="kind_of_unit">TEHSHEET!$J$2:$J$4</definedName>
    <definedName name="kind_of_volume_te_unit">TEHSHEET!$J$15:$J$16</definedName>
    <definedName name="kind_of_zak">TEHSHEET!$AM$2:$AM$7</definedName>
    <definedName name="KNE_NAME_FORM">DATA_FORMS!$C$8</definedName>
    <definedName name="kpp">Титульный!$F$34</definedName>
    <definedName name="LINK_RANGE">REESTR_LINK!$B$2:$B$3</definedName>
    <definedName name="List_H">TEHSHEET!$AW$2:$AW$25</definedName>
    <definedName name="List_M">TEHSHEET!$AX$2:$AX$61</definedName>
    <definedName name="LIST_MR_MO_OKTMO">REESTR_MO!$A$2:$D$709</definedName>
    <definedName name="LIST_MR_MO_OKTMO_FILTER">REESTR_MO_FILTER!$A$2:$D$708</definedName>
    <definedName name="ListForms">modSheetMain!$A:$A</definedName>
    <definedName name="logical">TEHSHEET!$D$2:$D$3</definedName>
    <definedName name="MONTH">TEHSHEET!$E$2:$E$13</definedName>
    <definedName name="MONTH_IP_LIST">TEHSHEET!$BF$2:$BF$13</definedName>
    <definedName name="nalog">Титульный!$F$37</definedName>
    <definedName name="name_rates_4">TEHSHEET!$AA$2:$AA$3</definedName>
    <definedName name="name_rates_4_filter">TEHSHEET!$AB$2:$AB$3</definedName>
    <definedName name="name_rates_8">TEHSHEET!$AC$2:$AC$4</definedName>
    <definedName name="name_rates_8_filter">TEHSHEET!$AD$2:$AD$4</definedName>
    <definedName name="NameTemplatesInListMO">TEHSHEET!$K$45</definedName>
    <definedName name="NameTemplatesInTitle">TEHSHEET!$J$45</definedName>
    <definedName name="NameTemplatesInTitleList">TEHSHEET!$J$46:$J$53</definedName>
    <definedName name="NTAR_ID">TEHSHEET!$E$61</definedName>
    <definedName name="OFFER_DPR">Предложение!$L$85</definedName>
    <definedName name="OFFER_METHOD">Предложение!$K$24:$K$83</definedName>
    <definedName name="OFFER_METHOD_FLAG">TEHSHEET!$L$6</definedName>
    <definedName name="OFFER_TARIFF_A_1">Предложение!$24:$26</definedName>
    <definedName name="OFFER_TARIFF_A_2">Предложение!$87:$89</definedName>
    <definedName name="OFFER_TARIFF_A_3">Предложение!$148:$150</definedName>
    <definedName name="OFFER_TARIFF_A_4">Предложение!$209:$211</definedName>
    <definedName name="OFFER_TARIFF_A_5">Предложение!$270:$272</definedName>
    <definedName name="OFFER_TARIFF_A_COLDVSNA_1">Предложение!$51:$53</definedName>
    <definedName name="OFFER_TARIFF_A_COLDVSNA_2">Предложение!$114:$116</definedName>
    <definedName name="OFFER_TARIFF_A_COLDVSNA_3">Предложение!$175:$177</definedName>
    <definedName name="OFFER_TARIFF_A_COLDVSNA_4">Предложение!$236:$238</definedName>
    <definedName name="OFFER_TARIFF_A_COLDVSNA_5">Предложение!$297:$299</definedName>
    <definedName name="OFFER_TARIFF_A_HOTVSNA_1">Предложение!$66:$68</definedName>
    <definedName name="OFFER_TARIFF_A_HOTVSNA_2">Предложение!$129:$131</definedName>
    <definedName name="OFFER_TARIFF_A_HOTVSNA_3">Предложение!$190:$192</definedName>
    <definedName name="OFFER_TARIFF_A_HOTVSNA_4">Предложение!$251:$253</definedName>
    <definedName name="OFFER_TARIFF_A_HOTVSNA_5">Предложение!$312:$314</definedName>
    <definedName name="OFFER_TARIFF_A_VOTV_1">Предложение!$75:$77</definedName>
    <definedName name="OFFER_TARIFF_A_VOTV_2">Предложение!$138:$140</definedName>
    <definedName name="OFFER_TARIFF_A_VOTV_3">Предложение!$199:$201</definedName>
    <definedName name="OFFER_TARIFF_A_VOTV_4">Предложение!$260:$262</definedName>
    <definedName name="OFFER_TARIFF_A_VOTV_5">Предложение!$321:$323</definedName>
    <definedName name="OFFER_TARIFF_B_1">Предложение!$27:$29</definedName>
    <definedName name="OFFER_TARIFF_B_2">Предложение!$90:$92</definedName>
    <definedName name="OFFER_TARIFF_B_3">Предложение!$151:$153</definedName>
    <definedName name="OFFER_TARIFF_B_4">Предложение!$212:$214</definedName>
    <definedName name="OFFER_TARIFF_B_5">Предложение!$273:$275</definedName>
    <definedName name="OFFER_TARIFF_B_COLDVSNA_1">Предложение!$54:$56</definedName>
    <definedName name="OFFER_TARIFF_B_COLDVSNA_2">Предложение!$117:$119</definedName>
    <definedName name="OFFER_TARIFF_B_COLDVSNA_3">Предложение!$178:$180</definedName>
    <definedName name="OFFER_TARIFF_B_COLDVSNA_4">Предложение!$239:$241</definedName>
    <definedName name="OFFER_TARIFF_B_COLDVSNA_5">Предложение!$300:$302</definedName>
    <definedName name="OFFER_TARIFF_B_HOTVSNA_1">Предложение!$69:$71</definedName>
    <definedName name="OFFER_TARIFF_B_HOTVSNA_2">Предложение!$132:$134</definedName>
    <definedName name="OFFER_TARIFF_B_HOTVSNA_3">Предложение!$193:$195</definedName>
    <definedName name="OFFER_TARIFF_B_HOTVSNA_4">Предложение!$254:$256</definedName>
    <definedName name="OFFER_TARIFF_B_HOTVSNA_5">Предложение!$315:$317</definedName>
    <definedName name="OFFER_TARIFF_B_VOTV_1">Предложение!$78:$80</definedName>
    <definedName name="OFFER_TARIFF_B_VOTV_2">Предложение!$141:$143</definedName>
    <definedName name="OFFER_TARIFF_B_VOTV_3">Предложение!$202:$204</definedName>
    <definedName name="OFFER_TARIFF_B_VOTV_4">Предложение!$263:$265</definedName>
    <definedName name="OFFER_TARIFF_B_VOTV_5">Предложение!$324:$326</definedName>
    <definedName name="OFFER_TARIFF_C_1">Предложение!$30:$32</definedName>
    <definedName name="OFFER_TARIFF_C_2">Предложение!$93:$95</definedName>
    <definedName name="OFFER_TARIFF_C_3">Предложение!$154:$156</definedName>
    <definedName name="OFFER_TARIFF_C_4">Предложение!$215:$217</definedName>
    <definedName name="OFFER_TARIFF_C_5">Предложение!$276:$278</definedName>
    <definedName name="OFFER_TARIFF_C_COLDVSNA_1">Предложение!$57:$59</definedName>
    <definedName name="OFFER_TARIFF_C_COLDVSNA_2">Предложение!$120:$122</definedName>
    <definedName name="OFFER_TARIFF_C_COLDVSNA_3">Предложение!$181:$183</definedName>
    <definedName name="OFFER_TARIFF_C_COLDVSNA_4">Предложение!$242:$244</definedName>
    <definedName name="OFFER_TARIFF_C_COLDVSNA_5">Предложение!$303:$305</definedName>
    <definedName name="OFFER_TARIFF_C_HOTVSNA_1">Предложение!$72:$74</definedName>
    <definedName name="OFFER_TARIFF_C_HOTVSNA_2">Предложение!$135:$137</definedName>
    <definedName name="OFFER_TARIFF_C_HOTVSNA_3">Предложение!$196:$198</definedName>
    <definedName name="OFFER_TARIFF_C_HOTVSNA_4">Предложение!$257:$259</definedName>
    <definedName name="OFFER_TARIFF_C_HOTVSNA_5">Предложение!$318:$320</definedName>
    <definedName name="OFFER_TARIFF_C_VOTV_1">Предложение!$81:$83</definedName>
    <definedName name="OFFER_TARIFF_C_VOTV_2">Предложение!$144:$146</definedName>
    <definedName name="OFFER_TARIFF_C_VOTV_3">Предложение!$205:$207</definedName>
    <definedName name="OFFER_TARIFF_C_VOTV_4">Предложение!$266:$268</definedName>
    <definedName name="OFFER_TARIFF_C_VOTV_5">Предложение!$327:$329</definedName>
    <definedName name="OFFER_TARIFF_D_1">Предложение!$33:$35</definedName>
    <definedName name="OFFER_TARIFF_D_2">Предложение!$96:$98</definedName>
    <definedName name="OFFER_TARIFF_D_3">Предложение!$157:$159</definedName>
    <definedName name="OFFER_TARIFF_D_4">Предложение!$218:$220</definedName>
    <definedName name="OFFER_TARIFF_D_5">Предложение!$279:$281</definedName>
    <definedName name="OFFER_TARIFF_D_COLDVSNA_1">Предложение!$60:$62</definedName>
    <definedName name="OFFER_TARIFF_D_COLDVSNA_2">Предложение!$123:$125</definedName>
    <definedName name="OFFER_TARIFF_D_COLDVSNA_3">Предложение!$184:$186</definedName>
    <definedName name="OFFER_TARIFF_D_COLDVSNA_4">Предложение!$245:$247</definedName>
    <definedName name="OFFER_TARIFF_D_COLDVSNA_5">Предложение!$306:$308</definedName>
    <definedName name="OFFER_TARIFF_E_COLDVSNA_1">Предложение!$63:$65</definedName>
    <definedName name="OFFER_TARIFF_E_COLDVSNA_2">Предложение!$126:$128</definedName>
    <definedName name="OFFER_TARIFF_E_COLDVSNA_3">Предложение!$187:$189</definedName>
    <definedName name="OFFER_TARIFF_E_COLDVSNA_4">Предложение!$248:$250</definedName>
    <definedName name="OFFER_TARIFF_E_COLDVSNA_5">Предложение!$309:$311</definedName>
    <definedName name="OFFER_TARIFF_E1_1">Предложение!$36:$38</definedName>
    <definedName name="OFFER_TARIFF_E1_2">Предложение!$99:$101</definedName>
    <definedName name="OFFER_TARIFF_E1_3">Предложение!$160:$162</definedName>
    <definedName name="OFFER_TARIFF_E1_4">Предложение!$221:$223</definedName>
    <definedName name="OFFER_TARIFF_E1_5">Предложение!$282:$284</definedName>
    <definedName name="OFFER_TARIFF_E2_1">Предложение!$39:$41</definedName>
    <definedName name="OFFER_TARIFF_E2_2">Предложение!$102:$104</definedName>
    <definedName name="OFFER_TARIFF_E2_3">Предложение!$163:$165</definedName>
    <definedName name="OFFER_TARIFF_E2_4">Предложение!$224:$226</definedName>
    <definedName name="OFFER_TARIFF_E2_5">Предложение!$285:$287</definedName>
    <definedName name="OFFER_TARIFF_F_1">Предложение!$42:$44</definedName>
    <definedName name="OFFER_TARIFF_F_2">Предложение!$105:$107</definedName>
    <definedName name="OFFER_TARIFF_F_3">Предложение!$166:$168</definedName>
    <definedName name="OFFER_TARIFF_F_4">Предложение!$227:$229</definedName>
    <definedName name="OFFER_TARIFF_F_5">Предложение!$288:$290</definedName>
    <definedName name="OFFER_TARIFF_G_1">Предложение!$45:$47</definedName>
    <definedName name="OFFER_TARIFF_G_2">Предложение!$108:$110</definedName>
    <definedName name="OFFER_TARIFF_G_3">Предложение!$169:$171</definedName>
    <definedName name="OFFER_TARIFF_G_4">Предложение!$230:$232</definedName>
    <definedName name="OFFER_TARIFF_G_5">Предложение!$291:$293</definedName>
    <definedName name="OFFER_TARIFF_H_1">Предложение!$48:$50</definedName>
    <definedName name="org">Титульный!$F$31</definedName>
    <definedName name="Org_Address">Титульный!$F$64:$F$64</definedName>
    <definedName name="ORG_END_DATE">TEHSHEET!$F$29</definedName>
    <definedName name="ORG_INFO_DATE_OGRN">'Общая информация об организации'!$F$17</definedName>
    <definedName name="ORG_INFO_DATE_PARKING">'Общая информация об организации'!$G$4</definedName>
    <definedName name="ORG_INFO_DATE_UNI_TS">'Общая информация об организации'!$F$21</definedName>
    <definedName name="ORG_INFO_EMAIL">'Общая информация об организации'!$F$44</definedName>
    <definedName name="ORG_INFO_ET">'Общая информация об организации'!$F$20:$F$24</definedName>
    <definedName name="ORG_INFO_ET_CYAN">'Общая информация об организации'!$F$20:$F$23</definedName>
    <definedName name="ORG_INFO_FLAG_INVEST">'Общая информация об организации'!$F$51</definedName>
    <definedName name="ORG_INFO_NAME_FORM">DATA_FORMS!$C$4</definedName>
    <definedName name="ORG_INFO_P_NOTE_MAIN">DATA_NPA!$N$3</definedName>
    <definedName name="ORG_INFO_RESP_EMAIL">'Общая информация об организации'!$F$32</definedName>
    <definedName name="ORG_INFO_URL">'Общая информация об организации'!$F$43</definedName>
    <definedName name="Org_main">Титульный!$F$65</definedName>
    <definedName name="ORG_START_DATE">TEHSHEET!$E$29</definedName>
    <definedName name="ORG_TERRITORY_FIRST_MO">'Сведения по территориям'!$G$12</definedName>
    <definedName name="ORG_TERRITORY_FLAG_INTERNET">'Сведения по территориям'!$J$11:$J$13</definedName>
    <definedName name="ORG_TERRITORY_LINK">'Сведения по территориям'!$K$11:$K$13</definedName>
    <definedName name="ORG_TERRITORY_NAME_COL">'Сведения по территориям'!$G$1:$I$1</definedName>
    <definedName name="ORG_TERRITORY_POINT_NUMBER_1">'Сведения по территориям'!$A:$A</definedName>
    <definedName name="ORG_VD_EM">'Общая информация по ВД'!$K$11:$K$13</definedName>
    <definedName name="ORG_VD_FIRST_ROW">'Общая информация по ВД'!$12:$12</definedName>
    <definedName name="ORG_VD_FIRST_SYSTEM">'Общая информация по ВД'!$E$12</definedName>
    <definedName name="ORG_VD_NAME_FORM">DATA_FORMS!$C$31</definedName>
    <definedName name="ORG_VD_SYSTEM">'Общая информация по ВД'!$E$11:$E$13</definedName>
    <definedName name="ORG_VD_TKO_ADD_HL_ACTIVITY_COLUMN_MARKER">'Виды объектов'!$E$9</definedName>
    <definedName name="ORG_VD_TKO_ADD_HL_TYPE_OBJECT_COLUMN_MARKER">'Виды объектов'!$H$9</definedName>
    <definedName name="ORG_VD_TKO_DEL_HL_ACTIVITY_COLUMN_MARKER">'Виды объектов'!$C$9</definedName>
    <definedName name="ORG_VD_TKO_DEL_HL_TYPE_OBJECT_COLUMN_MARKER">'Виды объектов'!$F$9</definedName>
    <definedName name="ORG_VD_TKO_VD">'Виды объектов'!$E$13:$E$16</definedName>
    <definedName name="ORG_VD_TKO_VD_ID">'Виды объектов'!$O$13:$O$16</definedName>
    <definedName name="ORG_VD_VD">'Общая информация по ВД'!$F$11:$F$13</definedName>
    <definedName name="ORG_VD_VD_ID">'Общая информация по ВД'!$AM$11:$AM$13</definedName>
    <definedName name="OTKO_FIN_SRC_LIST">TEHSHEET!$BN$4:$BN$18</definedName>
    <definedName name="OTKO_FIN_SRC_VLD_LIST">TEHSHEET!$BN$39:$BN$48</definedName>
    <definedName name="OTKO_IP_EVENT_CI_STAGE_LIST">TEHSHEET!$BN$97:$BN$104</definedName>
    <definedName name="OTKO_IP_EVENT_GROUP_LIST">TEHSHEET!$BN$69:$BN$74</definedName>
    <definedName name="OTKO_IP_EVENT_TYPE_LIST">TEHSHEET!$BN$108</definedName>
    <definedName name="otv_lico_name">Титульный!$F$67:$F$70</definedName>
    <definedName name="P_T_TERMS_LINK">Договоры!$F$12:$F$22</definedName>
    <definedName name="pCng_P_T_TERMS_1">Договоры!$E$14:$E$15</definedName>
    <definedName name="pCng_P_T_TERMS_2">Договоры!$E$17:$E$18</definedName>
    <definedName name="pCng_P_T_TERMS_3">Договоры!$E$21:$E$22</definedName>
    <definedName name="pCng_P_T_TERMS_4">Договоры!$E$25:$E$26</definedName>
    <definedName name="pDel_B_STANDARTS">'Стандарты качества'!$H$12:$H$13</definedName>
    <definedName name="pDel_CHANGE_INFO">'Сведения об изменении'!$C$12:$C$13</definedName>
    <definedName name="pDel_Comm">Комментарии!$C$11:$C$12</definedName>
    <definedName name="pDel_DIFFERENTIATION_AREA">Дифференциация!$G$12:$G$16</definedName>
    <definedName name="pDel_DIFFERENTIATION_SYSTEM">Дифференциация!$K$12:$K$16</definedName>
    <definedName name="pDel_DIFFERENTIATION_VD">Дифференциация!$C$12:$C$16</definedName>
    <definedName name="pDel_ED">ЭД!$C$12:$C$13</definedName>
    <definedName name="pDel_IP_DETAILED_EVENT">'ИП. Детализация'!$G$13</definedName>
    <definedName name="pDel_IP_DETAILED_IST_FIN">'ИП. Детализация'!$Z$13</definedName>
    <definedName name="pDel_IP_DETAILED_OBJECT">'ИП. Детализация'!$N$13</definedName>
    <definedName name="pDel_IP_MAIN">ИП!$E$11:$E$13</definedName>
    <definedName name="pDel_IP_MAIN_PROPERTY">ИП!$Z$11:$Z$13</definedName>
    <definedName name="pDel_IP_QRE_CLAIM">'ИП. КНЭ'!$E$18:$E$20</definedName>
    <definedName name="pDel_List07">'Сведения об изменении'!$C$11:$C$13</definedName>
    <definedName name="pDel_LT_AREA">'Список территорий'!$C$12:$C$15</definedName>
    <definedName name="pDel_LT_MO">'Список территорий'!$D$11:$D$15</definedName>
    <definedName name="pDel_ORG_INFO">'Общая информация об организации'!$C$40:$C$50</definedName>
    <definedName name="pDel_ORG_TERRITORY">'Сведения по территориям'!$D$11:$D$13</definedName>
    <definedName name="pDel_ORG_VD">'Общая информация по ВД'!$C$11:$C$13</definedName>
    <definedName name="pDel_P_PROCEDURE_TC">'Порядок ТП'!$C$26:$C$40</definedName>
    <definedName name="pDel_P_T_TERMS">Договоры!$C$14:$C$26</definedName>
    <definedName name="pDel_Q_LIMIT">Ограничения!$C$31</definedName>
    <definedName name="pDel_Q_TP">ТП!$C$14</definedName>
    <definedName name="pDel_R_B_Purch">'Сведения о закупках'!$C$13:$C$14</definedName>
    <definedName name="periodEnd">Титульный!$F$12</definedName>
    <definedName name="PeriodIsEmpty">TEHSHEET!$I$45</definedName>
    <definedName name="PeriodIsEmptyList">TEHSHEET!$I$46:$I$53</definedName>
    <definedName name="periodStart">Титульный!$F$11</definedName>
    <definedName name="pHeader_B_FHD">'Показатели ФХД'!$29:$29</definedName>
    <definedName name="pHeader_B_FHD_TKO">'ТКО. Показатели ФХД'!$14:$14</definedName>
    <definedName name="pHeader_B_FHD_TKO_TRANS">'ТКО. Транс. Показатели ФХД'!$14:$14</definedName>
    <definedName name="pHeader_B_KNE">'Показатели КНЭ'!$11:$11</definedName>
    <definedName name="pHeader_B_OTEP">'Показатели ОТЭП'!$14:$14</definedName>
    <definedName name="pHeader_Q_LIMIT">Ограничения!$30:$30</definedName>
    <definedName name="pHeader_Q_PH">'Потребительские характеристики'!$13:$13</definedName>
    <definedName name="pHeader_Q_TP">ТП!$13:$13</definedName>
    <definedName name="pHeader_ver_B_FHD">'Показатели ФХД'!$C:$C</definedName>
    <definedName name="pHeader_ver_B_FHD_TKO">'ТКО. Показатели ФХД'!$C:$C</definedName>
    <definedName name="pHeader_ver_B_FHD_TKO_TRANS">'ТКО. Транс. Показатели ФХД'!$C:$C</definedName>
    <definedName name="pHeader_ver_B_KNE">'Показатели КНЭ'!$B:$B</definedName>
    <definedName name="pHeader_ver_B_OTEP">'Показатели ОТЭП'!$G:$G</definedName>
    <definedName name="pHeader_ver_P_PROCEDURE_TC">'Порядок ТП'!$A$21:$A$40</definedName>
    <definedName name="pHeader_ver_Q_LIMIT">Ограничения!$E:$E</definedName>
    <definedName name="pIns_B_FHD_1">'Показатели ФХД'!$F$40</definedName>
    <definedName name="pIns_B_FHD_2">'Показатели ФХД'!$F$71</definedName>
    <definedName name="pIns_B_FHD_3">'Показатели ФХД'!$F$101</definedName>
    <definedName name="pIns_B_FHD_4">'Показатели ФХД'!$F$119</definedName>
    <definedName name="pIns_B_FHD_5">'Показатели ФХД'!$F$122</definedName>
    <definedName name="pIns_B_FHD_6">'Показатели ФХД'!$F$125</definedName>
    <definedName name="pIns_B_FHD_DIFFERENTIATION">'Показатели ФХД'!$J$24</definedName>
    <definedName name="pIns_B_FHD_TKO_2">'ТКО. Показатели ФХД'!$F$34</definedName>
    <definedName name="pIns_B_FHD_TKO_DIFFERENTIATION">'ТКО. Показатели ФХД'!$J$9</definedName>
    <definedName name="pIns_B_FHD_TKO_TRANS_2">'ТКО. Транс. Показатели ФХД'!$F$29</definedName>
    <definedName name="pIns_B_FHD_TKO_TRANS_DIFFERENTIATION">'ТКО. Транс. Показатели ФХД'!$J$9</definedName>
    <definedName name="pIns_B_FHD20_DIFFERENTIATION">'Показатели ФХД &gt;20%'!$D$23</definedName>
    <definedName name="pIns_B_KNE_DIFFERENTIATION">'Показатели КНЭ'!$K$6</definedName>
    <definedName name="pIns_B_OTEP_2">'Показатели ОТЭП'!$J$18</definedName>
    <definedName name="pIns_B_OTEP_DIFFERENTIATION">'Показатели ОТЭП'!$N$9</definedName>
    <definedName name="pIns_B_STANDARTS">'Стандарты качества'!$J$13</definedName>
    <definedName name="pIns_CHANGE_INFO">'Сведения об изменении'!$E$13</definedName>
    <definedName name="pIns_Comm">Комментарии!$E$12</definedName>
    <definedName name="pIns_ED">ЭД!$E$13</definedName>
    <definedName name="pIns_IP_DETAILED">'ИП. Детализация'!$F$14</definedName>
    <definedName name="pIns_IP_FIN_PLAN">'ИП. Финансовый план'!$K$8</definedName>
    <definedName name="pIns_IP_MAIN">ИП!$G$13</definedName>
    <definedName name="pIns_IP_QRE">'ИП. КНЭ'!$F$21</definedName>
    <definedName name="pIns_List07">'Сведения об изменении'!$E$13</definedName>
    <definedName name="pIns_LT_AREA">'Список территорий'!$G$15</definedName>
    <definedName name="pIns_ORG_INFO_1">'Общая информация об организации'!$E$42</definedName>
    <definedName name="pIns_ORG_INFO_2">'Общая информация об организации'!$E$50</definedName>
    <definedName name="pIns_ORG_INFO_3">'Общая информация об организации'!$E$24</definedName>
    <definedName name="pIns_ORG_TERRITORY">'Сведения по территориям'!$G$13</definedName>
    <definedName name="pIns_ORG_VD_1">'Общая информация по ВД'!$E$13</definedName>
    <definedName name="pIns_ORG_VD_2">'Общая информация по ВД'!$F$13</definedName>
    <definedName name="pIns_ORG_VD_TKO_1">'Виды объектов'!$E$16</definedName>
    <definedName name="pIns_P_PROCEDURE_TC_1">'Порядок ТП'!$E$27</definedName>
    <definedName name="pIns_P_PROCEDURE_TC_2">'Порядок ТП'!$E$30</definedName>
    <definedName name="pIns_P_PROCEDURE_TC_3">'Порядок ТП'!$E$34</definedName>
    <definedName name="pIns_P_PROCEDURE_TC_4">'Порядок ТП'!$E$37</definedName>
    <definedName name="pIns_P_PROCEDURE_TC_5">'Порядок ТП'!$E$40</definedName>
    <definedName name="pIns_P_T_TERMS_1">Договоры!$E$15</definedName>
    <definedName name="pIns_P_T_TERMS_2">Договоры!$E$18</definedName>
    <definedName name="pIns_P_T_TERMS_3">Договоры!$E$22</definedName>
    <definedName name="pIns_P_T_TERMS_4">Договоры!$E$26</definedName>
    <definedName name="pIns_PT_VTAR_A">'ТС. Т-ТЭ | &gt;=25МВт'!$T$57</definedName>
    <definedName name="pIns_PT_VTAR_A_COLDVSNA">'ХВС. Т-пит'!$T$53</definedName>
    <definedName name="pIns_PT_VTAR_A_COLDVSNA_OFFER_1">Предложение!$G$53</definedName>
    <definedName name="pIns_PT_VTAR_A_COLDVSNA_OFFER_2">Предложение!$G$116</definedName>
    <definedName name="pIns_PT_VTAR_A_COLDVSNA_OFFER_3">Предложение!$G$177</definedName>
    <definedName name="pIns_PT_VTAR_A_COLDVSNA_OFFER_4">Предложение!$G$238</definedName>
    <definedName name="pIns_PT_VTAR_A_COLDVSNA_OFFER_5">Предложение!$G$299</definedName>
    <definedName name="pIns_PT_VTAR_A_COLDVSNA_OFFER5">Предложение!$G$299</definedName>
    <definedName name="pIns_PT_VTAR_A_HOTVSNA">'ГВС. Т-гор.вода'!$T$54</definedName>
    <definedName name="pIns_PT_VTAR_A_HOTVSNA_OFFER_1">Предложение!$G$68</definedName>
    <definedName name="pIns_PT_VTAR_A_HOTVSNA_OFFER_2">Предложение!$G$131</definedName>
    <definedName name="pIns_PT_VTAR_A_HOTVSNA_OFFER_3">Предложение!$G$192</definedName>
    <definedName name="pIns_PT_VTAR_A_HOTVSNA_OFFER_4">Предложение!$G$253</definedName>
    <definedName name="pIns_PT_VTAR_A_HOTVSNA_OFFER_5">Предложение!$G$314</definedName>
    <definedName name="pIns_PT_VTAR_A_OFFER_1">Предложение!$G$26</definedName>
    <definedName name="pIns_PT_VTAR_A_OFFER_2">Предложение!$G$89</definedName>
    <definedName name="pIns_PT_VTAR_A_OFFER_3">Предложение!$G$150</definedName>
    <definedName name="pIns_PT_VTAR_A_OFFER_4">Предложение!$G$211</definedName>
    <definedName name="pIns_PT_VTAR_A_OFFER_5">Предложение!$G$272</definedName>
    <definedName name="pIns_PT_VTAR_A_VOTV">'ВО. Т-во'!$T$53</definedName>
    <definedName name="pIns_PT_VTAR_A_VOTV_OFFER_1">Предложение!$G$77</definedName>
    <definedName name="pIns_PT_VTAR_A_VOTV_OFFER_2">Предложение!$G$140</definedName>
    <definedName name="pIns_PT_VTAR_A_VOTV_OFFER_3">Предложение!$G$201</definedName>
    <definedName name="pIns_PT_VTAR_A_VOTV_OFFER_4">Предложение!$G$262</definedName>
    <definedName name="pIns_PT_VTAR_A_VOTV_OFFER_5">Предложение!$G$323</definedName>
    <definedName name="pIns_PT_VTAR_B">'ТС. Т-ТЭ | ТСО'!$T$57</definedName>
    <definedName name="pIns_PT_VTAR_B_COLDVSNA">'ХВС. Т-тех'!$T$53</definedName>
    <definedName name="pIns_PT_VTAR_B_COLDVSNA_OFFER_1">Предложение!$G$56</definedName>
    <definedName name="pIns_PT_VTAR_B_COLDVSNA_OFFER_2">Предложение!$G$119</definedName>
    <definedName name="pIns_PT_VTAR_B_COLDVSNA_OFFER_3">Предложение!$G$180</definedName>
    <definedName name="pIns_PT_VTAR_B_COLDVSNA_OFFER_4">Предложение!$G$241</definedName>
    <definedName name="pIns_PT_VTAR_B_COLDVSNA_OFFER_5">Предложение!$G$302</definedName>
    <definedName name="pIns_PT_VTAR_B_HOTVSNA">'ГВС. Т-транс'!$T$54</definedName>
    <definedName name="pIns_PT_VTAR_B_HOTVSNA_OFFER_1">Предложение!$G$71</definedName>
    <definedName name="pIns_PT_VTAR_B_HOTVSNA_OFFER_2">Предложение!$G$134</definedName>
    <definedName name="pIns_PT_VTAR_B_HOTVSNA_OFFER_3">Предложение!$G$195</definedName>
    <definedName name="pIns_PT_VTAR_B_HOTVSNA_OFFER_4">Предложение!$G$256</definedName>
    <definedName name="pIns_PT_VTAR_B_HOTVSNA_OFFER_5">Предложение!$G$317</definedName>
    <definedName name="pIns_PT_VTAR_B_OFFER_1">Предложение!$G$29</definedName>
    <definedName name="pIns_PT_VTAR_B_OFFER_2">Предложение!$G$92</definedName>
    <definedName name="pIns_PT_VTAR_B_OFFER_3">Предложение!$G$153</definedName>
    <definedName name="pIns_PT_VTAR_B_OFFER_4">Предложение!$G$214</definedName>
    <definedName name="pIns_PT_VTAR_B_OFFER_5">Предложение!$G$275</definedName>
    <definedName name="pIns_PT_VTAR_B_VOTV">'ВО. Т-транс'!$T$53</definedName>
    <definedName name="pIns_PT_VTAR_B_VOTV_OFFER_1">Предложение!$G$80</definedName>
    <definedName name="pIns_PT_VTAR_B_VOTV_OFFER_2">Предложение!$G$143</definedName>
    <definedName name="pIns_PT_VTAR_B_VOTV_OFFER_3">Предложение!$G$204</definedName>
    <definedName name="pIns_PT_VTAR_B_VOTV_OFFER_4">Предложение!$G$265</definedName>
    <definedName name="pIns_PT_VTAR_B_VOTV_OFFER_5">Предложение!$G$326</definedName>
    <definedName name="pIns_PT_VTAR_C">'ТС. Т-ТН'!$T$57</definedName>
    <definedName name="pIns_PT_VTAR_C_COLDVSNA">'ХВС. Т-транс'!$T$53</definedName>
    <definedName name="pIns_PT_VTAR_C_COLDVSNA_OFFER_1">Предложение!$G$59</definedName>
    <definedName name="pIns_PT_VTAR_C_COLDVSNA_OFFER_2">Предложение!$G$122</definedName>
    <definedName name="pIns_PT_VTAR_C_COLDVSNA_OFFER_3">Предложение!$G$183</definedName>
    <definedName name="pIns_PT_VTAR_C_COLDVSNA_OFFER_4">Предложение!$G$244</definedName>
    <definedName name="pIns_PT_VTAR_C_COLDVSNA_OFFER_5">Предложение!$G$305</definedName>
    <definedName name="pIns_PT_VTAR_C_HOTVSNA">'ГВС. Т-подкл'!$T$63</definedName>
    <definedName name="pIns_PT_VTAR_C_HOTVSNA_OFFER_1">Предложение!$G$74</definedName>
    <definedName name="pIns_PT_VTAR_C_HOTVSNA_OFFER_2">Предложение!$G$137</definedName>
    <definedName name="pIns_PT_VTAR_C_HOTVSNA_OFFER_3">Предложение!$G$198</definedName>
    <definedName name="pIns_PT_VTAR_C_HOTVSNA_OFFER_4">Предложение!$G$259</definedName>
    <definedName name="pIns_PT_VTAR_C_HOTVSNA_OFFER_5">Предложение!$G$320</definedName>
    <definedName name="pIns_PT_VTAR_C_OFFER_1">Предложение!$G$32</definedName>
    <definedName name="pIns_PT_VTAR_C_OFFER_2">Предложение!$G$95</definedName>
    <definedName name="pIns_PT_VTAR_C_OFFER_3">Предложение!$G$156</definedName>
    <definedName name="pIns_PT_VTAR_C_OFFER_4">Предложение!$G$217</definedName>
    <definedName name="pIns_PT_VTAR_C_OFFER_5">Предложение!$G$278</definedName>
    <definedName name="pIns_PT_VTAR_C_VOTV">'ВО. Т-подкл'!$T$63</definedName>
    <definedName name="pIns_PT_VTAR_C_VOTV_OFFER_1">Предложение!$G$83</definedName>
    <definedName name="pIns_PT_VTAR_C_VOTV_OFFER_2">Предложение!$G$146</definedName>
    <definedName name="pIns_PT_VTAR_C_VOTV_OFFER_3">Предложение!$G$207</definedName>
    <definedName name="pIns_PT_VTAR_C_VOTV_OFFER_4">Предложение!$G$268</definedName>
    <definedName name="pIns_PT_VTAR_C_VOTV_OFFER_5">Предложение!$G$329</definedName>
    <definedName name="pIns_PT_VTAR_D">'ТС. Т-гор.вода'!$V$65</definedName>
    <definedName name="pIns_PT_VTAR_D_COLDVSNA">'ХВС. Т-подвоз'!$T$53</definedName>
    <definedName name="pIns_PT_VTAR_D_COLDVSNA_OFFER_1">Предложение!$G$62</definedName>
    <definedName name="pIns_PT_VTAR_D_COLDVSNA_OFFER_2">Предложение!$G$125</definedName>
    <definedName name="pIns_PT_VTAR_D_COLDVSNA_OFFER_3">Предложение!$G$186</definedName>
    <definedName name="pIns_PT_VTAR_D_COLDVSNA_OFFER_4">Предложение!$G$247</definedName>
    <definedName name="pIns_PT_VTAR_D_COLDVSNA_OFFER_5">Предложение!$G$308</definedName>
    <definedName name="pIns_PT_VTAR_D_OFFER_1">Предложение!$G$35</definedName>
    <definedName name="pIns_PT_VTAR_D_OFFER_2">Предложение!$G$98</definedName>
    <definedName name="pIns_PT_VTAR_D_OFFER_3">Предложение!$G$159</definedName>
    <definedName name="pIns_PT_VTAR_D_OFFER_4">Предложение!$G$220</definedName>
    <definedName name="pIns_PT_VTAR_D_OFFER_5">Предложение!$G$281</definedName>
    <definedName name="pIns_PT_VTAR_E_COLDVSNA">'ХВС. Т-подкл'!$T$63</definedName>
    <definedName name="pIns_PT_VTAR_E_COLDVSNA_OFFER_1">Предложение!$G$65</definedName>
    <definedName name="pIns_PT_VTAR_E_COLDVSNA_OFFER_2">Предложение!$G$128</definedName>
    <definedName name="pIns_PT_VTAR_E_COLDVSNA_OFFER_3">Предложение!$G$189</definedName>
    <definedName name="pIns_PT_VTAR_E_COLDVSNA_OFFER_4">Предложение!$G$250</definedName>
    <definedName name="pIns_PT_VTAR_E_COLDVSNA_OFFER_5">Предложение!$G$311</definedName>
    <definedName name="pIns_PT_VTAR_E1">'ТС. Т-передача ТЭ'!$T$57</definedName>
    <definedName name="pIns_PT_VTAR_E1_OFFER_1">Предложение!$G$38</definedName>
    <definedName name="pIns_PT_VTAR_E1_OFFER_2">Предложение!$G$101</definedName>
    <definedName name="pIns_PT_VTAR_E1_OFFER_3">Предложение!$G$162</definedName>
    <definedName name="pIns_PT_VTAR_E1_OFFER_4">Предложение!$G$223</definedName>
    <definedName name="pIns_PT_VTAR_E1_OFFER_5">Предложение!$G$284</definedName>
    <definedName name="pIns_PT_VTAR_E2">'ТС. Т-передача ТН'!$T$57</definedName>
    <definedName name="pIns_PT_VTAR_E2_OFFER_1">Предложение!$G$41</definedName>
    <definedName name="pIns_PT_VTAR_E2_OFFER_2">Предложение!$G$104</definedName>
    <definedName name="pIns_PT_VTAR_E2_OFFER_3">Предложение!$G$165</definedName>
    <definedName name="pIns_PT_VTAR_E2_OFFER_4">Предложение!$G$226</definedName>
    <definedName name="pIns_PT_VTAR_E2_OFFER_5">Предложение!$G$287</definedName>
    <definedName name="pIns_PT_VTAR_F">'ТС. Резерв мощности'!$T$57</definedName>
    <definedName name="pIns_PT_VTAR_F_OFFER_1">Предложение!$G$44</definedName>
    <definedName name="pIns_PT_VTAR_F_OFFER_2">Предложение!$G$107</definedName>
    <definedName name="pIns_PT_VTAR_F_OFFER_3">Предложение!$G$168</definedName>
    <definedName name="pIns_PT_VTAR_F_OFFER_4">Предложение!$G$229</definedName>
    <definedName name="pIns_PT_VTAR_F_OFFER_5">Предложение!$G$290</definedName>
    <definedName name="pIns_PT_VTAR_G">'ТС. Т-подкл'!$T$62</definedName>
    <definedName name="pIns_PT_VTAR_G_OFFER_1">Предложение!$G$47</definedName>
    <definedName name="pIns_PT_VTAR_G_OFFER_2">Предложение!$G$110</definedName>
    <definedName name="pIns_PT_VTAR_G_OFFER_3">Предложение!$G$171</definedName>
    <definedName name="pIns_PT_VTAR_G_OFFER_4">Предложение!$G$232</definedName>
    <definedName name="pIns_PT_VTAR_G_OFFER_5">Предложение!$G$293</definedName>
    <definedName name="pIns_PT_VTAR_H">'ТС. Т-подкл(инд)'!$T$56</definedName>
    <definedName name="pIns_PT_VTAR_H_OFFER_1">Предложение!$G$50</definedName>
    <definedName name="pIns_PT_VTAR_H_OFFER_2">Предложение!$G$113</definedName>
    <definedName name="pIns_PT_VTAR_H_OFFER_3">Предложение!$G$174</definedName>
    <definedName name="pIns_PT_VTAR_H_OFFER_4">Предложение!$G$235</definedName>
    <definedName name="pIns_PT_VTAR_H_OFFER_5">Предложение!$G$296</definedName>
    <definedName name="pIns_PT_VTAR_I">'ТС. Т-ТЭ | предел'!$T$57</definedName>
    <definedName name="pIns_PT_VTAR_I_1">'ТС. Т-ТЭ | индикат'!$T$57</definedName>
    <definedName name="pIns_Q_LIMIT_1">Ограничения!$E$33</definedName>
    <definedName name="pIns_Q_LIMIT_2">Ограничения!$E$35</definedName>
    <definedName name="pIns_Q_LIMIT_3">Ограничения!$E$37</definedName>
    <definedName name="pIns_Q_LIMIT_4">Ограничения!$E$39</definedName>
    <definedName name="pIns_Q_LIMIT_DIFFERENTIATION">Ограничения!$K$25</definedName>
    <definedName name="pIns_Q_PH_DIFFERENTIATION">'Потребительские характеристики'!$K$8</definedName>
    <definedName name="pIns_Q_TP_1">ТП!$E$22</definedName>
    <definedName name="pIns_Q_TP_DIFFERENTIATION">ТП!$I$8</definedName>
    <definedName name="pIns_R_B_Purch_1">'Сведения о закупках'!$E$14</definedName>
    <definedName name="pIns_ROIV_CASE_case">'Дела об установлении тарифов'!$F$11</definedName>
    <definedName name="pIns_ROIV_CASE_PUC_case">'Дела об утверждении ПУЦ'!$F$11</definedName>
    <definedName name="pIns_ROIV_INFO_phone">'Орган регулирования'!$E$21</definedName>
    <definedName name="pIns_ROIV_ORG_org">'Перечень организаций'!$F$10</definedName>
    <definedName name="pIns_ROIV_OTV_org">'Привлечение к ответственности'!$F$15</definedName>
    <definedName name="pIns_ver_COLDVSNA_TARIFF_A_COLDVSNA">'ХВС. Т-пит'!$AJ$37</definedName>
    <definedName name="pIns_ver_COLDVSNA_TARIFF_B_COLDVSNA">'ХВС. Т-тех'!$AJ$37</definedName>
    <definedName name="pIns_ver_COLDVSNA_TARIFF_C_COLDVSNA">'ХВС. Т-транс'!$AJ$37</definedName>
    <definedName name="pIns_ver_COLDVSNA_TARIFF_D_COLDVSNA">'ХВС. Т-подвоз'!$AJ$37</definedName>
    <definedName name="pIns_ver_COLDVSNA_TARIFF_E_COLDVSNA">'ХВС. Т-подкл'!$BB$41</definedName>
    <definedName name="pIns_ver_HEAT_TARIFF_A">'ТС. Т-ТЭ | &gt;=25МВт'!$AL$39</definedName>
    <definedName name="pIns_ver_HEAT_TARIFF_B">'ТС. Т-ТЭ | ТСО'!$AL$39</definedName>
    <definedName name="pIns_ver_HEAT_TARIFF_C">'ТС. Т-ТН'!$AL$39</definedName>
    <definedName name="pIns_ver_HEAT_TARIFF_D">'ТС. Т-гор.вода'!$AP$43</definedName>
    <definedName name="pIns_ver_HEAT_TARIFF_E1">'ТС. Т-передача ТЭ'!$AL$39</definedName>
    <definedName name="pIns_ver_HEAT_TARIFF_E2">'ТС. Т-передача ТН'!$AL$39</definedName>
    <definedName name="pIns_ver_HEAT_TARIFF_F">'ТС. Резерв мощности'!$AL$39</definedName>
    <definedName name="pIns_ver_HEAT_TARIFF_G">'ТС. Т-подкл'!$AT$40</definedName>
    <definedName name="pIns_ver_HEAT_TARIFF_H">'ТС. Т-подкл(инд)'!$AJ$37</definedName>
    <definedName name="pIns_ver_HEAT_TARIFF_I">'ТС. Т-ТЭ | предел'!$AL$39</definedName>
    <definedName name="pIns_ver_HEAT_TARIFF_I_1">'ТС. Т-ТЭ | индикат'!$AL$39</definedName>
    <definedName name="pIns_ver_HOTVSNA_TARIFF_A_HOTVSNA">'ГВС. Т-гор.вода'!$AR$37</definedName>
    <definedName name="pIns_ver_HOTVSNA_TARIFF_B_HOTVSNA">'ГВС. Т-транс'!$AR$37</definedName>
    <definedName name="pIns_ver_HOTVSNA_TARIFF_C_HOTVSNA">'ГВС. Т-подкл'!$BB$41</definedName>
    <definedName name="pIns_ver_VOTV_TARIFF_A_VOTV">'ВО. Т-во'!$AJ$37</definedName>
    <definedName name="pIns_ver_VOTV_TARIFF_B_VOTV">'ВО. Т-транс'!$AJ$37</definedName>
    <definedName name="pIns_ver_VOTV_TARIFF_C_VOTV">'ВО. Т-подкл'!$BB$41</definedName>
    <definedName name="pNote_LIMIT">Ограничения!$K$26</definedName>
    <definedName name="pNote_Q_PH">'Потребительские характеристики'!$K$9</definedName>
    <definedName name="pNum_Q_LIMIT">Ограничения!$D$31</definedName>
    <definedName name="PROCEDURE_TC_NAME_FORM">DATA_FORMS!$C$30</definedName>
    <definedName name="PT_ADD_HL_CS_COLUMN_MARKER">'Перечень тарифов'!$R$8</definedName>
    <definedName name="PT_ADD_HL_IST_TE_COLUMN_MARKER">'Перечень тарифов'!$V$8</definedName>
    <definedName name="PT_ADD_HL_NTAR_COLUMN_MARKER">'Перечень тарифов'!$J$8</definedName>
    <definedName name="PT_ADD_HL_TER_COLUMN_MARKER">'Перечень тарифов'!$N$8</definedName>
    <definedName name="PT_ADD_HL_VTAR_COLUMN_MARKER">'Перечень тарифов'!$E$8</definedName>
    <definedName name="pt_cs_1">'ТС. Т-ТЭ | &gt;=25МВт'!$45:$54</definedName>
    <definedName name="pt_cs_10">'ХВС. Т-тех'!$43:$50</definedName>
    <definedName name="pt_cs_11">'ХВС. Т-транс'!$43:$50</definedName>
    <definedName name="pt_cs_12">'ХВС. Т-подвоз'!$43:$50</definedName>
    <definedName name="pt_cs_13">'ХВС. Т-подкл'!$48:$60</definedName>
    <definedName name="pt_cs_14">'ГВС. Т-гор.вода'!$44:$51</definedName>
    <definedName name="pt_cs_15">'ГВС. Т-транс'!$44:$51</definedName>
    <definedName name="pt_cs_16">'ГВС. Т-подкл'!$48:$60</definedName>
    <definedName name="pt_cs_17">'ВО. Т-во'!$43:$50</definedName>
    <definedName name="pt_cs_18">'ВО. Т-транс'!$43:$50</definedName>
    <definedName name="pt_cs_19">'ВО. Т-подкл'!$48:$60</definedName>
    <definedName name="pt_cs_2">'ТС. Т-ТЭ | ТСО'!$45:$54</definedName>
    <definedName name="pt_cs_20">'ТС. Т-подкл(инд)'!$44:$52</definedName>
    <definedName name="pt_cs_21">'ТС. Т-ТЭ | предел'!$45:$54</definedName>
    <definedName name="pt_cs_21_1">'ТС. Т-ТЭ | индикат'!$45:$54</definedName>
    <definedName name="pt_cs_3">'ТС. Т-ТН'!$45:$54</definedName>
    <definedName name="pt_cs_4">'ТС. Т-гор.вода'!$51:$62</definedName>
    <definedName name="pt_cs_5">'ТС. Т-передача ТЭ'!$45:$54</definedName>
    <definedName name="pt_cs_6">'ТС. Т-передача ТН'!$45:$54</definedName>
    <definedName name="pt_cs_7">'ТС. Резерв мощности'!$45:$54</definedName>
    <definedName name="pt_cs_8">'ТС. Т-подкл'!$47:$58</definedName>
    <definedName name="pt_cs_9">'ХВС. Т-пит'!$43:$50</definedName>
    <definedName name="PT_DEL_HL_CS_COLUMN_MARKER">'Перечень тарифов'!$P$8</definedName>
    <definedName name="PT_DEL_HL_IST_TE_COLUMN_MARKER">'Перечень тарифов'!$T$8</definedName>
    <definedName name="PT_DEL_HL_NTAR_COLUMN_MARKER">'Перечень тарифов'!$H$8</definedName>
    <definedName name="PT_DEL_HL_TER_COLUMN_MARKER">'Перечень тарифов'!$L$8</definedName>
    <definedName name="PT_DEL_HL_VTAR_COLUMN_MARKER">'Перечень тарифов'!$C$8</definedName>
    <definedName name="PT_DIAMETERS_2_LIST">TEHSHEET!$AZ$76:$AZ$82</definedName>
    <definedName name="PT_DIAMETERS_LIST">TEHSHEET!$AZ$60:$AZ$64</definedName>
    <definedName name="PT_DIFFERENTIATION_CS">'Перечень тарифов'!$AL$12:$AL$137</definedName>
    <definedName name="PT_DIFFERENTIATION_CS_ID">'Перечень тарифов'!$AF$12:$AF$137</definedName>
    <definedName name="PT_DIFFERENTIATION_IST_TE">'Перечень тарифов'!$AM$12:$AM$137</definedName>
    <definedName name="PT_DIFFERENTIATION_IST_TE_ID">'Перечень тарифов'!$AG$12:$AG$137</definedName>
    <definedName name="PT_DIFFERENTIATION_NTAR">'Перечень тарифов'!$AJ$12:$AJ$137</definedName>
    <definedName name="PT_DIFFERENTIATION_NTAR_ID">'Перечень тарифов'!$AD$12:$AD$137</definedName>
    <definedName name="PT_DIFFERENTIATION_NUM_CS">'Перечень тарифов'!$AP$12:$AP$137</definedName>
    <definedName name="PT_DIFFERENTIATION_NUM_IST_TE">'Перечень тарифов'!$AQ$12:$AQ$137</definedName>
    <definedName name="PT_DIFFERENTIATION_NUM_NTAR">'Перечень тарифов'!$AN$12:$AN$137</definedName>
    <definedName name="PT_DIFFERENTIATION_NUM_TER">'Перечень тарифов'!$AO$12:$AO$137</definedName>
    <definedName name="PT_DIFFERENTIATION_TER">'Перечень тарифов'!$AK$12:$AK$137</definedName>
    <definedName name="PT_DIFFERENTIATION_TER_ID">'Перечень тарифов'!$AE$12:$AE$137</definedName>
    <definedName name="PT_DIFFERENTIATION_VDET">'Перечень тарифов'!$AI$12:$AI$137</definedName>
    <definedName name="PT_DIFFERENTIATION_VTAR">'Перечень тарифов'!$AH$12:$AH$137</definedName>
    <definedName name="PT_DIFFERENTIATION_VTAR_ID">'Перечень тарифов'!$AC$12:$AC$137</definedName>
    <definedName name="PT_FLAG_CS_COLUMN_MARKER">'Перечень тарифов'!$O$8</definedName>
    <definedName name="PT_FLAG_IST_TE_COLUMN_MARKER">'Перечень тарифов'!$S$8</definedName>
    <definedName name="PT_FLAG_TER_COLUMN_MARKER">'Перечень тарифов'!$K$8</definedName>
    <definedName name="PT_FLAG_VTAR_COLUMN_MARKER">'Перечень тарифов'!$F$8</definedName>
    <definedName name="PT_GROUP_CONSUMER_LIST">TEHSHEET!$AZ$29:$AZ$33</definedName>
    <definedName name="PT_HEAT_PRICE_INDICATORS_LEVEL">'Перечень тарифов'!$F$63</definedName>
    <definedName name="pt_ist_te_1">'ТС. Т-ТЭ | &gt;=25МВт'!$46:$53</definedName>
    <definedName name="pt_ist_te_2">'ТС. Т-ТЭ | ТСО'!$46:$53</definedName>
    <definedName name="pt_ist_te_20">'ТС. Т-подкл(инд)'!$45:$51</definedName>
    <definedName name="pt_ist_te_21">'ТС. Т-ТЭ | предел'!$46:$53</definedName>
    <definedName name="pt_ist_te_21_1">'ТС. Т-ТЭ | индикат'!$46:$53</definedName>
    <definedName name="pt_ist_te_3">'ТС. Т-ТН'!$46:$53</definedName>
    <definedName name="pt_ist_te_4">'ТС. Т-гор.вода'!$52:$61</definedName>
    <definedName name="pt_ist_te_5">'ТС. Т-передача ТЭ'!$46:$53</definedName>
    <definedName name="pt_ist_te_6">'ТС. Т-передача ТН'!$46:$53</definedName>
    <definedName name="pt_ist_te_7">'ТС. Резерв мощности'!$46:$53</definedName>
    <definedName name="pt_ist_te_8">'ТС. Т-подкл'!$48:$57</definedName>
    <definedName name="PT_LOAD_LIST">TEHSHEET!$AZ$67:$AZ$72</definedName>
    <definedName name="PT_NETS_LIST">TEHSHEET!$AZ$55:$AZ$57</definedName>
    <definedName name="pt_ntar_1">'ТС. Т-ТЭ | &gt;=25МВт'!$43:$56</definedName>
    <definedName name="pt_ntar_10">'ХВС. Т-тех'!$41:$52</definedName>
    <definedName name="pt_ntar_11">'ХВС. Т-транс'!$41:$52</definedName>
    <definedName name="pt_ntar_12">'ХВС. Т-подвоз'!$41:$52</definedName>
    <definedName name="pt_ntar_13">'ХВС. Т-подкл'!$46:$62</definedName>
    <definedName name="pt_ntar_14">'ГВС. Т-гор.вода'!$42:$53</definedName>
    <definedName name="pt_ntar_15">'ГВС. Т-транс'!$42:$53</definedName>
    <definedName name="pt_ntar_16">'ГВС. Т-подкл'!$46:$62</definedName>
    <definedName name="pt_ntar_17">'ВО. Т-во'!$41:$52</definedName>
    <definedName name="pt_ntar_18">'ВО. Т-транс'!$41:$52</definedName>
    <definedName name="pt_ntar_19">'ВО. Т-подкл'!$46:$62</definedName>
    <definedName name="pt_ntar_2">'ТС. Т-ТЭ | ТСО'!$43:$56</definedName>
    <definedName name="pt_ntar_20">'ТС. Т-подкл(инд)'!$42:$55</definedName>
    <definedName name="pt_ntar_21">'ТС. Т-ТЭ | предел'!$43:$56</definedName>
    <definedName name="pt_ntar_21_1">'ТС. Т-ТЭ | индикат'!$43:$56</definedName>
    <definedName name="pt_ntar_3">'ТС. Т-ТН'!$43:$56</definedName>
    <definedName name="pt_ntar_4">'ТС. Т-гор.вода'!$49:$64</definedName>
    <definedName name="pt_ntar_5">'ТС. Т-передача ТЭ'!$43:$56</definedName>
    <definedName name="pt_ntar_6">'ТС. Т-передача ТН'!$43:$56</definedName>
    <definedName name="pt_ntar_7">'ТС. Резерв мощности'!$43:$56</definedName>
    <definedName name="pt_ntar_8">'ТС. Т-подкл'!$45:$61</definedName>
    <definedName name="pt_ntar_9">'ХВС. Т-пит'!$41:$52</definedName>
    <definedName name="PT_P_FORM_COLDVSNA_4_NAME_FORM">DATA_FORMS!$C$17</definedName>
    <definedName name="PT_P_FORM_COLDVSNA_5_NAME_FORM">DATA_FORMS!$C$18</definedName>
    <definedName name="PT_P_FORM_HEAT_21_NAME_FORM">DATA_FORMS!$C$13</definedName>
    <definedName name="PT_P_FORM_HEAT_22_NAME_FORM">DATA_FORMS!$C$14</definedName>
    <definedName name="PT_P_FORM_HEAT_4_NAME_FORM">DATA_FORMS!$C$9</definedName>
    <definedName name="PT_P_FORM_HEAT_5_NAME_FORM">DATA_FORMS!$C$10</definedName>
    <definedName name="PT_P_FORM_HEAT_6_NAME_FORM">DATA_FORMS!$C$11</definedName>
    <definedName name="PT_P_FORM_HEAT_7_NAME_FORM">DATA_FORMS!$C$12</definedName>
    <definedName name="PT_P_FORM_HOTVSNA_4_NAME_FORM">DATA_FORMS!$C$21</definedName>
    <definedName name="PT_P_FORM_HOTVSNA_5_NAME_FORM">DATA_FORMS!$C$22</definedName>
    <definedName name="PT_P_FORM_VOTV_4_NAME_FORM">DATA_FORMS!$C$25</definedName>
    <definedName name="PT_P_FORM_VOTV_5_NAME_FORM">DATA_FORMS!$C$26</definedName>
    <definedName name="PT_R_FORM_COLDVSNA_16_NAME_FORM">DATA_FORMS!$C$19</definedName>
    <definedName name="PT_R_FORM_COLDVSNA_17_NAME_FORM">DATA_FORMS!$C$20</definedName>
    <definedName name="PT_R_FORM_HEAT_21_NAME_FORM">DATA_FORMS!$C$13</definedName>
    <definedName name="PT_R_FORM_HEAT_22_NAME_FORM">DATA_FORMS!$C$14</definedName>
    <definedName name="PT_R_FORM_HEAT_23_NAME_FORM">DATA_FORMS!$C$15</definedName>
    <definedName name="PT_R_FORM_HEAT_24_NAME_FORM">DATA_FORMS!$C$16</definedName>
    <definedName name="PT_R_FORM_HOTVSNA_16_NAME_FORM">DATA_FORMS!$C$23</definedName>
    <definedName name="PT_R_FORM_HOTVSNA_17_NAME_FORM">DATA_FORMS!$C$24</definedName>
    <definedName name="PT_R_FORM_VOTV_16_NAME_FORM">DATA_FORMS!$C$27</definedName>
    <definedName name="PT_R_FORM_VOTV_17_NAME_FORM">DATA_FORMS!$C$28</definedName>
    <definedName name="PT_SCHEME_LIST">TEHSHEET!$AZ$36:$AZ$39</definedName>
    <definedName name="pt_ter_1">'ТС. Т-ТЭ | &gt;=25МВт'!$44:$55</definedName>
    <definedName name="pt_ter_10">'ХВС. Т-тех'!$42:$51</definedName>
    <definedName name="pt_ter_11">'ХВС. Т-транс'!$42:$51</definedName>
    <definedName name="pt_ter_12">'ХВС. Т-подвоз'!$42:$51</definedName>
    <definedName name="pt_ter_13">'ХВС. Т-подкл'!$47:$61</definedName>
    <definedName name="pt_ter_14">'ГВС. Т-гор.вода'!$43:$52</definedName>
    <definedName name="pt_ter_15">'ГВС. Т-транс'!$43:$52</definedName>
    <definedName name="pt_ter_16">'ГВС. Т-подкл'!$47:$61</definedName>
    <definedName name="pt_ter_17">'ВО. Т-во'!$42:$51</definedName>
    <definedName name="pt_ter_18">'ВО. Т-транс'!$42:$51</definedName>
    <definedName name="pt_ter_19">'ВО. Т-подкл'!$47:$61</definedName>
    <definedName name="pt_ter_2">'ТС. Т-ТЭ | ТСО'!$44:$55</definedName>
    <definedName name="pt_ter_20">'ТС. Т-подкл(инд)'!$43:$53</definedName>
    <definedName name="pt_ter_21">'ТС. Т-ТЭ | предел'!$44:$55</definedName>
    <definedName name="pt_ter_21_1">'ТС. Т-ТЭ | индикат'!$44:$55</definedName>
    <definedName name="pt_ter_3">'ТС. Т-ТН'!$44:$55</definedName>
    <definedName name="pt_ter_4">'ТС. Т-гор.вода'!$50:$63</definedName>
    <definedName name="pt_ter_5">'ТС. Т-передача ТЭ'!$44:$55</definedName>
    <definedName name="pt_ter_6">'ТС. Т-передача ТН'!$44:$55</definedName>
    <definedName name="pt_ter_7">'ТС. Резерв мощности'!$44:$55</definedName>
    <definedName name="pt_ter_8">'ТС. Т-подкл'!$46:$59</definedName>
    <definedName name="pt_ter_9">'ХВС. Т-пит'!$42:$51</definedName>
    <definedName name="PT_TN_LIST">TEHSHEET!$AZ$42:$AZ$52</definedName>
    <definedName name="PT_VDET_COLUMN_MARKER">'Перечень тарифов'!$G$8</definedName>
    <definedName name="PURCH_NAME_FORM">DATA_FORMS!$C$29</definedName>
    <definedName name="Q_LIMIT_CheckC">Ограничения!$E$32:$K$39</definedName>
    <definedName name="Q_LIMIT_diff_1">Ограничения!$I$26:$J$28</definedName>
    <definedName name="Q_LIMIT_p3">Ограничения!$F$36:$K$37</definedName>
    <definedName name="Q_LIMIT_p4">Ограничения!$F$38:$K$39</definedName>
    <definedName name="Q_PH_diff_1">'Потребительские характеристики'!$I$9:$J$11</definedName>
    <definedName name="Q_TP_COUNT_REFUSAL">ТП!$H$17:$H$17</definedName>
    <definedName name="Q_TP_diff_1">ТП!$H$9:$H$11</definedName>
    <definedName name="QRE_METHOD_LIST">TEHSHEET!$AZ$8:$AZ$10</definedName>
    <definedName name="QUARTER">TEHSHEET!$F$2:$F$5</definedName>
    <definedName name="R_OFFER_ADD_PERIOD_HL_COLUMN_MARKER">Предложение!$I$12</definedName>
    <definedName name="R_OFFER_CHANGE_HL_COLUMN_MARKER">Предложение!$K$12</definedName>
    <definedName name="R_OFFER_DEL_HL_COLUMN_MARKER">Предложение!$H$12</definedName>
    <definedName name="R_OFFER_FLAG_HL_COLUMN_MARKER">Предложение!$C$12</definedName>
    <definedName name="REESTR_IP_RANGE">REESTR_IP!$A$2:$I$21</definedName>
    <definedName name="REESTR_LINK_RANGE">REESTR_LINK!$A$2:$C$3</definedName>
    <definedName name="REESTR_VT_RANGE">REESTR_VT!$A$2:$B$11</definedName>
    <definedName name="REGION">TEHSHEET!$A$2:$A$91</definedName>
    <definedName name="region_name">Титульный!$F$7</definedName>
    <definedName name="RegulatoryPeriod">Титульный!$F$11:$F$12</definedName>
    <definedName name="ReportPeriod">Титульный!$F$11:$F$15</definedName>
    <definedName name="ROIV_CASE_ADD_HL_CASE_COLUMN_MARKER">'Дела об установлении тарифов'!$F$1</definedName>
    <definedName name="ROIV_CASE_DATE">'Дела об установлении тарифов'!$G$10:$G$11</definedName>
    <definedName name="ROIV_CASE_DEL_HL_CASE_COLUMN_MARKER">'Дела об установлении тарифов'!$D$1</definedName>
    <definedName name="ROIV_CASE_NUM_CASE_COLUMN_MARKER">'Дела об установлении тарифов'!$E$1</definedName>
    <definedName name="ROIV_CASE_PROTOKOL">'Дела об установлении тарифов'!$K$10:$K$11</definedName>
    <definedName name="ROIV_CASE_PROTOKOL_ET">'Дела об установлении тарифов'!$K$2</definedName>
    <definedName name="ROIV_CASE_PUC_ADD_HL_CASE_COLUMN_MARKER">'Дела об утверждении ПУЦ'!$F$1</definedName>
    <definedName name="ROIV_CASE_PUC_DATE">'Дела об утверждении ПУЦ'!$G$10:$G$11</definedName>
    <definedName name="ROIV_CASE_PUC_DEL_HL_CASE_COLUMN_MARKER">'Дела об утверждении ПУЦ'!$D$1</definedName>
    <definedName name="ROIV_CASE_PUC_NUM_CASE_COLUMN_MARKER">'Дела об утверждении ПУЦ'!$E$1</definedName>
    <definedName name="ROIV_CASE_PUC_PROTOKOL">'Дела об утверждении ПУЦ'!$K$10:$K$11</definedName>
    <definedName name="ROIV_CASE_PUC_PROTOKOL_ET">'Дела об утверждении ПУЦ'!$K$2</definedName>
    <definedName name="ROIV_CASE_PUC_RESH">'Дела об утверждении ПУЦ'!$J$10:$J$11</definedName>
    <definedName name="ROIV_CASE_PUC_RESH_ET">'Дела об утверждении ПУЦ'!$J$2</definedName>
    <definedName name="ROIV_CASE_RESH">'Дела об установлении тарифов'!$J$10:$J$11</definedName>
    <definedName name="ROIV_CASE_RESH_ET">'Дела об установлении тарифов'!$J$2</definedName>
    <definedName name="ROIV_INFO_COMMENT">TEHSHEET!$BA$97:$BA$103</definedName>
    <definedName name="ROIV_INFO_COMMENT_HEAT">TEHSHEET!$BA$97:$BA$103</definedName>
    <definedName name="ROIV_INFO_COMMENT_NO_HEAT">TEHSHEET!$BA$111:$BA$116</definedName>
    <definedName name="ROIV_INFO_DEL_HL_PHONE_COLUMN_MARKER">'Орган регулирования'!$C$1</definedName>
    <definedName name="ROIV_INFO_DOKLAD">'Орган регулирования'!$F$24</definedName>
    <definedName name="ROIV_INFO_LIST">TEHSHEET!$AZ$97:$AZ$103</definedName>
    <definedName name="ROIV_INFO_LIST_HEAT">TEHSHEET!$AZ$97:$AZ$103</definedName>
    <definedName name="ROIV_INFO_LIST_NO_HEAT">TEHSHEET!$AZ$111:$AZ$116</definedName>
    <definedName name="ROIV_INFO_NAME">'Орган регулирования'!$F$12</definedName>
    <definedName name="ROIV_INFO_NUM_PHONE_COLUMN_MARKER">'Орган регулирования'!$D$1</definedName>
    <definedName name="ROIV_ORG_DEL_HL_ORG_COLUMN_MARKER">'Перечень организаций'!$D$1</definedName>
    <definedName name="ROIV_ORG_INN_COLUMN_MARKER">'Перечень организаций'!$G$1</definedName>
    <definedName name="ROIV_ORG_KPP_COLUMN_MARKER">'Перечень организаций'!$H$1</definedName>
    <definedName name="ROIV_ORG_NAME_ORG_COLUMN_MARKER">'Перечень организаций'!$F$1</definedName>
    <definedName name="ROIV_ORG_NUM_ORG_COLUMN_MARKER">'Перечень организаций'!$E$1</definedName>
    <definedName name="ROIV_ORG_TECH_ORG_ID">'Перечень организаций'!$A$9:$A$10</definedName>
    <definedName name="ROIV_ORG_TECH_ORG_ID_COLUMN_MARKER">'Перечень организаций'!$A$1</definedName>
    <definedName name="ROIV_OTV_ADD_HL_DL_COLUMN_MARKER">'Привлечение к ответственности'!$K$1</definedName>
    <definedName name="ROIV_OTV_DEL_HL_DL_COLUMN_MARKER">'Привлечение к ответственности'!$I$1</definedName>
    <definedName name="ROIV_OTV_DEL_HL_ORG_COLUMN_MARKER">'Привлечение к ответственности'!$D$1</definedName>
    <definedName name="ROIV_OTV_INN_COLUMN_MARKER">'Привлечение к ответственности'!$H$1</definedName>
    <definedName name="ROIV_OTV_NAME_ORG_COLUMN_MARKER">'Привлечение к ответственности'!$G$1</definedName>
    <definedName name="ROIV_OTV_NUM_DL_COLUMN_MARKER">'Привлечение к ответственности'!$J$1</definedName>
    <definedName name="ROIV_OTV_NUM_ORG_COLUMN_MARKER">'Привлечение к ответственности'!$E$1</definedName>
    <definedName name="ROIV_OTV_TECH_ORG_ID_COLUMN_MARKER">'Привлечение к ответственности'!$A$1</definedName>
    <definedName name="RST_ORG_ID">Титульный!$F$72</definedName>
    <definedName name="SKI_number">TEHSHEET!$I$2:$I$21</definedName>
    <definedName name="StartDateList">TEHSHEET!$G$46:$G$53</definedName>
    <definedName name="tblEnd_1_B_FHD">'Показатели ФХД'!$J$131</definedName>
    <definedName name="tblEnd_1_B_FHD_TKO">'ТКО. Показатели ФХД'!$J$47</definedName>
    <definedName name="tblEnd_1_B_FHD_TKO_TRANS">'ТКО. Транс. Показатели ФХД'!$J$38</definedName>
    <definedName name="tblEnd_1_B_KNE">'Показатели КНЭ'!$J$101</definedName>
    <definedName name="tblEnd_1_B_OTEP">'Показатели ОТЭП'!$N$34</definedName>
    <definedName name="tblEnd_1_B_STANDARTS">'Стандарты качества'!$L$13</definedName>
    <definedName name="tblEnd_1_CHANGE_INFO">'Сведения об изменении'!$E$14</definedName>
    <definedName name="tblEnd_1_DIFFERENTIATION">Дифференциация!$M$17</definedName>
    <definedName name="tblEnd_1_DIFFERENTIATION_TARIFF">'Перечень тарифов'!$W$136</definedName>
    <definedName name="tblEnd_1_DIFFERENTIATION_TKO">'Дифференциация тариф показатель'!$AI$41</definedName>
    <definedName name="tblEnd_1_ED">ЭД!$H$14</definedName>
    <definedName name="tblEnd_1_IP_DETAILED">'ИП. Детализация'!$AH$14</definedName>
    <definedName name="tblEnd_1_IP_FIN_PLAN">'ИП. Финансовый план'!$K$58</definedName>
    <definedName name="tblEnd_1_IP_MAIN">ИП!$AB$14</definedName>
    <definedName name="tblEnd_1_IP_QRE">'ИП. КНЭ'!$FX$21</definedName>
    <definedName name="tblEnd_1_OFFER">Предложение!$L$330</definedName>
    <definedName name="tblEnd_1_ORG_INFO">'Общая информация об организации'!$F$52</definedName>
    <definedName name="tblEnd_1_ORG_TERRITORY">'Сведения по территориям'!$K$14</definedName>
    <definedName name="tblEnd_1_ORG_VD">'Общая информация по ВД'!$AI$14</definedName>
    <definedName name="tblEnd_1_ORG_VD_TKO">'Виды объектов'!$I$17</definedName>
    <definedName name="tblEnd_1_P_PROCEDURE_TC">'Порядок ТП'!$H$41</definedName>
    <definedName name="tblEnd_1_P_T_TERMS">Договоры!$F$28</definedName>
    <definedName name="tblEnd_1_Q_LIMIT">Ограничения!$K$40</definedName>
    <definedName name="tblEnd_1_Q_PH">'Потребительские характеристики'!$K$21</definedName>
    <definedName name="tblEnd_1_Q_TP">ТП!$I$23</definedName>
    <definedName name="tblEnd_1_R_B_Purch">'Сведения о закупках'!$G$15</definedName>
    <definedName name="tblEnd_1_R_Offer">Предложение!$L$330</definedName>
    <definedName name="tblEnd_1_ROIV_CASE">'Дела об установлении тарифов'!$K$12</definedName>
    <definedName name="tblEnd_1_ROIV_CASE_PUC">'Дела об утверждении ПУЦ'!$K$12</definedName>
    <definedName name="tblEnd_1_ROIV_INFO">'Орган регулирования'!$F$25</definedName>
    <definedName name="tblEnd_1_ROIV_ORG">'Перечень организаций'!$I$11</definedName>
    <definedName name="tblEnd_1_ROIV_OTV">'Привлечение к ответственности'!$M$16</definedName>
    <definedName name="tblEnd_1_TARIFF_A">'ТС. Т-ТЭ | &gt;=25МВт'!$AL$58</definedName>
    <definedName name="tblEnd_1_TARIFF_A_COLDVSNA">'ХВС. Т-пит'!$AJ$54</definedName>
    <definedName name="tblEnd_1_TARIFF_A_HOTVSNA">'ГВС. Т-гор.вода'!$AR$55</definedName>
    <definedName name="tblEnd_1_TARIFF_A_VOTV">'ВО. Т-во'!$AJ$54</definedName>
    <definedName name="tblEnd_1_TARIFF_B">'ТС. Т-ТЭ | ТСО'!$AL$58</definedName>
    <definedName name="tblEnd_1_TARIFF_B_COLDVSNA">'ХВС. Т-тех'!$AJ$54</definedName>
    <definedName name="tblEnd_1_TARIFF_B_HOTVSNA">'ГВС. Т-транс'!$AR$55</definedName>
    <definedName name="tblEnd_1_TARIFF_B_VOTV">'ВО. Т-транс'!$AJ$54</definedName>
    <definedName name="tblEnd_1_TARIFF_C">'ТС. Т-ТН'!$AL$58</definedName>
    <definedName name="tblEnd_1_TARIFF_C_COLDVSNA">'ХВС. Т-транс'!$AJ$54</definedName>
    <definedName name="tblEnd_1_TARIFF_C_HOTVSNA">'ГВС. Т-подкл'!$BB$64</definedName>
    <definedName name="tblEnd_1_TARIFF_C_VOTV">'ВО. Т-подкл'!$BB$64</definedName>
    <definedName name="tblEnd_1_TARIFF_D">'ТС. Т-гор.вода'!$AP$66</definedName>
    <definedName name="tblEnd_1_TARIFF_D_COLDVSNA">'ХВС. Т-подвоз'!$AJ$54</definedName>
    <definedName name="tblEnd_1_TARIFF_E_COLDVSNA">'ХВС. Т-подкл'!$BB$64</definedName>
    <definedName name="tblEnd_1_TARIFF_E1">'ТС. Т-передача ТЭ'!$AL$58</definedName>
    <definedName name="tblEnd_1_TARIFF_E2">'ТС. Т-передача ТН'!$AL$58</definedName>
    <definedName name="tblEnd_1_TARIFF_F">'ТС. Резерв мощности'!$AL$58</definedName>
    <definedName name="tblEnd_1_TARIFF_G">'ТС. Т-подкл'!$AT$63</definedName>
    <definedName name="tblEnd_1_TARIFF_H">'ТС. Т-подкл(инд)'!$AJ$57</definedName>
    <definedName name="tblEnd_1_TARIFF_I">'ТС. Т-ТЭ | предел'!$AL$54</definedName>
    <definedName name="tblEnd_1_TARIFF_I_1">'ТС. Т-ТЭ | индикат'!$AL$58</definedName>
    <definedName name="tblEnd_1_TERRITORY">'Список территорий'!$I$16</definedName>
    <definedName name="tblStart_1_B_FHD">'Показатели ФХД'!$I$30</definedName>
    <definedName name="tblStart_1_B_FHD_TKO">'ТКО. Показатели ФХД'!$I$15</definedName>
    <definedName name="tblStart_1_B_FHD_TKO_TRANS">'ТКО. Транс. Показатели ФХД'!$I$15</definedName>
    <definedName name="tblStart_1_B_KNE">'Показатели КНЭ'!$I$12</definedName>
    <definedName name="tblStart_1_B_OTEP">'Показатели ОТЭП'!$M$15</definedName>
    <definedName name="tblStart_1_B_STANDARTS">'Стандарты качества'!$L$10</definedName>
    <definedName name="tblStart_1_CHANGE_INFO">'Сведения об изменении'!$E$12</definedName>
    <definedName name="tblStart_1_DIFFERENTIATION">Дифференциация!$E$13</definedName>
    <definedName name="tblStart_1_DIFFERENTIATION_TARIFF">'Перечень тарифов'!$G$13</definedName>
    <definedName name="tblStart_1_DIFFERENTIATION_TKO">'Дифференциация тариф показатель'!$K$11</definedName>
    <definedName name="tblStart_1_ED">ЭД!$E$12</definedName>
    <definedName name="tblStart_1_IP_DETAILED">'ИП. Детализация'!$I$13</definedName>
    <definedName name="tblStart_1_IP_FIN_PLAN">'ИП. Финансовый план'!$J$14</definedName>
    <definedName name="tblStart_1_IP_MAIN">ИП!$H$11</definedName>
    <definedName name="tblStart_1_IP_QRE">'ИП. КНЭ'!$O$18</definedName>
    <definedName name="tblStart_1_OFFER">Предложение!$H$22</definedName>
    <definedName name="tblStart_1_ORG_INFO">'Общая информация об организации'!$F$13</definedName>
    <definedName name="tblStart_1_ORG_TERRITORY">'Сведения по территориям'!$G$12</definedName>
    <definedName name="tblStart_1_ORG_VD">'Общая информация по ВД'!$F$12</definedName>
    <definedName name="tblStart_1_ORG_VD_TKO">'Виды объектов'!$E$14</definedName>
    <definedName name="tblStart_1_P_PROCEDURE_TC">'Порядок ТП'!$G$22</definedName>
    <definedName name="tblStart_1_P_T_TERMS">Договоры!$F$14</definedName>
    <definedName name="tblStart_1_Q_LIMIT">Ограничения!$I$32</definedName>
    <definedName name="tblStart_1_Q_PH">'Потребительские характеристики'!$I$19</definedName>
    <definedName name="tblStart_1_Q_TP">ТП!$H$15</definedName>
    <definedName name="tblStart_1_R_B_Purch">'Сведения о закупках'!$F$10</definedName>
    <definedName name="tblStart_1_R_Offer">Предложение!$H$22</definedName>
    <definedName name="tblStart_1_ROIV_CASE">'Дела об установлении тарифов'!$G$10</definedName>
    <definedName name="tblStart_1_ROIV_CASE_PUC">'Дела об утверждении ПУЦ'!$G$10</definedName>
    <definedName name="tblStart_1_ROIV_INFO">'Орган регулирования'!$F$12</definedName>
    <definedName name="tblStart_1_ROIV_ORG">'Перечень организаций'!$F$9</definedName>
    <definedName name="tblStart_1_ROIV_OTV">'Привлечение к ответственности'!$K$13</definedName>
    <definedName name="tblStart_1_TARIFF_A">'ТС. Т-ТЭ | &gt;=25МВт'!$AD$43</definedName>
    <definedName name="tblStart_1_TARIFF_A_COLDVSNA">'ХВС. Т-пит'!$AC$41</definedName>
    <definedName name="tblStart_1_TARIFF_A_HOTVSNA">'ГВС. Т-гор.вода'!$AG$42</definedName>
    <definedName name="tblStart_1_TARIFF_A_VOTV">'ВО. Т-во'!$AC$41</definedName>
    <definedName name="tblStart_1_TARIFF_B">'ТС. Т-ТЭ | ТСО'!$AD$43</definedName>
    <definedName name="tblStart_1_TARIFF_B_COLDVSNA">'ХВС. Т-тех'!$AC$41</definedName>
    <definedName name="tblStart_1_TARIFF_B_HOTVSNA">'ГВС. Т-транс'!$AG$42</definedName>
    <definedName name="tblStart_1_TARIFF_B_VOTV">'ВО. Т-транс'!$AC$41</definedName>
    <definedName name="tblStart_1_TARIFF_C">'ТС. Т-ТН'!$AD$43</definedName>
    <definedName name="tblStart_1_TARIFF_C_COLDVSNA">'ХВС. Т-транс'!$AC$41</definedName>
    <definedName name="tblStart_1_TARIFF_C_HOTVSNA">'ГВС. Т-подкл'!$AD$46</definedName>
    <definedName name="tblStart_1_TARIFF_C_VOTV">'ВО. Т-подкл'!$AD$46</definedName>
    <definedName name="tblStart_1_TARIFF_D">'ТС. Т-гор.вода'!$AG$49</definedName>
    <definedName name="tblStart_1_TARIFF_D_COLDVSNA">'ХВС. Т-подвоз'!$AC$41</definedName>
    <definedName name="tblStart_1_TARIFF_E_COLDVSNA">'ХВС. Т-подкл'!$AD$46</definedName>
    <definedName name="tblStart_1_TARIFF_E1">'ТС. Т-передача ТЭ'!$AD$43</definedName>
    <definedName name="tblStart_1_TARIFF_E2">'ТС. Т-передача ТН'!$AD$43</definedName>
    <definedName name="tblStart_1_TARIFF_F">'ТС. Резерв мощности'!$AD$43</definedName>
    <definedName name="tblStart_1_TARIFF_G">'ТС. Т-подкл'!$AB$45</definedName>
    <definedName name="tblStart_1_TARIFF_H">'ТС. Т-подкл(инд)'!$AB$42</definedName>
    <definedName name="tblStart_1_TARIFF_I">'ТС. Т-ТЭ | предел'!$AD$43</definedName>
    <definedName name="tblStart_1_TARIFF_I_1">'ТС. Т-ТЭ | индикат'!$AD$43</definedName>
    <definedName name="tblStart_1_TERRITORY">'Список территорий'!$G$12</definedName>
    <definedName name="TECH_ORG_ID">Титульный!$F$1</definedName>
    <definedName name="TEMPLATE_DATA_POINT">DATA_NPA!$T$11:$X$16</definedName>
    <definedName name="TEMPLATE_DATA_POINT_FHD">DATA_NPA!$T$18:$W$146</definedName>
    <definedName name="TEMPLATE_GROUP">TEHSHEET!$E$45</definedName>
    <definedName name="TEMPLATE_NAME_FORM_LIST">DATA_FORMS!$D$3:$H$35</definedName>
    <definedName name="TEMPLATE_NOTE_POINT">DATA_NPA!$Z$11:$AD$15</definedName>
    <definedName name="TEMPLATE_NOTE_POINT_FHD">DATA_NPA!$Z$18:$AD$146</definedName>
    <definedName name="TEMPLATE_NUMBER_FORM_LIST">DATA_FORMS!$D$2:$H$2</definedName>
    <definedName name="TEMPLATE_NUMBER_POINT_FHD">DATA_NPA!$O$18:$S$146</definedName>
    <definedName name="TEMPLATE_ORG_DATA_POINT">DATA_NPA!$Z$3:$AD$9</definedName>
    <definedName name="TEMPLATE_SPHERE">TEHSHEET!$E$36</definedName>
    <definedName name="TEMPLATE_SPHERE_LIST">DATA_FORMS!$D$1:$H$1</definedName>
    <definedName name="TEMPLATE_SPHERE_LIST_FOR_NOTE">DATA_NPA!$Z$2:$AD$2</definedName>
    <definedName name="TEMPLATE_SPHERE_LIST_FOR_NPA">DATA_NPA!$T$2:$X$2</definedName>
    <definedName name="TEMPLATE_SPHERE_RUS">TEHSHEET!$F$36</definedName>
    <definedName name="TEMPLATE_SPHERE_RUS_2">TEHSHEET!$G$36</definedName>
    <definedName name="TemplateState">TEHSHEET!$E$16</definedName>
    <definedName name="ter_1">'Список территорий'!$G$13:$I$13</definedName>
    <definedName name="TER_ID">TEHSHEET!$E$62</definedName>
    <definedName name="TERMS_LINK">Договоры!$F$12:$F$22</definedName>
    <definedName name="TERMS_NAME_FORM">DATA_FORMS!$C$5</definedName>
    <definedName name="TERMS_NUM_CONTRACT_COLUMN_MARKER">Договоры!$D$8</definedName>
    <definedName name="TERMS_P_1">DATA_NPA!$M$148</definedName>
    <definedName name="TERMS_TKO_TRANS_DATA">Договоры!$E$25:$F$26</definedName>
    <definedName name="TERRITORY_CheckC">'Список территорий'!$E$11:$I$15</definedName>
    <definedName name="TERRITORY_ID">TEHSHEET!$E$56</definedName>
    <definedName name="TERRITORY_LIST_ID">'Список территорий'!$F$11:$F$15</definedName>
    <definedName name="TERRITORY_MO_LIST">'Список территорий'!$H$11:$H$15</definedName>
    <definedName name="TERRITORY_MR_LIST">'Список территорий'!$G$11:$G$15</definedName>
    <definedName name="TERRITORY_NAME_COL">'Список территорий'!$G$1:$I$1</definedName>
    <definedName name="TERRITORY_POINT_NUMBER_1">'Список территорий'!$A:$A</definedName>
    <definedName name="TITLE_BUHG_FLAG">Титульный!$F$53</definedName>
    <definedName name="TITLE_CONNECTION_FLAG">Титульный!$F$49</definedName>
    <definedName name="TITLE_DATA_TYPE">Титульный!$F$17</definedName>
    <definedName name="TITLE_DATE_BUHG">Титульный!$F$54</definedName>
    <definedName name="TITLE_DATE_CHANGE">Титульный!$F$18</definedName>
    <definedName name="TITLE_DATE_CHANGE_PERIOD">Титульный!$F$19</definedName>
    <definedName name="TITLE_DATE_FIL">Титульный!$F$13</definedName>
    <definedName name="TITLE_DATE_PARKING">Титульный!$H$5</definedName>
    <definedName name="TITLE_DATE_PR">Титульный!$F$21</definedName>
    <definedName name="TITLE_DATE_PR_CHANGE">Титульный!$F$26</definedName>
    <definedName name="TITLE_DIFFERENTIATION_TYPE">Титульный!$F$41</definedName>
    <definedName name="TITLE_FIL_YEAR">Титульный!$F$14</definedName>
    <definedName name="TITLE_FLAG_DIFF_SELLER">Титульный!$F$46</definedName>
    <definedName name="TITLE_FLAG_INTERNET">Титульный!$F$39</definedName>
    <definedName name="TITLE_FLAG_IP">Титульный!$F$58</definedName>
    <definedName name="TITLE_FLAG_IP_DETAILED">Титульный!$F$60</definedName>
    <definedName name="TITLE_FLAG_NO_DIFF_COMPONENT">Титульный!$F$47</definedName>
    <definedName name="TITLE_FLAG_NOT_REG_PRICE">Титульный!$F$51</definedName>
    <definedName name="TITLE_FLAG_OTV_ROIV">Титульный!$F$10</definedName>
    <definedName name="TITLE_FLAG_REG_PRICE_IP">Титульный!$F$59</definedName>
    <definedName name="TITLE_FLAG_TKO_TRANS">Титульный!$F$62</definedName>
    <definedName name="TITLE_FLAG_TOP80_ACTIVITY">Титульный!$F$56</definedName>
    <definedName name="TITLE_HEADER_PR_CHANGE">Титульный!$F$25</definedName>
    <definedName name="TITLE_IP_DETAILED_METHOD_LIST">TEHSHEET!$AZ$15:$AZ$17</definedName>
    <definedName name="TITLE_IST_PUB">Титульный!$F$24</definedName>
    <definedName name="TITLE_IST_PUB_CHANGE">Титульный!$F$29</definedName>
    <definedName name="TITLE_NAME_OR_PR">Титульный!$F$23</definedName>
    <definedName name="TITLE_NAME_OR_PR_CHANGE">Титульный!$F$28</definedName>
    <definedName name="TITLE_NUMBER_PR">Титульный!$F$22</definedName>
    <definedName name="TITLE_NUMBER_PR_CHANGE">Титульный!$F$27</definedName>
    <definedName name="TITLE_PERIOD_END">Титульный!$F$12</definedName>
    <definedName name="TITLE_PERIOD_START">Титульный!$F$11</definedName>
    <definedName name="TITLE_PRICE_INDICATORS_GRAPH">Титульный!$F$44</definedName>
    <definedName name="TITLE_PRICE_INDICATORS_LEVEL">Титульный!$F$43</definedName>
    <definedName name="TITLE_STRUCTURE_INFO_ROIV">Титульный!$F$9</definedName>
    <definedName name="TITLE_TYPE_ORG">Титульный!$F$36</definedName>
    <definedName name="TKO_PT_VED_ID">TEHSHEET!$CC$19:$CC$24</definedName>
    <definedName name="TKO_PT_VED_NAME">TEHSHEET!$CD$19:$CD$24</definedName>
    <definedName name="TKO_PT_VED_NAME_LIST">TEHSHEET!$CC$19:$CD$24</definedName>
    <definedName name="TP_NAME_FORM">DATA_FORMS!$C$3</definedName>
    <definedName name="TP_NUMBER_FORM">DATA_FORMS!$C$2</definedName>
    <definedName name="TP_P_A">DATA_NPA!$M$11</definedName>
    <definedName name="TP_P_B">DATA_NPA!$M$12</definedName>
    <definedName name="TP_P_G">DATA_NPA!$M$15</definedName>
    <definedName name="TP_P_NOTE_A">DATA_NPA!$N$11</definedName>
    <definedName name="TP_P_NOTE_B">DATA_NPA!$N$12</definedName>
    <definedName name="TP_P_NOTE_G">DATA_NPA!$N$15</definedName>
    <definedName name="TP_P_NOTE_G_1">DATA_NPA!$N$16</definedName>
    <definedName name="TP_P_NOTE_V">DATA_NPA!$N$13</definedName>
    <definedName name="TP_P_NOTE_V_1">DATA_NPA!$N$14</definedName>
    <definedName name="TP_P_V">DATA_NPA!$M$13</definedName>
    <definedName name="TP_P_V_1">DATA_NPA!$M$14</definedName>
    <definedName name="TYPE_TKO_LIST">TEHSHEET!$AZ$85:$AZ$87</definedName>
    <definedName name="UNIT_CONNECT_LIST">TEHSHEET!$AZ$106:$AZ$108</definedName>
    <definedName name="VD_ID_LIST">REESTR_VED!$A$2:$A$11</definedName>
    <definedName name="VD_LIST">REESTR_VED!$A$2:$B$11</definedName>
    <definedName name="VD_NAME_LIST">REESTR_VED!$B$2:$B$11</definedName>
    <definedName name="VDET_END_DATE">TEHSHEET!$F$32</definedName>
    <definedName name="VDET_START_DATE">TEHSHEET!$E$32</definedName>
    <definedName name="version">Инструкция!$B$3</definedName>
    <definedName name="VOTV_FIN_SRC_LIST">TEHSHEET!$BL$4:$BL$36</definedName>
    <definedName name="VOTV_FIN_SRC_VLD_LIST">TEHSHEET!$BL$39:$BL$62</definedName>
    <definedName name="VOTV_IP_EVENT_CI_STAGE_LIST">TEHSHEET!$BL$97:$BL$100</definedName>
    <definedName name="VOTV_IP_EVENT_GROUP_LIST">TEHSHEET!$BL$69:$BL$76</definedName>
    <definedName name="VOTV_IP_EVENT_SUBGROUP_1_LIST">TEHSHEET!$BL$80:$BL$83</definedName>
    <definedName name="VOTV_IP_EVENT_SUBGROUP_3_LIST">TEHSHEET!$BL$87:$BL$88</definedName>
    <definedName name="VOTV_IP_EVENT_SUBGROUP_5_LIST">TEHSHEET!$BL$92:$BL$93</definedName>
    <definedName name="VOTV_IP_EVENT_TYPE_LIST">TEHSHEET!$BL$108</definedName>
    <definedName name="VOTV_PT_VED_ID">TEHSHEET!$BZ$19:$BZ$21</definedName>
    <definedName name="VOTV_PT_VED_NAME">TEHSHEET!$CA$19:$CA$21</definedName>
    <definedName name="VOTV_PT_VED_NAME_LIST">TEHSHEET!$BZ$19:$CA$21</definedName>
    <definedName name="VOTV_TARIFF_A_VOTV_ADD_HL_COLUMN_MARKER">'ВО. Т-во'!$T$34</definedName>
    <definedName name="VOTV_TARIFF_A_VOTV_DEL_HL_DATA_DIFF_COLUMN_MARKER">'ВО. Т-во'!$R$34</definedName>
    <definedName name="VOTV_TARIFF_A_VOTV_DEL_HL_FLAG_DIFF_COLUMN_MARKER">'ВО. Т-во'!$P$34</definedName>
    <definedName name="VOTV_TARIFF_A_VOTV_DEL_HL_GC_COLUMN_MARKER">'ВО. Т-во'!$Q$34</definedName>
    <definedName name="VOTV_TARIFF_A_VOTV_DELETE_PERIOD_ROW_MARKER">'ВО. Т-во'!$O$35</definedName>
    <definedName name="VOTV_TARIFF_A_VOTV_FLAG_BLOCK_COLUMN_MARKER">'ВО. Т-во'!$L$36</definedName>
    <definedName name="VOTV_TARIFF_A_VOTV_FLAG_BLOCK_ROW_MARKER">'ВО. Т-во'!$O$20</definedName>
    <definedName name="VOTV_TARIFF_A_VOTV_NUM_CS_COLUMN_MARKER">'ВО. Т-во'!$G$36</definedName>
    <definedName name="VOTV_TARIFF_A_VOTV_NUM_DATA_DIFF_COLUMN_MARKER">'ВО. Т-во'!$K$36</definedName>
    <definedName name="VOTV_TARIFF_A_VOTV_NUM_FLAG_DIFF_COLUMN_MARKER">'ВО. Т-во'!$I$36</definedName>
    <definedName name="VOTV_TARIFF_A_VOTV_NUM_GC_COLUMN_MARKER">'ВО. Т-во'!$J$36</definedName>
    <definedName name="VOTV_TARIFF_A_VOTV_NUM_NTAR_COLUMN_MARKER">'ВО. Т-во'!$E$36</definedName>
    <definedName name="VOTV_TARIFF_A_VOTV_NUM_TER_COLUMN_MARKER">'ВО. Т-во'!$F$36</definedName>
    <definedName name="VOTV_TARIFF_B_VOTV_ADD_HL_COLUMN_MARKER">'ВО. Т-транс'!$T$34</definedName>
    <definedName name="VOTV_TARIFF_B_VOTV_DEL_HL_DATA_DIFF_COLUMN_MARKER">'ВО. Т-транс'!$R$34</definedName>
    <definedName name="VOTV_TARIFF_B_VOTV_DEL_HL_FLAG_DIFF_COLUMN_MARKER">'ВО. Т-транс'!$P$34</definedName>
    <definedName name="VOTV_TARIFF_B_VOTV_DEL_HL_GC_COLUMN_MARKER">'ВО. Т-транс'!$Q$34</definedName>
    <definedName name="VOTV_TARIFF_B_VOTV_DELETE_PERIOD_ROW_MARKER">'ВО. Т-транс'!$O$35</definedName>
    <definedName name="VOTV_TARIFF_B_VOTV_FLAG_BLOCK_COLUMN_MARKER">'ВО. Т-транс'!$L$36</definedName>
    <definedName name="VOTV_TARIFF_B_VOTV_FLAG_BLOCK_ROW_MARKER">'ВО. Т-транс'!$O$20</definedName>
    <definedName name="VOTV_TARIFF_B_VOTV_NUM_CS_COLUMN_MARKER">'ВО. Т-транс'!$G$36</definedName>
    <definedName name="VOTV_TARIFF_B_VOTV_NUM_DATA_DIFF_COLUMN_MARKER">'ВО. Т-транс'!$K$36</definedName>
    <definedName name="VOTV_TARIFF_B_VOTV_NUM_FLAG_DIFF_COLUMN_MARKER">'ВО. Т-транс'!$I$36</definedName>
    <definedName name="VOTV_TARIFF_B_VOTV_NUM_GC_COLUMN_MARKER">'ВО. Т-транс'!$J$36</definedName>
    <definedName name="VOTV_TARIFF_B_VOTV_NUM_NTAR_COLUMN_MARKER">'ВО. Т-транс'!$E$36</definedName>
    <definedName name="VOTV_TARIFF_B_VOTV_NUM_TER_COLUMN_MARKER">'ВО. Т-транс'!$F$36</definedName>
    <definedName name="VOTV_TARIFF_C_VOTV_ADD_HL_COLUMN_MARKER">'ВО. Т-подкл'!$T$38</definedName>
    <definedName name="VOTV_TARIFF_C_VOTV_ADD_HL_DIAMETERS_COLUMN_MARKER">'ВО. Т-подкл'!$AK$38</definedName>
    <definedName name="VOTV_TARIFF_C_VOTV_ADD_HL_LEN_COLUMN_MARKER">'ВО. Т-подкл'!$AO$38</definedName>
    <definedName name="VOTV_TARIFF_C_VOTV_ADD_HL_LOAD_COLUMN_MARKER">'ВО. Т-подкл'!$AG$38</definedName>
    <definedName name="VOTV_TARIFF_C_VOTV_ADD_HL_NETS_COLUMN_MARKER">'ВО. Т-подкл'!$AS$38</definedName>
    <definedName name="VOTV_TARIFF_C_VOTV_DEL_HL_DATA_DIFF_COLUMN_MARKER">'ВО. Т-подкл'!$R$38</definedName>
    <definedName name="VOTV_TARIFF_C_VOTV_DEL_HL_DIAMETERS_COLUMN_MARKER">'ВО. Т-подкл'!$AI$38</definedName>
    <definedName name="VOTV_TARIFF_C_VOTV_DEL_HL_FLAG_DIFF_COLUMN_MARKER">'ВО. Т-подкл'!$P$38</definedName>
    <definedName name="VOTV_TARIFF_C_VOTV_DEL_HL_GC_COLUMN_MARKER">'ВО. Т-подкл'!$Q$38</definedName>
    <definedName name="VOTV_TARIFF_C_VOTV_DEL_HL_LEN_COLUMN_MARKER">'ВО. Т-подкл'!$AM$38</definedName>
    <definedName name="VOTV_TARIFF_C_VOTV_DEL_HL_LOAD_COLUMN_MARKER">'ВО. Т-подкл'!$AE$38</definedName>
    <definedName name="VOTV_TARIFF_C_VOTV_DEL_HL_NETS_COLUMN_MARKER">'ВО. Т-подкл'!$AQ$38</definedName>
    <definedName name="VOTV_TARIFF_C_VOTV_DELETE_PERIOD_ROW_MARKER">'ВО. Т-подкл'!$O$39</definedName>
    <definedName name="VOTV_TARIFF_C_VOTV_FLAG_BLOCK_COLUMN_MARKER">'ВО. Т-подкл'!$L$44</definedName>
    <definedName name="VOTV_TARIFF_C_VOTV_FLAG_BLOCK_ROW_MARKER">'ВО. Т-подкл'!$O$24</definedName>
    <definedName name="VOTV_TARIFF_C_VOTV_NUM_CS_COLUMN_MARKER">'ВО. Т-подкл'!$G$44</definedName>
    <definedName name="VOTV_TARIFF_C_VOTV_NUM_DATA_DIFF_COLUMN_MARKER">'ВО. Т-подкл'!$K$44</definedName>
    <definedName name="VOTV_TARIFF_C_VOTV_NUM_DIAMETERS_COLUMN_MARKER">'ВО. Т-подкл'!$AJ$38</definedName>
    <definedName name="VOTV_TARIFF_C_VOTV_NUM_FLAG_DIFF_COLUMN_MARKER">'ВО. Т-подкл'!$I$44</definedName>
    <definedName name="VOTV_TARIFF_C_VOTV_NUM_GC_COLUMN_MARKER">'ВО. Т-подкл'!$J$44</definedName>
    <definedName name="VOTV_TARIFF_C_VOTV_NUM_LEN_COLUMN_MARKER">'ВО. Т-подкл'!$AN$38</definedName>
    <definedName name="VOTV_TARIFF_C_VOTV_NUM_LOAD_COLUMN_MARKER">'ВО. Т-подкл'!$AF$38</definedName>
    <definedName name="VOTV_TARIFF_C_VOTV_NUM_NETS_COLUMN_MARKER">'ВО. Т-подкл'!$AR$38</definedName>
    <definedName name="VOTV_TARIFF_C_VOTV_NUM_NTAR_COLUMN_MARKER">'ВО. Т-подкл'!$E$44</definedName>
    <definedName name="VOTV_TARIFF_C_VOTV_NUM_TER_COLUMN_MARKER">'ВО. Т-подкл'!$F$44</definedName>
    <definedName name="VSNA_FIN_SRC_LIST">TEHSHEET!$BJ$4:$BJ$34</definedName>
    <definedName name="VSNA_FIN_SRC_VLD_LIST">TEHSHEET!$BJ$39:$BJ$60</definedName>
    <definedName name="VSNA_IP_EVENT_CI_STAGE_LIST">TEHSHEET!$BJ$97:$BJ$100</definedName>
    <definedName name="VSNA_IP_EVENT_GROUP_LIST">TEHSHEET!$BJ$69:$BJ$76</definedName>
    <definedName name="VSNA_IP_EVENT_SUBGROUP_1_LIST">TEHSHEET!$BJ$80:$BJ$83</definedName>
    <definedName name="VSNA_IP_EVENT_SUBGROUP_3_LIST">TEHSHEET!$BJ$87:$BJ$88</definedName>
    <definedName name="VSNA_IP_EVENT_SUBGROUP_5_LIST">TEHSHEET!$BJ$92:$BJ$93</definedName>
    <definedName name="VSNA_IP_EVENT_TYPE_LIST">TEHSHEET!$BJ$108</definedName>
    <definedName name="VTAR_ID">TEHSHEET!$E$59</definedName>
    <definedName name="Y_N_DIFFERENTIATION_AREA">Дифференциация!$F$12:$F$16</definedName>
    <definedName name="Y_N_DIFFERENTIATION_SYSTEM">Дифференциация!$J$12:$J$16</definedName>
    <definedName name="YEAR_IP_LIST">TEHSHEET!$BE$2:$BE$72</definedName>
    <definedName name="year_list">TEHSHEET!$C$2:$C$6</definedName>
    <definedName name="year_list1">TEHSHEET!$B$2:$B$27</definedName>
  </definedNames>
  <calcPr calcId="145621" iterate="1"/>
</workbook>
</file>

<file path=xl/calcChain.xml><?xml version="1.0" encoding="utf-8"?>
<calcChain xmlns="http://schemas.openxmlformats.org/spreadsheetml/2006/main">
  <c r="AA32" i="64" l="1"/>
  <c r="AA31" i="64"/>
  <c r="AA30" i="64"/>
  <c r="AA29" i="64"/>
  <c r="AA28" i="64"/>
  <c r="AA27" i="64"/>
  <c r="AA26" i="64"/>
  <c r="R26" i="64"/>
  <c r="AA25" i="64"/>
  <c r="AA24" i="64"/>
  <c r="AA23" i="64"/>
  <c r="AA22" i="64"/>
  <c r="AA21" i="64"/>
  <c r="AA20" i="64"/>
  <c r="AA19" i="64"/>
  <c r="Q18" i="64"/>
  <c r="R18" i="64" s="1"/>
  <c r="S18" i="64" s="1"/>
  <c r="T18" i="64" s="1"/>
  <c r="V18" i="64" s="1"/>
  <c r="W18" i="64" s="1"/>
  <c r="X18" i="64" s="1"/>
  <c r="N18" i="64"/>
  <c r="O18" i="64" s="1"/>
  <c r="O11" i="64"/>
  <c r="O10" i="64"/>
  <c r="O9" i="64"/>
  <c r="O8" i="64"/>
  <c r="L6" i="64"/>
  <c r="M148" i="63"/>
  <c r="M101" i="63"/>
  <c r="F130" i="33" s="1"/>
  <c r="K101" i="63"/>
  <c r="N101" i="63" s="1"/>
  <c r="J101" i="63"/>
  <c r="I101" i="63"/>
  <c r="L101" i="63" s="1"/>
  <c r="M100" i="63"/>
  <c r="K100" i="63"/>
  <c r="N100" i="63" s="1"/>
  <c r="J100" i="63"/>
  <c r="I100" i="63"/>
  <c r="L100" i="63" s="1"/>
  <c r="M99" i="63"/>
  <c r="F128" i="33" s="1"/>
  <c r="K99" i="63"/>
  <c r="N99" i="63" s="1"/>
  <c r="J99" i="63"/>
  <c r="I99" i="63"/>
  <c r="L99" i="63" s="1"/>
  <c r="M98" i="63"/>
  <c r="K98" i="63"/>
  <c r="N98" i="63" s="1"/>
  <c r="J98" i="63"/>
  <c r="I98" i="63"/>
  <c r="L98" i="63" s="1"/>
  <c r="M97" i="63"/>
  <c r="F126" i="33" s="1"/>
  <c r="K97" i="63"/>
  <c r="N97" i="63" s="1"/>
  <c r="J97" i="63"/>
  <c r="I97" i="63"/>
  <c r="L97" i="63" s="1"/>
  <c r="M96" i="63"/>
  <c r="F123" i="33" s="1"/>
  <c r="K96" i="63"/>
  <c r="N96" i="63" s="1"/>
  <c r="J96" i="63"/>
  <c r="I96" i="63"/>
  <c r="L96" i="63" s="1"/>
  <c r="M95" i="63"/>
  <c r="F120" i="33" s="1"/>
  <c r="K95" i="63"/>
  <c r="N95" i="63" s="1"/>
  <c r="J95" i="63"/>
  <c r="I95" i="63"/>
  <c r="L95" i="63" s="1"/>
  <c r="M94" i="63"/>
  <c r="F117" i="33" s="1"/>
  <c r="K94" i="63"/>
  <c r="N94" i="63" s="1"/>
  <c r="J94" i="63"/>
  <c r="I94" i="63"/>
  <c r="L94" i="63" s="1"/>
  <c r="M93" i="63"/>
  <c r="K93" i="63"/>
  <c r="N93" i="63" s="1"/>
  <c r="J93" i="63"/>
  <c r="I93" i="63"/>
  <c r="L93" i="63" s="1"/>
  <c r="M92" i="63"/>
  <c r="F115" i="33" s="1"/>
  <c r="K92" i="63"/>
  <c r="N92" i="63" s="1"/>
  <c r="J92" i="63"/>
  <c r="I92" i="63"/>
  <c r="L92" i="63" s="1"/>
  <c r="M91" i="63"/>
  <c r="K91" i="63"/>
  <c r="N91" i="63" s="1"/>
  <c r="J91" i="63"/>
  <c r="I91" i="63"/>
  <c r="L91" i="63" s="1"/>
  <c r="M90" i="63"/>
  <c r="F113" i="33" s="1"/>
  <c r="K90" i="63"/>
  <c r="N90" i="63" s="1"/>
  <c r="J90" i="63"/>
  <c r="I90" i="63"/>
  <c r="L90" i="63" s="1"/>
  <c r="M89" i="63"/>
  <c r="K89" i="63"/>
  <c r="N89" i="63" s="1"/>
  <c r="J89" i="63"/>
  <c r="I89" i="63"/>
  <c r="L89" i="63" s="1"/>
  <c r="M88" i="63"/>
  <c r="F111" i="33" s="1"/>
  <c r="K88" i="63"/>
  <c r="N88" i="63" s="1"/>
  <c r="J88" i="63"/>
  <c r="I88" i="63"/>
  <c r="L88" i="63" s="1"/>
  <c r="M87" i="63"/>
  <c r="K87" i="63"/>
  <c r="N87" i="63" s="1"/>
  <c r="J87" i="63"/>
  <c r="I87" i="63"/>
  <c r="L87" i="63" s="1"/>
  <c r="M86" i="63"/>
  <c r="F109" i="33" s="1"/>
  <c r="K86" i="63"/>
  <c r="N86" i="63" s="1"/>
  <c r="J86" i="63"/>
  <c r="I86" i="63"/>
  <c r="L86" i="63" s="1"/>
  <c r="M85" i="63"/>
  <c r="K85" i="63"/>
  <c r="N85" i="63" s="1"/>
  <c r="J85" i="63"/>
  <c r="I85" i="63"/>
  <c r="L85" i="63" s="1"/>
  <c r="M84" i="63"/>
  <c r="F107" i="33" s="1"/>
  <c r="K84" i="63"/>
  <c r="N84" i="63" s="1"/>
  <c r="J84" i="63"/>
  <c r="I84" i="63"/>
  <c r="L84" i="63" s="1"/>
  <c r="M83" i="63"/>
  <c r="K83" i="63"/>
  <c r="N83" i="63" s="1"/>
  <c r="J83" i="63"/>
  <c r="I83" i="63"/>
  <c r="L83" i="63" s="1"/>
  <c r="M82" i="63"/>
  <c r="F105" i="33" s="1"/>
  <c r="K82" i="63"/>
  <c r="N82" i="63" s="1"/>
  <c r="J82" i="63"/>
  <c r="I82" i="63"/>
  <c r="L82" i="63" s="1"/>
  <c r="M81" i="63"/>
  <c r="K81" i="63"/>
  <c r="N81" i="63" s="1"/>
  <c r="J81" i="63"/>
  <c r="I81" i="63"/>
  <c r="L81" i="63" s="1"/>
  <c r="M80" i="63"/>
  <c r="F103" i="33" s="1"/>
  <c r="K80" i="63"/>
  <c r="N80" i="63" s="1"/>
  <c r="J80" i="63"/>
  <c r="I80" i="63"/>
  <c r="L80" i="63" s="1"/>
  <c r="M79" i="63"/>
  <c r="K79" i="63"/>
  <c r="N79" i="63" s="1"/>
  <c r="J79" i="63"/>
  <c r="I79" i="63"/>
  <c r="L79" i="63" s="1"/>
  <c r="M78" i="63"/>
  <c r="K78" i="63"/>
  <c r="N78" i="63" s="1"/>
  <c r="J78" i="63"/>
  <c r="I78" i="63"/>
  <c r="L78" i="63" s="1"/>
  <c r="M77" i="63"/>
  <c r="F98" i="33" s="1"/>
  <c r="K77" i="63"/>
  <c r="N77" i="63" s="1"/>
  <c r="J77" i="63"/>
  <c r="I77" i="63"/>
  <c r="L77" i="63" s="1"/>
  <c r="M76" i="63"/>
  <c r="K76" i="63"/>
  <c r="N76" i="63" s="1"/>
  <c r="J76" i="63"/>
  <c r="I76" i="63"/>
  <c r="L76" i="63" s="1"/>
  <c r="M75" i="63"/>
  <c r="F96" i="33" s="1"/>
  <c r="K75" i="63"/>
  <c r="N75" i="63" s="1"/>
  <c r="J75" i="63"/>
  <c r="I75" i="63"/>
  <c r="L75" i="63" s="1"/>
  <c r="M74" i="63"/>
  <c r="K74" i="63"/>
  <c r="N74" i="63" s="1"/>
  <c r="J74" i="63"/>
  <c r="I74" i="63"/>
  <c r="L74" i="63" s="1"/>
  <c r="M73" i="63"/>
  <c r="F94" i="33" s="1"/>
  <c r="K73" i="63"/>
  <c r="N73" i="63" s="1"/>
  <c r="J73" i="63"/>
  <c r="I73" i="63"/>
  <c r="L73" i="63" s="1"/>
  <c r="M72" i="63"/>
  <c r="K72" i="63"/>
  <c r="N72" i="63" s="1"/>
  <c r="J72" i="63"/>
  <c r="I72" i="63"/>
  <c r="L72" i="63" s="1"/>
  <c r="M71" i="63"/>
  <c r="F92" i="33" s="1"/>
  <c r="K71" i="63"/>
  <c r="N71" i="63" s="1"/>
  <c r="J71" i="63"/>
  <c r="I71" i="63"/>
  <c r="L71" i="63" s="1"/>
  <c r="M70" i="63"/>
  <c r="K70" i="63"/>
  <c r="N70" i="63" s="1"/>
  <c r="J70" i="63"/>
  <c r="I70" i="63"/>
  <c r="L70" i="63" s="1"/>
  <c r="M69" i="63"/>
  <c r="F90" i="33" s="1"/>
  <c r="K69" i="63"/>
  <c r="N69" i="63" s="1"/>
  <c r="J69" i="63"/>
  <c r="I69" i="63"/>
  <c r="L69" i="63" s="1"/>
  <c r="M68" i="63"/>
  <c r="K68" i="63"/>
  <c r="N68" i="63" s="1"/>
  <c r="J68" i="63"/>
  <c r="I68" i="63"/>
  <c r="L68" i="63" s="1"/>
  <c r="M67" i="63"/>
  <c r="F88" i="33" s="1"/>
  <c r="K67" i="63"/>
  <c r="N67" i="63" s="1"/>
  <c r="J67" i="63"/>
  <c r="I67" i="63"/>
  <c r="L67" i="63" s="1"/>
  <c r="M66" i="63"/>
  <c r="K66" i="63"/>
  <c r="N66" i="63" s="1"/>
  <c r="J66" i="63"/>
  <c r="I66" i="63"/>
  <c r="L66" i="63" s="1"/>
  <c r="K65" i="63"/>
  <c r="N65" i="63" s="1"/>
  <c r="J65" i="63"/>
  <c r="M65" i="63" s="1"/>
  <c r="F86" i="33" s="1"/>
  <c r="I65" i="63"/>
  <c r="L65" i="63" s="1"/>
  <c r="N64" i="63"/>
  <c r="J85" i="33" s="1"/>
  <c r="L64" i="63"/>
  <c r="K64" i="63"/>
  <c r="J64" i="63"/>
  <c r="M64" i="63" s="1"/>
  <c r="I64" i="63"/>
  <c r="N63" i="63"/>
  <c r="L63" i="63"/>
  <c r="K63" i="63"/>
  <c r="J63" i="63"/>
  <c r="M63" i="63" s="1"/>
  <c r="F84" i="33" s="1"/>
  <c r="I63" i="63"/>
  <c r="N62" i="63"/>
  <c r="J83" i="33" s="1"/>
  <c r="L62" i="63"/>
  <c r="K62" i="63"/>
  <c r="J62" i="63"/>
  <c r="M62" i="63" s="1"/>
  <c r="I62" i="63"/>
  <c r="N61" i="63"/>
  <c r="L61" i="63"/>
  <c r="K61" i="63"/>
  <c r="J61" i="63"/>
  <c r="M61" i="63" s="1"/>
  <c r="F82" i="33" s="1"/>
  <c r="I61" i="63"/>
  <c r="N60" i="63"/>
  <c r="J81" i="33" s="1"/>
  <c r="L60" i="63"/>
  <c r="K60" i="63"/>
  <c r="J60" i="63"/>
  <c r="M60" i="63" s="1"/>
  <c r="I60" i="63"/>
  <c r="N59" i="63"/>
  <c r="L59" i="63"/>
  <c r="K59" i="63"/>
  <c r="J59" i="63"/>
  <c r="M59" i="63" s="1"/>
  <c r="F80" i="33" s="1"/>
  <c r="I59" i="63"/>
  <c r="T58" i="63"/>
  <c r="J58" i="63" s="1"/>
  <c r="M58" i="63" s="1"/>
  <c r="K58" i="63"/>
  <c r="N58" i="63" s="1"/>
  <c r="J79" i="33" s="1"/>
  <c r="I58" i="63"/>
  <c r="L58" i="63" s="1"/>
  <c r="T57" i="63"/>
  <c r="N57" i="63"/>
  <c r="L57" i="63"/>
  <c r="K57" i="63"/>
  <c r="J57" i="63"/>
  <c r="M57" i="63" s="1"/>
  <c r="F78" i="33" s="1"/>
  <c r="I57" i="63"/>
  <c r="T56" i="63"/>
  <c r="J56" i="63" s="1"/>
  <c r="M56" i="63" s="1"/>
  <c r="F77" i="33" s="1"/>
  <c r="K56" i="63"/>
  <c r="N56" i="63" s="1"/>
  <c r="J77" i="33" s="1"/>
  <c r="I56" i="63"/>
  <c r="L56" i="63" s="1"/>
  <c r="T55" i="63"/>
  <c r="N55" i="63"/>
  <c r="L55" i="63"/>
  <c r="K55" i="63"/>
  <c r="J55" i="63"/>
  <c r="M55" i="63" s="1"/>
  <c r="F76" i="33" s="1"/>
  <c r="I55" i="63"/>
  <c r="N54" i="63"/>
  <c r="J75" i="33" s="1"/>
  <c r="L54" i="63"/>
  <c r="K54" i="63"/>
  <c r="J54" i="63"/>
  <c r="M54" i="63" s="1"/>
  <c r="I54" i="63"/>
  <c r="N53" i="63"/>
  <c r="L53" i="63"/>
  <c r="K53" i="63"/>
  <c r="J53" i="63"/>
  <c r="M53" i="63" s="1"/>
  <c r="F74" i="33" s="1"/>
  <c r="I53" i="63"/>
  <c r="N52" i="63"/>
  <c r="J73" i="33" s="1"/>
  <c r="L52" i="63"/>
  <c r="K52" i="63"/>
  <c r="J52" i="63"/>
  <c r="M52" i="63" s="1"/>
  <c r="I52" i="63"/>
  <c r="N51" i="63"/>
  <c r="L51" i="63"/>
  <c r="K51" i="63"/>
  <c r="J51" i="63"/>
  <c r="M51" i="63" s="1"/>
  <c r="F72" i="33" s="1"/>
  <c r="I51" i="63"/>
  <c r="N50" i="63"/>
  <c r="L50" i="63"/>
  <c r="K50" i="63"/>
  <c r="J50" i="63"/>
  <c r="M50" i="63" s="1"/>
  <c r="I50" i="63"/>
  <c r="N49" i="63"/>
  <c r="L49" i="63"/>
  <c r="E68" i="33" s="1"/>
  <c r="K49" i="63"/>
  <c r="J49" i="63"/>
  <c r="M49" i="63" s="1"/>
  <c r="I49" i="63"/>
  <c r="N48" i="63"/>
  <c r="J67" i="33" s="1"/>
  <c r="L48" i="63"/>
  <c r="K48" i="63"/>
  <c r="J48" i="63"/>
  <c r="M48" i="63" s="1"/>
  <c r="I48" i="63"/>
  <c r="N47" i="63"/>
  <c r="L47" i="63"/>
  <c r="K47" i="63"/>
  <c r="J47" i="63"/>
  <c r="M47" i="63" s="1"/>
  <c r="F66" i="33" s="1"/>
  <c r="I47" i="63"/>
  <c r="T46" i="63"/>
  <c r="J46" i="63" s="1"/>
  <c r="M46" i="63" s="1"/>
  <c r="F65" i="33" s="1"/>
  <c r="K46" i="63"/>
  <c r="N46" i="63" s="1"/>
  <c r="I46" i="63"/>
  <c r="L46" i="63" s="1"/>
  <c r="M45" i="63"/>
  <c r="F64" i="33" s="1"/>
  <c r="K45" i="63"/>
  <c r="N45" i="63" s="1"/>
  <c r="J45" i="63"/>
  <c r="I45" i="63"/>
  <c r="L45" i="63" s="1"/>
  <c r="M44" i="63"/>
  <c r="F63" i="33" s="1"/>
  <c r="K44" i="63"/>
  <c r="N44" i="63" s="1"/>
  <c r="J44" i="63"/>
  <c r="I44" i="63"/>
  <c r="L44" i="63" s="1"/>
  <c r="M43" i="63"/>
  <c r="F62" i="33" s="1"/>
  <c r="K43" i="63"/>
  <c r="N43" i="63" s="1"/>
  <c r="J43" i="63"/>
  <c r="I43" i="63"/>
  <c r="L43" i="63" s="1"/>
  <c r="M42" i="63"/>
  <c r="F61" i="33" s="1"/>
  <c r="K42" i="63"/>
  <c r="N42" i="63" s="1"/>
  <c r="J42" i="63"/>
  <c r="I42" i="63"/>
  <c r="L42" i="63" s="1"/>
  <c r="M41" i="63"/>
  <c r="F60" i="33" s="1"/>
  <c r="K41" i="63"/>
  <c r="N41" i="63" s="1"/>
  <c r="J41" i="63"/>
  <c r="I41" i="63"/>
  <c r="L41" i="63" s="1"/>
  <c r="M40" i="63"/>
  <c r="F59" i="33" s="1"/>
  <c r="K40" i="63"/>
  <c r="N40" i="63" s="1"/>
  <c r="J40" i="63"/>
  <c r="I40" i="63"/>
  <c r="L40" i="63" s="1"/>
  <c r="M39" i="63"/>
  <c r="F58" i="33" s="1"/>
  <c r="K39" i="63"/>
  <c r="N39" i="63" s="1"/>
  <c r="J39" i="63"/>
  <c r="I39" i="63"/>
  <c r="L39" i="63" s="1"/>
  <c r="M38" i="63"/>
  <c r="F57" i="33" s="1"/>
  <c r="K38" i="63"/>
  <c r="N38" i="63" s="1"/>
  <c r="J38" i="63"/>
  <c r="I38" i="63"/>
  <c r="L38" i="63" s="1"/>
  <c r="M37" i="63"/>
  <c r="F56" i="33" s="1"/>
  <c r="K37" i="63"/>
  <c r="N37" i="63" s="1"/>
  <c r="J37" i="63"/>
  <c r="I37" i="63"/>
  <c r="L37" i="63" s="1"/>
  <c r="M36" i="63"/>
  <c r="F55" i="33" s="1"/>
  <c r="K36" i="63"/>
  <c r="N36" i="63" s="1"/>
  <c r="J36" i="63"/>
  <c r="I36" i="63"/>
  <c r="L36" i="63" s="1"/>
  <c r="T35" i="63"/>
  <c r="N35" i="63"/>
  <c r="L35" i="63"/>
  <c r="E54" i="33" s="1"/>
  <c r="K54" i="33" s="1"/>
  <c r="K35" i="63"/>
  <c r="J35" i="63"/>
  <c r="M35" i="63" s="1"/>
  <c r="F54" i="33" s="1"/>
  <c r="I35" i="63"/>
  <c r="N34" i="63"/>
  <c r="L34" i="63"/>
  <c r="K34" i="63"/>
  <c r="J34" i="63"/>
  <c r="M34" i="63" s="1"/>
  <c r="I34" i="63"/>
  <c r="T33" i="63"/>
  <c r="J33" i="63" s="1"/>
  <c r="M33" i="63"/>
  <c r="F52" i="33" s="1"/>
  <c r="K33" i="63"/>
  <c r="N33" i="63" s="1"/>
  <c r="I33" i="63"/>
  <c r="L33" i="63" s="1"/>
  <c r="T32" i="63"/>
  <c r="N32" i="63"/>
  <c r="J51" i="33" s="1"/>
  <c r="L32" i="63"/>
  <c r="K32" i="63"/>
  <c r="J32" i="63"/>
  <c r="M32" i="63" s="1"/>
  <c r="I32" i="63"/>
  <c r="N31" i="63"/>
  <c r="L31" i="63"/>
  <c r="E50" i="33" s="1"/>
  <c r="K50" i="33" s="1"/>
  <c r="K31" i="63"/>
  <c r="J31" i="63"/>
  <c r="M31" i="63" s="1"/>
  <c r="F50" i="33" s="1"/>
  <c r="I31" i="63"/>
  <c r="N30" i="63"/>
  <c r="L30" i="63"/>
  <c r="K30" i="63"/>
  <c r="J30" i="63"/>
  <c r="M30" i="63" s="1"/>
  <c r="I30" i="63"/>
  <c r="T29" i="63"/>
  <c r="J29" i="63" s="1"/>
  <c r="M29" i="63"/>
  <c r="F48" i="33" s="1"/>
  <c r="K29" i="63"/>
  <c r="N29" i="63" s="1"/>
  <c r="I29" i="63"/>
  <c r="L29" i="63" s="1"/>
  <c r="M28" i="63"/>
  <c r="K28" i="63"/>
  <c r="N28" i="63" s="1"/>
  <c r="J47" i="33" s="1"/>
  <c r="J28" i="63"/>
  <c r="I28" i="63"/>
  <c r="L28" i="63" s="1"/>
  <c r="E47" i="33" s="1"/>
  <c r="K47" i="33" s="1"/>
  <c r="M27" i="63"/>
  <c r="K27" i="63"/>
  <c r="N27" i="63" s="1"/>
  <c r="J27" i="63"/>
  <c r="I27" i="63"/>
  <c r="L27" i="63" s="1"/>
  <c r="T26" i="63"/>
  <c r="N26" i="63"/>
  <c r="J45" i="33" s="1"/>
  <c r="L26" i="63"/>
  <c r="K26" i="63"/>
  <c r="J26" i="63"/>
  <c r="M26" i="63" s="1"/>
  <c r="I26" i="63"/>
  <c r="N25" i="63"/>
  <c r="L25" i="63"/>
  <c r="E44" i="33" s="1"/>
  <c r="K44" i="33" s="1"/>
  <c r="K25" i="63"/>
  <c r="J25" i="63"/>
  <c r="M25" i="63" s="1"/>
  <c r="F44" i="33" s="1"/>
  <c r="I25" i="63"/>
  <c r="N24" i="63"/>
  <c r="L24" i="63"/>
  <c r="K24" i="63"/>
  <c r="J24" i="63"/>
  <c r="M24" i="63" s="1"/>
  <c r="I24" i="63"/>
  <c r="N23" i="63"/>
  <c r="L23" i="63"/>
  <c r="K23" i="63"/>
  <c r="J23" i="63"/>
  <c r="M23" i="63" s="1"/>
  <c r="F42" i="33" s="1"/>
  <c r="I23" i="63"/>
  <c r="N22" i="63"/>
  <c r="J41" i="33" s="1"/>
  <c r="L22" i="63"/>
  <c r="K22" i="63"/>
  <c r="J22" i="63"/>
  <c r="M22" i="63" s="1"/>
  <c r="I22" i="63"/>
  <c r="N21" i="63"/>
  <c r="L21" i="63"/>
  <c r="E33" i="33" s="1"/>
  <c r="K21" i="63"/>
  <c r="J21" i="63"/>
  <c r="M21" i="63" s="1"/>
  <c r="F33" i="33" s="1"/>
  <c r="I21" i="63"/>
  <c r="N20" i="63"/>
  <c r="L20" i="63"/>
  <c r="K20" i="63"/>
  <c r="J20" i="63"/>
  <c r="M20" i="63" s="1"/>
  <c r="I20" i="63"/>
  <c r="N19" i="63"/>
  <c r="L19" i="63"/>
  <c r="E31" i="33" s="1"/>
  <c r="K19" i="63"/>
  <c r="J19" i="63"/>
  <c r="M19" i="63" s="1"/>
  <c r="F31" i="33" s="1"/>
  <c r="I19" i="63"/>
  <c r="N18" i="63"/>
  <c r="L18" i="63"/>
  <c r="K18" i="63"/>
  <c r="J18" i="63"/>
  <c r="M18" i="63" s="1"/>
  <c r="I18" i="63"/>
  <c r="N16" i="63"/>
  <c r="N15" i="63"/>
  <c r="I19" i="45" s="1"/>
  <c r="M15" i="63"/>
  <c r="N14" i="63"/>
  <c r="M14" i="63"/>
  <c r="E18" i="45" s="1"/>
  <c r="N13" i="63"/>
  <c r="M13" i="63"/>
  <c r="N12" i="63"/>
  <c r="M12" i="63"/>
  <c r="N11" i="63"/>
  <c r="M11" i="63"/>
  <c r="N3" i="63"/>
  <c r="C34" i="62"/>
  <c r="C32" i="62"/>
  <c r="E31" i="62"/>
  <c r="C31" i="62"/>
  <c r="C30" i="62"/>
  <c r="C29" i="62"/>
  <c r="C8" i="62"/>
  <c r="D3" i="39" s="1"/>
  <c r="C7" i="62"/>
  <c r="D6" i="62"/>
  <c r="C6" i="62"/>
  <c r="C5" i="62"/>
  <c r="C4" i="62"/>
  <c r="C3" i="62"/>
  <c r="C2" i="62"/>
  <c r="V202" i="61"/>
  <c r="N187" i="61"/>
  <c r="N182" i="61"/>
  <c r="N176" i="61"/>
  <c r="N165" i="61"/>
  <c r="N160" i="61"/>
  <c r="N154" i="61"/>
  <c r="R139" i="61"/>
  <c r="Q139" i="61"/>
  <c r="Q130" i="61"/>
  <c r="H129" i="61"/>
  <c r="H128" i="61"/>
  <c r="H127" i="61"/>
  <c r="Q121" i="61"/>
  <c r="Q118" i="61"/>
  <c r="H117" i="61"/>
  <c r="H116" i="61"/>
  <c r="H115" i="61"/>
  <c r="F109" i="61"/>
  <c r="AD103" i="61"/>
  <c r="AD97" i="61"/>
  <c r="AD92" i="61"/>
  <c r="F81" i="61"/>
  <c r="P72" i="61"/>
  <c r="D49" i="61"/>
  <c r="D47" i="61"/>
  <c r="I29" i="61"/>
  <c r="I23" i="61"/>
  <c r="O19" i="61"/>
  <c r="M19" i="61" a="1"/>
  <c r="M19" i="61" s="1"/>
  <c r="F19" i="61"/>
  <c r="O14" i="61"/>
  <c r="M14" i="61" a="1"/>
  <c r="M14" i="61" s="1"/>
  <c r="F14" i="61"/>
  <c r="E14" i="61"/>
  <c r="G13" i="61"/>
  <c r="E13" i="61"/>
  <c r="F13" i="56"/>
  <c r="E7" i="56"/>
  <c r="F2" i="56"/>
  <c r="P10" i="55" a="1"/>
  <c r="P10" i="55" s="1"/>
  <c r="F10" i="55"/>
  <c r="K8" i="55"/>
  <c r="L10" i="55" s="1"/>
  <c r="R10" i="55" s="1"/>
  <c r="R2" i="55"/>
  <c r="P2" i="55" a="1"/>
  <c r="P2" i="55" s="1"/>
  <c r="R10" i="54"/>
  <c r="P10" i="54" a="1"/>
  <c r="P10" i="54"/>
  <c r="K8" i="54"/>
  <c r="L10" i="54" s="1"/>
  <c r="J8" i="54"/>
  <c r="G8" i="54"/>
  <c r="F8" i="54"/>
  <c r="R2" i="54"/>
  <c r="P2" i="54" a="1"/>
  <c r="P2" i="54" s="1"/>
  <c r="P9" i="53"/>
  <c r="N9" i="53" a="1"/>
  <c r="N9" i="53"/>
  <c r="J9" i="53"/>
  <c r="E5" i="53"/>
  <c r="P2" i="53"/>
  <c r="N2" i="53" a="1"/>
  <c r="N2" i="53" s="1"/>
  <c r="G24" i="52"/>
  <c r="G12" i="52"/>
  <c r="F12" i="52"/>
  <c r="F2" i="55" s="1"/>
  <c r="E12" i="52"/>
  <c r="D6" i="52"/>
  <c r="BA115" i="51"/>
  <c r="BA114" i="51"/>
  <c r="BA113" i="51"/>
  <c r="BA102" i="51"/>
  <c r="BA100" i="51"/>
  <c r="BA99" i="51"/>
  <c r="I53" i="51"/>
  <c r="H53" i="51"/>
  <c r="G53" i="51"/>
  <c r="I52" i="51"/>
  <c r="I51" i="51"/>
  <c r="I50" i="51"/>
  <c r="H50" i="51"/>
  <c r="G50" i="51"/>
  <c r="I49" i="51"/>
  <c r="H49" i="51"/>
  <c r="G49" i="51"/>
  <c r="I48" i="51"/>
  <c r="H48" i="51"/>
  <c r="G48" i="51"/>
  <c r="I47" i="51"/>
  <c r="I45" i="51" s="1"/>
  <c r="H47" i="51"/>
  <c r="G47" i="51"/>
  <c r="I46" i="51"/>
  <c r="K45" i="51"/>
  <c r="G44" i="51"/>
  <c r="G36" i="51"/>
  <c r="E4" i="62" s="1"/>
  <c r="F36" i="51"/>
  <c r="F32" i="51"/>
  <c r="E32" i="51"/>
  <c r="F29" i="51"/>
  <c r="E29" i="51"/>
  <c r="L5" i="51"/>
  <c r="L4" i="51"/>
  <c r="L3" i="51"/>
  <c r="L6" i="51" s="1"/>
  <c r="I14" i="50"/>
  <c r="G14" i="50"/>
  <c r="G11" i="50"/>
  <c r="G10" i="50"/>
  <c r="G9" i="50"/>
  <c r="D6" i="50"/>
  <c r="E13" i="49"/>
  <c r="H12" i="49"/>
  <c r="E12" i="49"/>
  <c r="E11" i="49"/>
  <c r="E10" i="49"/>
  <c r="D6" i="49"/>
  <c r="D5" i="49"/>
  <c r="F269" i="48"/>
  <c r="F208" i="48"/>
  <c r="F147" i="48"/>
  <c r="M24" i="48"/>
  <c r="G17" i="48"/>
  <c r="F17" i="48"/>
  <c r="G16" i="48"/>
  <c r="F16" i="48"/>
  <c r="E14" i="48"/>
  <c r="N7" i="48"/>
  <c r="N4" i="48"/>
  <c r="N1" i="48"/>
  <c r="E42" i="47"/>
  <c r="E31" i="47"/>
  <c r="D15" i="47"/>
  <c r="D14" i="47"/>
  <c r="G17" i="46"/>
  <c r="G14" i="46"/>
  <c r="E13" i="46"/>
  <c r="E12" i="46"/>
  <c r="D6" i="46"/>
  <c r="D5" i="46"/>
  <c r="I21" i="45"/>
  <c r="F21" i="45"/>
  <c r="H19" i="45"/>
  <c r="G19" i="45"/>
  <c r="F19" i="45"/>
  <c r="E19" i="45"/>
  <c r="I18" i="45"/>
  <c r="I17" i="45"/>
  <c r="E17" i="45"/>
  <c r="I16" i="45"/>
  <c r="E16" i="45"/>
  <c r="I15" i="45"/>
  <c r="E15" i="45"/>
  <c r="H14" i="45"/>
  <c r="G14" i="45"/>
  <c r="G11" i="45"/>
  <c r="G10" i="45"/>
  <c r="G9" i="45"/>
  <c r="D6" i="45"/>
  <c r="D5" i="45"/>
  <c r="F2" i="45"/>
  <c r="F6" i="44"/>
  <c r="H57" i="43"/>
  <c r="H56" i="43"/>
  <c r="H55" i="43"/>
  <c r="I54" i="43"/>
  <c r="H54" i="43" s="1"/>
  <c r="H53" i="43"/>
  <c r="H52" i="43"/>
  <c r="H51" i="43"/>
  <c r="H50" i="43"/>
  <c r="I49" i="43"/>
  <c r="H49" i="43" s="1"/>
  <c r="I48" i="43"/>
  <c r="H48" i="43" s="1"/>
  <c r="H47" i="43"/>
  <c r="H46" i="43"/>
  <c r="H45" i="43"/>
  <c r="I44" i="43"/>
  <c r="H44" i="43"/>
  <c r="H43" i="43"/>
  <c r="H42" i="43"/>
  <c r="H41" i="43"/>
  <c r="H40" i="43"/>
  <c r="I39" i="43"/>
  <c r="H39" i="43"/>
  <c r="I38" i="43"/>
  <c r="I58" i="43" s="1"/>
  <c r="H58" i="43" s="1"/>
  <c r="H38" i="43"/>
  <c r="H35" i="43"/>
  <c r="H34" i="43"/>
  <c r="H33" i="43"/>
  <c r="I32" i="43"/>
  <c r="H32" i="43" s="1"/>
  <c r="H31" i="43"/>
  <c r="H30" i="43"/>
  <c r="H29" i="43"/>
  <c r="I28" i="43"/>
  <c r="H28" i="43"/>
  <c r="H27" i="43"/>
  <c r="H26" i="43"/>
  <c r="H25" i="43"/>
  <c r="H24" i="43"/>
  <c r="H23" i="43"/>
  <c r="H22" i="43"/>
  <c r="H21" i="43"/>
  <c r="H20" i="43"/>
  <c r="H19" i="43"/>
  <c r="H18" i="43"/>
  <c r="H17" i="43"/>
  <c r="H16" i="43"/>
  <c r="I15" i="43"/>
  <c r="I36" i="43" s="1"/>
  <c r="H36" i="43" s="1"/>
  <c r="H15" i="43"/>
  <c r="H11" i="43"/>
  <c r="F6" i="43"/>
  <c r="F5" i="43"/>
  <c r="F6" i="42"/>
  <c r="F5" i="42"/>
  <c r="H15" i="41"/>
  <c r="F6" i="41"/>
  <c r="F5" i="41"/>
  <c r="G28" i="40"/>
  <c r="G27" i="40"/>
  <c r="G26" i="40"/>
  <c r="D23" i="40"/>
  <c r="D22" i="40"/>
  <c r="D14" i="40"/>
  <c r="D13" i="40"/>
  <c r="D11" i="40"/>
  <c r="D10" i="40"/>
  <c r="D9" i="40"/>
  <c r="D7" i="40"/>
  <c r="D6" i="40"/>
  <c r="D4" i="40"/>
  <c r="D3" i="40"/>
  <c r="J12" i="39"/>
  <c r="I12" i="39"/>
  <c r="H12" i="39"/>
  <c r="G12" i="39"/>
  <c r="G9" i="39"/>
  <c r="G8" i="39"/>
  <c r="G7" i="39"/>
  <c r="D4" i="39"/>
  <c r="E28" i="38"/>
  <c r="I27" i="38"/>
  <c r="H27" i="38"/>
  <c r="I16" i="38"/>
  <c r="H16" i="38"/>
  <c r="H12" i="38"/>
  <c r="H11" i="38"/>
  <c r="H10" i="38"/>
  <c r="E7" i="38"/>
  <c r="E33" i="37"/>
  <c r="I32" i="37"/>
  <c r="H32" i="37"/>
  <c r="I16" i="37"/>
  <c r="H16" i="37"/>
  <c r="H12" i="37"/>
  <c r="H11" i="37"/>
  <c r="H10" i="37"/>
  <c r="E7" i="37"/>
  <c r="I6" i="36"/>
  <c r="F2" i="36"/>
  <c r="E2" i="36"/>
  <c r="L12" i="35"/>
  <c r="L11" i="35"/>
  <c r="L10" i="35"/>
  <c r="I7" i="35"/>
  <c r="L3" i="35"/>
  <c r="F2" i="35"/>
  <c r="E2" i="35"/>
  <c r="V20" i="34"/>
  <c r="Q20" i="34"/>
  <c r="V17" i="34"/>
  <c r="Q17" i="34"/>
  <c r="E6" i="34"/>
  <c r="E5" i="34"/>
  <c r="J130" i="33"/>
  <c r="E130" i="33"/>
  <c r="J129" i="33"/>
  <c r="F129" i="33"/>
  <c r="E129" i="33"/>
  <c r="J128" i="33"/>
  <c r="E128" i="33"/>
  <c r="J127" i="33"/>
  <c r="F127" i="33"/>
  <c r="E127" i="33"/>
  <c r="J126" i="33"/>
  <c r="E126" i="33"/>
  <c r="J123" i="33"/>
  <c r="E123" i="33"/>
  <c r="E124" i="33" s="1"/>
  <c r="J120" i="33"/>
  <c r="E120" i="33"/>
  <c r="E121" i="33" s="1"/>
  <c r="J117" i="33"/>
  <c r="E117" i="33"/>
  <c r="E118" i="33" s="1"/>
  <c r="J116" i="33"/>
  <c r="F116" i="33"/>
  <c r="E116" i="33"/>
  <c r="J115" i="33"/>
  <c r="E115" i="33"/>
  <c r="J114" i="33"/>
  <c r="F114" i="33"/>
  <c r="E114" i="33"/>
  <c r="J113" i="33"/>
  <c r="E113" i="33"/>
  <c r="J112" i="33"/>
  <c r="F112" i="33"/>
  <c r="E112" i="33"/>
  <c r="J111" i="33"/>
  <c r="E111" i="33"/>
  <c r="J110" i="33"/>
  <c r="F110" i="33"/>
  <c r="E110" i="33"/>
  <c r="J109" i="33"/>
  <c r="E109" i="33"/>
  <c r="J108" i="33"/>
  <c r="F108" i="33"/>
  <c r="E108" i="33"/>
  <c r="J107" i="33"/>
  <c r="E107" i="33"/>
  <c r="J106" i="33"/>
  <c r="F106" i="33"/>
  <c r="E106" i="33"/>
  <c r="J105" i="33"/>
  <c r="E105" i="33"/>
  <c r="J104" i="33"/>
  <c r="F104" i="33"/>
  <c r="E104" i="33"/>
  <c r="J103" i="33"/>
  <c r="E103" i="33"/>
  <c r="J102" i="33"/>
  <c r="F102" i="33"/>
  <c r="E102" i="33"/>
  <c r="E100" i="33"/>
  <c r="J99" i="33"/>
  <c r="F99" i="33"/>
  <c r="E99" i="33"/>
  <c r="J98" i="33"/>
  <c r="E98" i="33"/>
  <c r="J97" i="33"/>
  <c r="F97" i="33"/>
  <c r="E97" i="33"/>
  <c r="J96" i="33"/>
  <c r="E96" i="33"/>
  <c r="J95" i="33"/>
  <c r="F95" i="33"/>
  <c r="E95" i="33"/>
  <c r="J94" i="33"/>
  <c r="E94" i="33"/>
  <c r="J93" i="33"/>
  <c r="F93" i="33"/>
  <c r="E93" i="33"/>
  <c r="J92" i="33"/>
  <c r="E92" i="33"/>
  <c r="J91" i="33"/>
  <c r="F91" i="33"/>
  <c r="E91" i="33"/>
  <c r="J90" i="33"/>
  <c r="E90" i="33"/>
  <c r="J89" i="33"/>
  <c r="F89" i="33"/>
  <c r="E89" i="33"/>
  <c r="J88" i="33"/>
  <c r="E88" i="33"/>
  <c r="J87" i="33"/>
  <c r="I87" i="33"/>
  <c r="H87" i="33"/>
  <c r="F87" i="33"/>
  <c r="E87" i="33"/>
  <c r="J86" i="33"/>
  <c r="E86" i="33"/>
  <c r="F85" i="33"/>
  <c r="E85" i="33"/>
  <c r="J84" i="33"/>
  <c r="E84" i="33"/>
  <c r="F83" i="33"/>
  <c r="E83" i="33"/>
  <c r="J82" i="33"/>
  <c r="E82" i="33"/>
  <c r="F81" i="33"/>
  <c r="E81" i="33"/>
  <c r="J80" i="33"/>
  <c r="E80" i="33"/>
  <c r="F79" i="33"/>
  <c r="E79" i="33"/>
  <c r="J78" i="33"/>
  <c r="E78" i="33"/>
  <c r="E77" i="33"/>
  <c r="J76" i="33"/>
  <c r="E76" i="33"/>
  <c r="F75" i="33"/>
  <c r="E75" i="33"/>
  <c r="J74" i="33"/>
  <c r="E74" i="33"/>
  <c r="F73" i="33"/>
  <c r="E73" i="33"/>
  <c r="J72" i="33"/>
  <c r="E72" i="33"/>
  <c r="J69" i="33"/>
  <c r="I69" i="33"/>
  <c r="H69" i="33"/>
  <c r="F69" i="33"/>
  <c r="E69" i="33"/>
  <c r="K69" i="33" s="1"/>
  <c r="K68" i="33"/>
  <c r="J68" i="33"/>
  <c r="L68" i="33" s="1"/>
  <c r="F68" i="33"/>
  <c r="K67" i="33"/>
  <c r="F67" i="33"/>
  <c r="E67" i="33"/>
  <c r="J66" i="33"/>
  <c r="L66" i="33" s="1"/>
  <c r="E66" i="33"/>
  <c r="K66" i="33" s="1"/>
  <c r="J65" i="33"/>
  <c r="E65" i="33"/>
  <c r="K65" i="33" s="1"/>
  <c r="J64" i="33"/>
  <c r="E64" i="33"/>
  <c r="K64" i="33" s="1"/>
  <c r="J63" i="33"/>
  <c r="E63" i="33"/>
  <c r="K63" i="33" s="1"/>
  <c r="J62" i="33"/>
  <c r="E62" i="33"/>
  <c r="K62" i="33" s="1"/>
  <c r="J61" i="33"/>
  <c r="E61" i="33"/>
  <c r="K61" i="33" s="1"/>
  <c r="J60" i="33"/>
  <c r="E60" i="33"/>
  <c r="K60" i="33" s="1"/>
  <c r="J59" i="33"/>
  <c r="E59" i="33"/>
  <c r="K59" i="33" s="1"/>
  <c r="J58" i="33"/>
  <c r="E58" i="33"/>
  <c r="K58" i="33" s="1"/>
  <c r="J57" i="33"/>
  <c r="E57" i="33"/>
  <c r="K57" i="33" s="1"/>
  <c r="J56" i="33"/>
  <c r="E56" i="33"/>
  <c r="K56" i="33" s="1"/>
  <c r="J55" i="33"/>
  <c r="E55" i="33"/>
  <c r="K55" i="33" s="1"/>
  <c r="J54" i="33"/>
  <c r="J53" i="33"/>
  <c r="F53" i="33"/>
  <c r="E53" i="33"/>
  <c r="K53" i="33" s="1"/>
  <c r="J52" i="33"/>
  <c r="E52" i="33"/>
  <c r="K52" i="33" s="1"/>
  <c r="F51" i="33"/>
  <c r="E51" i="33"/>
  <c r="K51" i="33" s="1"/>
  <c r="J50" i="33"/>
  <c r="J49" i="33"/>
  <c r="F49" i="33"/>
  <c r="E49" i="33"/>
  <c r="K49" i="33" s="1"/>
  <c r="J48" i="33"/>
  <c r="E48" i="33"/>
  <c r="K48" i="33" s="1"/>
  <c r="F47" i="33"/>
  <c r="J46" i="33"/>
  <c r="F46" i="33"/>
  <c r="E46" i="33"/>
  <c r="K46" i="33" s="1"/>
  <c r="F45" i="33"/>
  <c r="E45" i="33"/>
  <c r="K45" i="33" s="1"/>
  <c r="J44" i="33"/>
  <c r="J43" i="33"/>
  <c r="F43" i="33"/>
  <c r="E43" i="33"/>
  <c r="K43" i="33" s="1"/>
  <c r="J42" i="33"/>
  <c r="E42" i="33"/>
  <c r="K42" i="33" s="1"/>
  <c r="F41" i="33"/>
  <c r="E41" i="33"/>
  <c r="K41" i="33" s="1"/>
  <c r="K40" i="33"/>
  <c r="K39" i="33"/>
  <c r="K38" i="33"/>
  <c r="K37" i="33"/>
  <c r="K36" i="33"/>
  <c r="K35" i="33"/>
  <c r="K34" i="33"/>
  <c r="J33" i="33"/>
  <c r="I33" i="33"/>
  <c r="H33" i="33"/>
  <c r="J32" i="33"/>
  <c r="F32" i="33"/>
  <c r="E32" i="33"/>
  <c r="K32" i="33" s="1"/>
  <c r="J31" i="33"/>
  <c r="J30" i="33"/>
  <c r="F30" i="33"/>
  <c r="E30" i="33"/>
  <c r="H27" i="33"/>
  <c r="H26" i="33"/>
  <c r="H25" i="33"/>
  <c r="E22" i="33"/>
  <c r="E21" i="33"/>
  <c r="E7" i="33"/>
  <c r="E6" i="33"/>
  <c r="E5" i="33"/>
  <c r="E4" i="33"/>
  <c r="I3" i="33"/>
  <c r="H3" i="33"/>
  <c r="E2" i="33"/>
  <c r="BF63" i="32"/>
  <c r="BF62" i="32"/>
  <c r="BF61" i="32"/>
  <c r="BF60" i="32"/>
  <c r="BF59" i="32"/>
  <c r="BF58" i="32"/>
  <c r="BF57" i="32"/>
  <c r="BF56" i="32"/>
  <c r="BB56" i="32"/>
  <c r="AW56" i="32"/>
  <c r="AU56" i="32"/>
  <c r="Y56" i="32"/>
  <c r="W56" i="32"/>
  <c r="BF52" i="32"/>
  <c r="BF51" i="32"/>
  <c r="J51" i="32"/>
  <c r="BF50" i="32"/>
  <c r="I50" i="32"/>
  <c r="BF49" i="32"/>
  <c r="BF48" i="32"/>
  <c r="BF47" i="32"/>
  <c r="BF46" i="32"/>
  <c r="BC46" i="32"/>
  <c r="AW45" i="32"/>
  <c r="AX45" i="32" s="1"/>
  <c r="AY45" i="32" s="1"/>
  <c r="BA45" i="32" s="1"/>
  <c r="BB45" i="32" s="1"/>
  <c r="BC45" i="32" s="1"/>
  <c r="U45" i="32"/>
  <c r="V45" i="32" s="1"/>
  <c r="W45" i="32" s="1"/>
  <c r="X45" i="32" s="1"/>
  <c r="Y45" i="32" s="1"/>
  <c r="Z45" i="32" s="1"/>
  <c r="AA45" i="32" s="1"/>
  <c r="AC45" i="32" s="1"/>
  <c r="AD45" i="32" s="1"/>
  <c r="AD37" i="32"/>
  <c r="V37" i="32"/>
  <c r="AD36" i="32"/>
  <c r="V36" i="32"/>
  <c r="AD34" i="32"/>
  <c r="V34" i="32"/>
  <c r="AD33" i="32"/>
  <c r="V33" i="32"/>
  <c r="AD32" i="32"/>
  <c r="V32" i="32"/>
  <c r="AD31" i="32"/>
  <c r="V31" i="32"/>
  <c r="S29" i="32"/>
  <c r="S28" i="32"/>
  <c r="BF18" i="32"/>
  <c r="BF17" i="32"/>
  <c r="BF16" i="32"/>
  <c r="BF15" i="32"/>
  <c r="BF14" i="32"/>
  <c r="BF13" i="32"/>
  <c r="BF12" i="32"/>
  <c r="BB12" i="32"/>
  <c r="AW12" i="32"/>
  <c r="AU12" i="32"/>
  <c r="Y12" i="32"/>
  <c r="W12" i="32"/>
  <c r="BF8" i="32"/>
  <c r="BF7" i="32"/>
  <c r="J7" i="32"/>
  <c r="BF6" i="32"/>
  <c r="I6" i="32"/>
  <c r="BF5" i="32"/>
  <c r="BF4" i="32"/>
  <c r="AD4" i="32"/>
  <c r="S4" i="32"/>
  <c r="K8" i="32" s="1"/>
  <c r="S8" i="32" s="1"/>
  <c r="BF3" i="32"/>
  <c r="AD3" i="32"/>
  <c r="S3" i="32"/>
  <c r="BF2" i="32"/>
  <c r="BC2" i="32"/>
  <c r="AD2" i="32"/>
  <c r="S2" i="32"/>
  <c r="AV54" i="31"/>
  <c r="AV53" i="31"/>
  <c r="AV52" i="31"/>
  <c r="AV51" i="31"/>
  <c r="AV50" i="31"/>
  <c r="AV49" i="31"/>
  <c r="AV48" i="31"/>
  <c r="AM48" i="31"/>
  <c r="AB48" i="31"/>
  <c r="AV47" i="31"/>
  <c r="AS47" i="31"/>
  <c r="AV46" i="31"/>
  <c r="AV45" i="31"/>
  <c r="AV44" i="31"/>
  <c r="AV43" i="31"/>
  <c r="AV42" i="31"/>
  <c r="AS42" i="31"/>
  <c r="AM41" i="31"/>
  <c r="AN41" i="31" s="1"/>
  <c r="AO41" i="31" s="1"/>
  <c r="AQ41" i="31" s="1"/>
  <c r="AR41" i="31" s="1"/>
  <c r="AS41" i="31" s="1"/>
  <c r="AB41" i="31"/>
  <c r="AC41" i="31" s="1"/>
  <c r="AD41" i="31" s="1"/>
  <c r="AF41" i="31" s="1"/>
  <c r="AG41" i="31" s="1"/>
  <c r="U41" i="31"/>
  <c r="V41" i="31" s="1"/>
  <c r="AG33" i="31"/>
  <c r="V33" i="31"/>
  <c r="AG32" i="31"/>
  <c r="V32" i="31"/>
  <c r="AG30" i="31"/>
  <c r="V30" i="31"/>
  <c r="AG29" i="31"/>
  <c r="V29" i="31"/>
  <c r="AG28" i="31"/>
  <c r="V28" i="31"/>
  <c r="AG27" i="31"/>
  <c r="V27" i="31"/>
  <c r="S25" i="31"/>
  <c r="S24" i="31"/>
  <c r="AM16" i="31"/>
  <c r="AV13" i="31"/>
  <c r="AV12" i="31"/>
  <c r="AV11" i="31"/>
  <c r="AV10" i="31"/>
  <c r="AV9" i="31"/>
  <c r="AV8" i="31"/>
  <c r="AM8" i="31"/>
  <c r="AB8" i="31"/>
  <c r="AV7" i="31"/>
  <c r="AS7" i="31"/>
  <c r="AV6" i="31"/>
  <c r="AV5" i="31"/>
  <c r="I5" i="31"/>
  <c r="AV4" i="31"/>
  <c r="AG4" i="31"/>
  <c r="S4" i="31"/>
  <c r="AV3" i="31"/>
  <c r="AG3" i="31"/>
  <c r="S3" i="31"/>
  <c r="AV2" i="31"/>
  <c r="AS2" i="31"/>
  <c r="AG2" i="31"/>
  <c r="S2" i="31"/>
  <c r="AV54" i="30"/>
  <c r="AV53" i="30"/>
  <c r="AV52" i="30"/>
  <c r="AV51" i="30"/>
  <c r="AV50" i="30"/>
  <c r="AV49" i="30"/>
  <c r="AV48" i="30"/>
  <c r="AV47" i="30"/>
  <c r="AS47" i="30"/>
  <c r="AV46" i="30"/>
  <c r="AV45" i="30"/>
  <c r="AV44" i="30"/>
  <c r="AV43" i="30"/>
  <c r="AV42" i="30"/>
  <c r="AS42" i="30"/>
  <c r="AM41" i="30"/>
  <c r="AN41" i="30" s="1"/>
  <c r="AO41" i="30" s="1"/>
  <c r="AQ41" i="30" s="1"/>
  <c r="AR41" i="30" s="1"/>
  <c r="AS41" i="30" s="1"/>
  <c r="AC41" i="30"/>
  <c r="AD41" i="30" s="1"/>
  <c r="AF41" i="30" s="1"/>
  <c r="AG41" i="30" s="1"/>
  <c r="U41" i="30"/>
  <c r="V41" i="30" s="1"/>
  <c r="AG33" i="30"/>
  <c r="V33" i="30"/>
  <c r="AG32" i="30"/>
  <c r="V32" i="30"/>
  <c r="AG30" i="30"/>
  <c r="V30" i="30"/>
  <c r="AG29" i="30"/>
  <c r="V29" i="30"/>
  <c r="AG28" i="30"/>
  <c r="V28" i="30"/>
  <c r="AG27" i="30"/>
  <c r="V27" i="30"/>
  <c r="S25" i="30"/>
  <c r="S24" i="30"/>
  <c r="AV13" i="30"/>
  <c r="AV12" i="30"/>
  <c r="AV11" i="30"/>
  <c r="AV10" i="30"/>
  <c r="AV9" i="30"/>
  <c r="AV8" i="30"/>
  <c r="AV7" i="30"/>
  <c r="AS7" i="30"/>
  <c r="AV6" i="30"/>
  <c r="AV5" i="30"/>
  <c r="AV4" i="30"/>
  <c r="AG4" i="30"/>
  <c r="S4" i="30"/>
  <c r="I5" i="30" s="1"/>
  <c r="J6" i="30" s="1"/>
  <c r="AV3" i="30"/>
  <c r="AG3" i="30"/>
  <c r="S3" i="30"/>
  <c r="AV2" i="30"/>
  <c r="AS2" i="30"/>
  <c r="AG2" i="30"/>
  <c r="S2" i="30"/>
  <c r="BF63" i="29"/>
  <c r="BF62" i="29"/>
  <c r="BF61" i="29"/>
  <c r="BF60" i="29"/>
  <c r="BF59" i="29"/>
  <c r="BF58" i="29"/>
  <c r="BF57" i="29"/>
  <c r="BF56" i="29"/>
  <c r="BB56" i="29"/>
  <c r="AW56" i="29"/>
  <c r="AU56" i="29"/>
  <c r="Y56" i="29"/>
  <c r="W56" i="29"/>
  <c r="BF52" i="29"/>
  <c r="BF51" i="29"/>
  <c r="J51" i="29"/>
  <c r="BF50" i="29"/>
  <c r="I50" i="29"/>
  <c r="BF49" i="29"/>
  <c r="BF48" i="29"/>
  <c r="BF47" i="29"/>
  <c r="BF46" i="29"/>
  <c r="BC46" i="29"/>
  <c r="AW45" i="29"/>
  <c r="AX45" i="29" s="1"/>
  <c r="AY45" i="29" s="1"/>
  <c r="BA45" i="29" s="1"/>
  <c r="BB45" i="29" s="1"/>
  <c r="BC45" i="29" s="1"/>
  <c r="U45" i="29"/>
  <c r="V45" i="29" s="1"/>
  <c r="W45" i="29" s="1"/>
  <c r="X45" i="29" s="1"/>
  <c r="Y45" i="29" s="1"/>
  <c r="Z45" i="29" s="1"/>
  <c r="AA45" i="29" s="1"/>
  <c r="AC45" i="29" s="1"/>
  <c r="AD45" i="29" s="1"/>
  <c r="AD37" i="29"/>
  <c r="V37" i="29"/>
  <c r="AD36" i="29"/>
  <c r="V36" i="29"/>
  <c r="AD34" i="29"/>
  <c r="V34" i="29"/>
  <c r="AD33" i="29"/>
  <c r="V33" i="29"/>
  <c r="AD32" i="29"/>
  <c r="V32" i="29"/>
  <c r="AD31" i="29"/>
  <c r="V31" i="29"/>
  <c r="S29" i="29"/>
  <c r="S28" i="29"/>
  <c r="BF18" i="29"/>
  <c r="BF17" i="29"/>
  <c r="BF16" i="29"/>
  <c r="BF15" i="29"/>
  <c r="BF14" i="29"/>
  <c r="BF13" i="29"/>
  <c r="BF12" i="29"/>
  <c r="BB12" i="29"/>
  <c r="AW12" i="29"/>
  <c r="AU12" i="29"/>
  <c r="Y12" i="29"/>
  <c r="W12" i="29"/>
  <c r="BF8" i="29"/>
  <c r="BF7" i="29"/>
  <c r="J7" i="29"/>
  <c r="BF6" i="29"/>
  <c r="I6" i="29"/>
  <c r="BF5" i="29"/>
  <c r="BF4" i="29"/>
  <c r="AD4" i="29"/>
  <c r="S4" i="29"/>
  <c r="K8" i="29" s="1"/>
  <c r="S8" i="29" s="1"/>
  <c r="BF3" i="29"/>
  <c r="AD3" i="29"/>
  <c r="S3" i="29"/>
  <c r="BF2" i="29"/>
  <c r="BC2" i="29"/>
  <c r="AD2" i="29"/>
  <c r="S2" i="29"/>
  <c r="AN53" i="28"/>
  <c r="AN52" i="28"/>
  <c r="AN51" i="28"/>
  <c r="AN50" i="28"/>
  <c r="AN49" i="28"/>
  <c r="AN48" i="28"/>
  <c r="AN47" i="28"/>
  <c r="AE47" i="28"/>
  <c r="X47" i="28"/>
  <c r="AN46" i="28"/>
  <c r="AK46" i="28"/>
  <c r="AN45" i="28"/>
  <c r="AN44" i="28"/>
  <c r="AN43" i="28"/>
  <c r="AN42" i="28"/>
  <c r="AN41" i="28"/>
  <c r="AK41" i="28"/>
  <c r="U40" i="28"/>
  <c r="V40" i="28" s="1"/>
  <c r="W40" i="28" s="1"/>
  <c r="X40" i="28" s="1"/>
  <c r="Y40" i="28" s="1"/>
  <c r="Z40" i="28" s="1"/>
  <c r="AB40" i="28" s="1"/>
  <c r="AC40" i="28" s="1"/>
  <c r="AD40" i="28" s="1"/>
  <c r="AE40" i="28" s="1"/>
  <c r="AF40" i="28" s="1"/>
  <c r="AG40" i="28" s="1"/>
  <c r="AI40" i="28" s="1"/>
  <c r="AJ40" i="28" s="1"/>
  <c r="AK40" i="28" s="1"/>
  <c r="AC33" i="28"/>
  <c r="V33" i="28"/>
  <c r="AC32" i="28"/>
  <c r="V32" i="28"/>
  <c r="AC30" i="28"/>
  <c r="V30" i="28"/>
  <c r="AC29" i="28"/>
  <c r="V29" i="28"/>
  <c r="AC28" i="28"/>
  <c r="V28" i="28"/>
  <c r="AC27" i="28"/>
  <c r="V27" i="28"/>
  <c r="S25" i="28"/>
  <c r="S24" i="28"/>
  <c r="AE16" i="28"/>
  <c r="AN13" i="28"/>
  <c r="AN12" i="28"/>
  <c r="AN11" i="28"/>
  <c r="AN10" i="28"/>
  <c r="AN9" i="28"/>
  <c r="AN8" i="28"/>
  <c r="AE8" i="28"/>
  <c r="X8" i="28"/>
  <c r="AN7" i="28"/>
  <c r="AK7" i="28"/>
  <c r="AN6" i="28"/>
  <c r="AN5" i="28"/>
  <c r="I5" i="28"/>
  <c r="AN4" i="28"/>
  <c r="AC4" i="28"/>
  <c r="S4" i="28"/>
  <c r="AN3" i="28"/>
  <c r="AC3" i="28"/>
  <c r="S3" i="28"/>
  <c r="AN2" i="28"/>
  <c r="AK2" i="28"/>
  <c r="AC2" i="28"/>
  <c r="S2" i="28"/>
  <c r="AN53" i="27"/>
  <c r="AN52" i="27"/>
  <c r="AN51" i="27"/>
  <c r="AN50" i="27"/>
  <c r="AN49" i="27"/>
  <c r="AN48" i="27"/>
  <c r="AN47" i="27"/>
  <c r="AE47" i="27"/>
  <c r="X47" i="27"/>
  <c r="AN46" i="27"/>
  <c r="AK46" i="27"/>
  <c r="AN45" i="27"/>
  <c r="AN44" i="27"/>
  <c r="AN43" i="27"/>
  <c r="AN42" i="27"/>
  <c r="AN41" i="27"/>
  <c r="AK41" i="27"/>
  <c r="U40" i="27"/>
  <c r="V40" i="27" s="1"/>
  <c r="W40" i="27" s="1"/>
  <c r="X40" i="27" s="1"/>
  <c r="Y40" i="27" s="1"/>
  <c r="Z40" i="27" s="1"/>
  <c r="AB40" i="27" s="1"/>
  <c r="AC40" i="27" s="1"/>
  <c r="AD40" i="27" s="1"/>
  <c r="AE40" i="27" s="1"/>
  <c r="AF40" i="27" s="1"/>
  <c r="AG40" i="27" s="1"/>
  <c r="AI40" i="27" s="1"/>
  <c r="AJ40" i="27" s="1"/>
  <c r="AK40" i="27" s="1"/>
  <c r="AC33" i="27"/>
  <c r="V33" i="27"/>
  <c r="AC32" i="27"/>
  <c r="V32" i="27"/>
  <c r="AC30" i="27"/>
  <c r="V30" i="27"/>
  <c r="AC29" i="27"/>
  <c r="V29" i="27"/>
  <c r="AC28" i="27"/>
  <c r="V28" i="27"/>
  <c r="AC27" i="27"/>
  <c r="V27" i="27"/>
  <c r="S25" i="27"/>
  <c r="S24" i="27"/>
  <c r="AE16" i="27"/>
  <c r="AN13" i="27"/>
  <c r="AN12" i="27"/>
  <c r="AN11" i="27"/>
  <c r="AN10" i="27"/>
  <c r="AN9" i="27"/>
  <c r="AN8" i="27"/>
  <c r="AE8" i="27"/>
  <c r="X8" i="27"/>
  <c r="AN7" i="27"/>
  <c r="AK7" i="27"/>
  <c r="AN6" i="27"/>
  <c r="AN5" i="27"/>
  <c r="AN4" i="27"/>
  <c r="AC4" i="27"/>
  <c r="S4" i="27"/>
  <c r="I5" i="27" s="1"/>
  <c r="J6" i="27" s="1"/>
  <c r="AN3" i="27"/>
  <c r="AC3" i="27"/>
  <c r="S3" i="27"/>
  <c r="AN2" i="27"/>
  <c r="AK2" i="27"/>
  <c r="AC2" i="27"/>
  <c r="S2" i="27"/>
  <c r="BF63" i="26"/>
  <c r="BF62" i="26"/>
  <c r="BF61" i="26"/>
  <c r="BF60" i="26"/>
  <c r="BF59" i="26"/>
  <c r="BF58" i="26"/>
  <c r="BF57" i="26"/>
  <c r="BF56" i="26"/>
  <c r="BB56" i="26"/>
  <c r="AW56" i="26"/>
  <c r="AU56" i="26"/>
  <c r="Y56" i="26"/>
  <c r="W56" i="26"/>
  <c r="BF52" i="26"/>
  <c r="BF51" i="26"/>
  <c r="J51" i="26"/>
  <c r="BF50" i="26"/>
  <c r="I50" i="26"/>
  <c r="BF49" i="26"/>
  <c r="BF48" i="26"/>
  <c r="BF47" i="26"/>
  <c r="BF46" i="26"/>
  <c r="BC46" i="26"/>
  <c r="AW45" i="26"/>
  <c r="AX45" i="26" s="1"/>
  <c r="AY45" i="26" s="1"/>
  <c r="BA45" i="26" s="1"/>
  <c r="BB45" i="26" s="1"/>
  <c r="BC45" i="26" s="1"/>
  <c r="U45" i="26"/>
  <c r="V45" i="26" s="1"/>
  <c r="W45" i="26" s="1"/>
  <c r="X45" i="26" s="1"/>
  <c r="Y45" i="26" s="1"/>
  <c r="Z45" i="26" s="1"/>
  <c r="AA45" i="26" s="1"/>
  <c r="AC45" i="26" s="1"/>
  <c r="AD45" i="26" s="1"/>
  <c r="AD37" i="26"/>
  <c r="V37" i="26"/>
  <c r="AD36" i="26"/>
  <c r="V36" i="26"/>
  <c r="AD34" i="26"/>
  <c r="V34" i="26"/>
  <c r="AD33" i="26"/>
  <c r="V33" i="26"/>
  <c r="AD32" i="26"/>
  <c r="V32" i="26"/>
  <c r="AD31" i="26"/>
  <c r="V31" i="26"/>
  <c r="S29" i="26"/>
  <c r="S28" i="26"/>
  <c r="BF18" i="26"/>
  <c r="BF17" i="26"/>
  <c r="BF16" i="26"/>
  <c r="BF15" i="26"/>
  <c r="BF14" i="26"/>
  <c r="BF13" i="26"/>
  <c r="BF12" i="26"/>
  <c r="BB12" i="26"/>
  <c r="AW12" i="26"/>
  <c r="AU12" i="26"/>
  <c r="Y12" i="26"/>
  <c r="W12" i="26"/>
  <c r="BF8" i="26"/>
  <c r="BF7" i="26"/>
  <c r="J7" i="26"/>
  <c r="BF6" i="26"/>
  <c r="I6" i="26"/>
  <c r="BF5" i="26"/>
  <c r="BF4" i="26"/>
  <c r="AD4" i="26"/>
  <c r="S4" i="26"/>
  <c r="K8" i="26" s="1"/>
  <c r="S8" i="26" s="1"/>
  <c r="BF3" i="26"/>
  <c r="AD3" i="26"/>
  <c r="S3" i="26"/>
  <c r="BF2" i="26"/>
  <c r="BC2" i="26"/>
  <c r="AD2" i="26"/>
  <c r="S2" i="26"/>
  <c r="AN56" i="25"/>
  <c r="AN55" i="25"/>
  <c r="AN54" i="25"/>
  <c r="AN53" i="25"/>
  <c r="AN52" i="25"/>
  <c r="AN51" i="25"/>
  <c r="AN50" i="25"/>
  <c r="AN49" i="25"/>
  <c r="AN48" i="25"/>
  <c r="AN47" i="25"/>
  <c r="AN46" i="25"/>
  <c r="AN45" i="25"/>
  <c r="AN44" i="25"/>
  <c r="AN43" i="25"/>
  <c r="AN42" i="25"/>
  <c r="AK42" i="25"/>
  <c r="AD41" i="25"/>
  <c r="AE41" i="25" s="1"/>
  <c r="AF41" i="25" s="1"/>
  <c r="AG41" i="25" s="1"/>
  <c r="AI41" i="25" s="1"/>
  <c r="AJ41" i="25" s="1"/>
  <c r="AK41" i="25" s="1"/>
  <c r="U41" i="25"/>
  <c r="V41" i="25" s="1"/>
  <c r="W41" i="25" s="1"/>
  <c r="X41" i="25" s="1"/>
  <c r="Y41" i="25" s="1"/>
  <c r="AA41" i="25" s="1"/>
  <c r="V39" i="25"/>
  <c r="V33" i="25"/>
  <c r="V32" i="25"/>
  <c r="V30" i="25"/>
  <c r="V29" i="25"/>
  <c r="V28" i="25"/>
  <c r="V27" i="25"/>
  <c r="S25" i="25"/>
  <c r="S24" i="25"/>
  <c r="AN14" i="25"/>
  <c r="AN13" i="25"/>
  <c r="AN12" i="25"/>
  <c r="AN11" i="25"/>
  <c r="AN10" i="25"/>
  <c r="AN9" i="25"/>
  <c r="AN8" i="25"/>
  <c r="K8" i="25"/>
  <c r="S8" i="25" s="1"/>
  <c r="AN7" i="25"/>
  <c r="J7" i="25"/>
  <c r="AN6" i="25"/>
  <c r="I6" i="25"/>
  <c r="AN5" i="25"/>
  <c r="AC5" i="25"/>
  <c r="S5" i="25"/>
  <c r="AN4" i="25"/>
  <c r="AC4" i="25"/>
  <c r="S4" i="25"/>
  <c r="AN3" i="25"/>
  <c r="AC3" i="25"/>
  <c r="S3" i="25"/>
  <c r="AN2" i="25"/>
  <c r="AC2" i="25"/>
  <c r="S2" i="25"/>
  <c r="AN53" i="24"/>
  <c r="AN52" i="24"/>
  <c r="AN51" i="24"/>
  <c r="AN50" i="24"/>
  <c r="AN49" i="24"/>
  <c r="AN48" i="24"/>
  <c r="AN47" i="24"/>
  <c r="AE47" i="24"/>
  <c r="X47" i="24"/>
  <c r="AN46" i="24"/>
  <c r="AK46" i="24"/>
  <c r="AN45" i="24"/>
  <c r="AN44" i="24"/>
  <c r="AN43" i="24"/>
  <c r="AN42" i="24"/>
  <c r="AN41" i="24"/>
  <c r="AK41" i="24"/>
  <c r="U40" i="24"/>
  <c r="V40" i="24" s="1"/>
  <c r="W40" i="24" s="1"/>
  <c r="X40" i="24" s="1"/>
  <c r="Y40" i="24" s="1"/>
  <c r="Z40" i="24" s="1"/>
  <c r="AB40" i="24" s="1"/>
  <c r="AC40" i="24" s="1"/>
  <c r="AD40" i="24" s="1"/>
  <c r="AE40" i="24" s="1"/>
  <c r="AF40" i="24" s="1"/>
  <c r="AG40" i="24" s="1"/>
  <c r="AI40" i="24" s="1"/>
  <c r="AJ40" i="24" s="1"/>
  <c r="AK40" i="24" s="1"/>
  <c r="AC33" i="24"/>
  <c r="V33" i="24"/>
  <c r="AC32" i="24"/>
  <c r="V32" i="24"/>
  <c r="AC30" i="24"/>
  <c r="V30" i="24"/>
  <c r="AC29" i="24"/>
  <c r="V29" i="24"/>
  <c r="AC28" i="24"/>
  <c r="V28" i="24"/>
  <c r="AC27" i="24"/>
  <c r="V27" i="24"/>
  <c r="S25" i="24"/>
  <c r="S24" i="24"/>
  <c r="AE16" i="24"/>
  <c r="AN13" i="24"/>
  <c r="AN12" i="24"/>
  <c r="AN11" i="24"/>
  <c r="AN10" i="24"/>
  <c r="AN9" i="24"/>
  <c r="AN8" i="24"/>
  <c r="AE8" i="24"/>
  <c r="X8" i="24"/>
  <c r="AN7" i="24"/>
  <c r="AK7" i="24"/>
  <c r="AN6" i="24"/>
  <c r="J6" i="24"/>
  <c r="AN5" i="24"/>
  <c r="S5" i="24"/>
  <c r="AN4" i="24"/>
  <c r="AC4" i="24"/>
  <c r="S4" i="24"/>
  <c r="I5" i="24" s="1"/>
  <c r="AN3" i="24"/>
  <c r="AC3" i="24"/>
  <c r="S3" i="24"/>
  <c r="AN2" i="24"/>
  <c r="AK2" i="24"/>
  <c r="AC2" i="24"/>
  <c r="S2" i="24"/>
  <c r="AN53" i="23"/>
  <c r="AN52" i="23"/>
  <c r="AN51" i="23"/>
  <c r="AN50" i="23"/>
  <c r="AN49" i="23"/>
  <c r="AN48" i="23"/>
  <c r="AN47" i="23"/>
  <c r="AE47" i="23"/>
  <c r="X47" i="23"/>
  <c r="AN46" i="23"/>
  <c r="AK46" i="23"/>
  <c r="AN45" i="23"/>
  <c r="AN44" i="23"/>
  <c r="AN43" i="23"/>
  <c r="AN42" i="23"/>
  <c r="AN41" i="23"/>
  <c r="AK41" i="23"/>
  <c r="U40" i="23"/>
  <c r="V40" i="23" s="1"/>
  <c r="W40" i="23" s="1"/>
  <c r="X40" i="23" s="1"/>
  <c r="Y40" i="23" s="1"/>
  <c r="Z40" i="23" s="1"/>
  <c r="AB40" i="23" s="1"/>
  <c r="AC40" i="23" s="1"/>
  <c r="AD40" i="23" s="1"/>
  <c r="AE40" i="23" s="1"/>
  <c r="AF40" i="23" s="1"/>
  <c r="AG40" i="23" s="1"/>
  <c r="AI40" i="23" s="1"/>
  <c r="AJ40" i="23" s="1"/>
  <c r="AK40" i="23" s="1"/>
  <c r="AC33" i="23"/>
  <c r="V33" i="23"/>
  <c r="AC32" i="23"/>
  <c r="V32" i="23"/>
  <c r="AC30" i="23"/>
  <c r="V30" i="23"/>
  <c r="AC29" i="23"/>
  <c r="V29" i="23"/>
  <c r="AC28" i="23"/>
  <c r="V28" i="23"/>
  <c r="AC27" i="23"/>
  <c r="V27" i="23"/>
  <c r="S25" i="23"/>
  <c r="S24" i="23"/>
  <c r="AE16" i="23"/>
  <c r="AN13" i="23"/>
  <c r="AN12" i="23"/>
  <c r="AN11" i="23"/>
  <c r="AN10" i="23"/>
  <c r="AN9" i="23"/>
  <c r="AN8" i="23"/>
  <c r="AE8" i="23"/>
  <c r="X8" i="23"/>
  <c r="AN7" i="23"/>
  <c r="AK7" i="23"/>
  <c r="AN6" i="23"/>
  <c r="AN5" i="23"/>
  <c r="I5" i="23"/>
  <c r="AN4" i="23"/>
  <c r="AC4" i="23"/>
  <c r="S4" i="23"/>
  <c r="AN3" i="23"/>
  <c r="AC3" i="23"/>
  <c r="S3" i="23"/>
  <c r="AN2" i="23"/>
  <c r="AK2" i="23"/>
  <c r="AC2" i="23"/>
  <c r="S2" i="23"/>
  <c r="AN53" i="22"/>
  <c r="AN52" i="22"/>
  <c r="AN51" i="22"/>
  <c r="AN50" i="22"/>
  <c r="AN49" i="22"/>
  <c r="AN48" i="22"/>
  <c r="AN47" i="22"/>
  <c r="AE47" i="22"/>
  <c r="X47" i="22"/>
  <c r="AN46" i="22"/>
  <c r="AK46" i="22"/>
  <c r="AN45" i="22"/>
  <c r="AN44" i="22"/>
  <c r="AN43" i="22"/>
  <c r="AN42" i="22"/>
  <c r="AN41" i="22"/>
  <c r="AK41" i="22"/>
  <c r="U40" i="22"/>
  <c r="V40" i="22" s="1"/>
  <c r="W40" i="22" s="1"/>
  <c r="X40" i="22" s="1"/>
  <c r="Y40" i="22" s="1"/>
  <c r="Z40" i="22" s="1"/>
  <c r="AB40" i="22" s="1"/>
  <c r="AC40" i="22" s="1"/>
  <c r="AD40" i="22" s="1"/>
  <c r="AE40" i="22" s="1"/>
  <c r="AF40" i="22" s="1"/>
  <c r="AG40" i="22" s="1"/>
  <c r="AI40" i="22" s="1"/>
  <c r="AJ40" i="22" s="1"/>
  <c r="AK40" i="22" s="1"/>
  <c r="AC33" i="22"/>
  <c r="V33" i="22"/>
  <c r="AC32" i="22"/>
  <c r="V32" i="22"/>
  <c r="AC30" i="22"/>
  <c r="V30" i="22"/>
  <c r="AC29" i="22"/>
  <c r="V29" i="22"/>
  <c r="AC28" i="22"/>
  <c r="V28" i="22"/>
  <c r="AC27" i="22"/>
  <c r="V27" i="22"/>
  <c r="S25" i="22"/>
  <c r="S24" i="22"/>
  <c r="AE16" i="22"/>
  <c r="AN13" i="22"/>
  <c r="AN12" i="22"/>
  <c r="AN11" i="22"/>
  <c r="AN10" i="22"/>
  <c r="AN9" i="22"/>
  <c r="AN8" i="22"/>
  <c r="AE8" i="22"/>
  <c r="X8" i="22"/>
  <c r="AN7" i="22"/>
  <c r="AK7" i="22"/>
  <c r="AN6" i="22"/>
  <c r="J6" i="22"/>
  <c r="AN5" i="22"/>
  <c r="S5" i="22"/>
  <c r="AN4" i="22"/>
  <c r="AC4" i="22"/>
  <c r="S4" i="22"/>
  <c r="I5" i="22" s="1"/>
  <c r="AN3" i="22"/>
  <c r="AC3" i="22"/>
  <c r="S3" i="22"/>
  <c r="AN2" i="22"/>
  <c r="AK2" i="22"/>
  <c r="AC2" i="22"/>
  <c r="S2" i="22"/>
  <c r="AN53" i="21"/>
  <c r="AN52" i="21"/>
  <c r="AN51" i="21"/>
  <c r="AN50" i="21"/>
  <c r="AN49" i="21"/>
  <c r="AN48" i="21"/>
  <c r="AN47" i="21"/>
  <c r="AE47" i="21"/>
  <c r="X47" i="21"/>
  <c r="AN46" i="21"/>
  <c r="AK46" i="21"/>
  <c r="AN45" i="21"/>
  <c r="AN44" i="21"/>
  <c r="AN43" i="21"/>
  <c r="AN42" i="21"/>
  <c r="AN41" i="21"/>
  <c r="AK41" i="21"/>
  <c r="U40" i="21"/>
  <c r="V40" i="21" s="1"/>
  <c r="W40" i="21" s="1"/>
  <c r="X40" i="21" s="1"/>
  <c r="Y40" i="21" s="1"/>
  <c r="Z40" i="21" s="1"/>
  <c r="AB40" i="21" s="1"/>
  <c r="AC40" i="21" s="1"/>
  <c r="AD40" i="21" s="1"/>
  <c r="AE40" i="21" s="1"/>
  <c r="AF40" i="21" s="1"/>
  <c r="AG40" i="21" s="1"/>
  <c r="AI40" i="21" s="1"/>
  <c r="AJ40" i="21" s="1"/>
  <c r="AK40" i="21" s="1"/>
  <c r="AC33" i="21"/>
  <c r="V33" i="21"/>
  <c r="AC32" i="21"/>
  <c r="V32" i="21"/>
  <c r="AC30" i="21"/>
  <c r="V30" i="21"/>
  <c r="AC29" i="21"/>
  <c r="V29" i="21"/>
  <c r="AC28" i="21"/>
  <c r="V28" i="21"/>
  <c r="AC27" i="21"/>
  <c r="V27" i="21"/>
  <c r="S25" i="21"/>
  <c r="S24" i="21"/>
  <c r="AE16" i="21"/>
  <c r="AN13" i="21"/>
  <c r="AN12" i="21"/>
  <c r="AN11" i="21"/>
  <c r="AN10" i="21"/>
  <c r="AN9" i="21"/>
  <c r="AN8" i="21"/>
  <c r="AE8" i="21"/>
  <c r="X8" i="21"/>
  <c r="AN7" i="21"/>
  <c r="AK7" i="21"/>
  <c r="AN6" i="21"/>
  <c r="AN5" i="21"/>
  <c r="I5" i="21"/>
  <c r="AN4" i="21"/>
  <c r="AC4" i="21"/>
  <c r="S4" i="21"/>
  <c r="AN3" i="21"/>
  <c r="AC3" i="21"/>
  <c r="S3" i="21"/>
  <c r="AN2" i="21"/>
  <c r="AK2" i="21"/>
  <c r="AC2" i="21"/>
  <c r="S2" i="21"/>
  <c r="AX62" i="20"/>
  <c r="AX61" i="20"/>
  <c r="AX60" i="20"/>
  <c r="AX59" i="20"/>
  <c r="AX58" i="20"/>
  <c r="AX57" i="20"/>
  <c r="AX56" i="20"/>
  <c r="AX55" i="20"/>
  <c r="AX54" i="20"/>
  <c r="AO54" i="20"/>
  <c r="W54" i="20"/>
  <c r="AX51" i="20"/>
  <c r="AX50" i="20"/>
  <c r="AX49" i="20"/>
  <c r="AX48" i="20"/>
  <c r="AX47" i="20"/>
  <c r="AX46" i="20"/>
  <c r="AX45" i="20"/>
  <c r="AU45" i="20"/>
  <c r="AN44" i="20"/>
  <c r="AO44" i="20" s="1"/>
  <c r="AP44" i="20" s="1"/>
  <c r="AQ44" i="20" s="1"/>
  <c r="AS44" i="20" s="1"/>
  <c r="AT44" i="20" s="1"/>
  <c r="AU44" i="20" s="1"/>
  <c r="U44" i="20"/>
  <c r="V44" i="20" s="1"/>
  <c r="W44" i="20" s="1"/>
  <c r="X44" i="20" s="1"/>
  <c r="Y44" i="20" s="1"/>
  <c r="AA44" i="20" s="1"/>
  <c r="AB44" i="20" s="1"/>
  <c r="V42" i="20"/>
  <c r="AB36" i="20"/>
  <c r="V36" i="20"/>
  <c r="AB35" i="20"/>
  <c r="V35" i="20"/>
  <c r="AB33" i="20"/>
  <c r="V33" i="20"/>
  <c r="AB32" i="20"/>
  <c r="V32" i="20"/>
  <c r="AB31" i="20"/>
  <c r="V31" i="20"/>
  <c r="AB30" i="20"/>
  <c r="V30" i="20"/>
  <c r="S28" i="20"/>
  <c r="S27" i="20"/>
  <c r="AX17" i="20"/>
  <c r="AX16" i="20"/>
  <c r="AX15" i="20"/>
  <c r="AX14" i="20"/>
  <c r="AX13" i="20"/>
  <c r="AX12" i="20"/>
  <c r="AX11" i="20"/>
  <c r="AO11" i="20"/>
  <c r="W11" i="20"/>
  <c r="AX8" i="20"/>
  <c r="K8" i="20"/>
  <c r="S8" i="20" s="1"/>
  <c r="AX7" i="20"/>
  <c r="J7" i="20"/>
  <c r="AX6" i="20"/>
  <c r="I6" i="20"/>
  <c r="AX5" i="20"/>
  <c r="AB5" i="20"/>
  <c r="S5" i="20"/>
  <c r="AX4" i="20"/>
  <c r="AB4" i="20"/>
  <c r="S4" i="20"/>
  <c r="AX3" i="20"/>
  <c r="AB3" i="20"/>
  <c r="S3" i="20"/>
  <c r="AX2" i="20"/>
  <c r="AB2" i="20"/>
  <c r="S2" i="20"/>
  <c r="AT65" i="19"/>
  <c r="AT64" i="19"/>
  <c r="AT63" i="19"/>
  <c r="AT62" i="19"/>
  <c r="AT61" i="19"/>
  <c r="AT60" i="19"/>
  <c r="AT59" i="19"/>
  <c r="AT58" i="19"/>
  <c r="AT57" i="19"/>
  <c r="AK57" i="19"/>
  <c r="AB57" i="19"/>
  <c r="AT56" i="19"/>
  <c r="AT55" i="19"/>
  <c r="AT54" i="19"/>
  <c r="AT53" i="19"/>
  <c r="AT52" i="19"/>
  <c r="AT51" i="19"/>
  <c r="AT50" i="19"/>
  <c r="AT49" i="19"/>
  <c r="AQ49" i="19"/>
  <c r="AJ48" i="19"/>
  <c r="AK48" i="19" s="1"/>
  <c r="AL48" i="19" s="1"/>
  <c r="AM48" i="19" s="1"/>
  <c r="AO48" i="19" s="1"/>
  <c r="AP48" i="19" s="1"/>
  <c r="AQ48" i="19" s="1"/>
  <c r="AA48" i="19"/>
  <c r="AB48" i="19" s="1"/>
  <c r="AC48" i="19" s="1"/>
  <c r="AD48" i="19" s="1"/>
  <c r="AF48" i="19" s="1"/>
  <c r="AG48" i="19" s="1"/>
  <c r="W48" i="19"/>
  <c r="X48" i="19" s="1"/>
  <c r="AG39" i="19"/>
  <c r="X39" i="19"/>
  <c r="AG38" i="19"/>
  <c r="X38" i="19"/>
  <c r="AG36" i="19"/>
  <c r="X36" i="19"/>
  <c r="AG35" i="19"/>
  <c r="X35" i="19"/>
  <c r="AG34" i="19"/>
  <c r="X34" i="19"/>
  <c r="AG33" i="19"/>
  <c r="X33" i="19"/>
  <c r="U31" i="19"/>
  <c r="U30" i="19"/>
  <c r="AK22" i="19"/>
  <c r="AT17" i="19"/>
  <c r="AT16" i="19"/>
  <c r="AT15" i="19"/>
  <c r="AT14" i="19"/>
  <c r="AT13" i="19"/>
  <c r="AT12" i="19"/>
  <c r="AT10" i="19"/>
  <c r="AK10" i="19"/>
  <c r="AB10" i="19"/>
  <c r="AT8" i="19"/>
  <c r="AT7" i="19"/>
  <c r="AT6" i="19"/>
  <c r="AT5" i="19"/>
  <c r="AG5" i="19"/>
  <c r="U5" i="19"/>
  <c r="I6" i="19" s="1"/>
  <c r="J7" i="19" s="1"/>
  <c r="K8" i="19" s="1"/>
  <c r="AT4" i="19"/>
  <c r="AG4" i="19"/>
  <c r="U4" i="19"/>
  <c r="AT3" i="19"/>
  <c r="AG3" i="19"/>
  <c r="U3" i="19"/>
  <c r="AT2" i="19"/>
  <c r="AG2" i="19"/>
  <c r="U2" i="19"/>
  <c r="AP57" i="18"/>
  <c r="AP56" i="18"/>
  <c r="AP55" i="18"/>
  <c r="AP54" i="18"/>
  <c r="AP53" i="18"/>
  <c r="AP52" i="18"/>
  <c r="AP51" i="18"/>
  <c r="AP50" i="18"/>
  <c r="AG50" i="18"/>
  <c r="Y50" i="18"/>
  <c r="AP49" i="18"/>
  <c r="AP48" i="18"/>
  <c r="AP47" i="18"/>
  <c r="AP46" i="18"/>
  <c r="AP45" i="18"/>
  <c r="AP44" i="18"/>
  <c r="AP43" i="18"/>
  <c r="AM43" i="18"/>
  <c r="AF42" i="18"/>
  <c r="AG42" i="18" s="1"/>
  <c r="AH42" i="18" s="1"/>
  <c r="AI42" i="18" s="1"/>
  <c r="AK42" i="18" s="1"/>
  <c r="AL42" i="18" s="1"/>
  <c r="AM42" i="18" s="1"/>
  <c r="X42" i="18"/>
  <c r="Y42" i="18" s="1"/>
  <c r="Z42" i="18" s="1"/>
  <c r="AA42" i="18" s="1"/>
  <c r="AC42" i="18" s="1"/>
  <c r="AD42" i="18" s="1"/>
  <c r="U42" i="18"/>
  <c r="V42" i="18" s="1"/>
  <c r="AD35" i="18"/>
  <c r="V35" i="18"/>
  <c r="AD34" i="18"/>
  <c r="V34" i="18"/>
  <c r="AD32" i="18"/>
  <c r="V32" i="18"/>
  <c r="AD31" i="18"/>
  <c r="V31" i="18"/>
  <c r="AD30" i="18"/>
  <c r="V30" i="18"/>
  <c r="AD29" i="18"/>
  <c r="V29" i="18"/>
  <c r="S27" i="18"/>
  <c r="S26" i="18"/>
  <c r="AG18" i="18"/>
  <c r="AP15" i="18"/>
  <c r="AP14" i="18"/>
  <c r="AP13" i="18"/>
  <c r="AP12" i="18"/>
  <c r="AP11" i="18"/>
  <c r="AP10" i="18"/>
  <c r="AP9" i="18"/>
  <c r="AG9" i="18"/>
  <c r="Y9" i="18"/>
  <c r="AP8" i="18"/>
  <c r="AP7" i="18"/>
  <c r="AP6" i="18"/>
  <c r="AP5" i="18"/>
  <c r="AD5" i="18"/>
  <c r="S5" i="18"/>
  <c r="I6" i="18" s="1"/>
  <c r="J7" i="18" s="1"/>
  <c r="K8" i="18" s="1"/>
  <c r="S8" i="18" s="1"/>
  <c r="AP4" i="18"/>
  <c r="AD4" i="18"/>
  <c r="S4" i="18"/>
  <c r="AP3" i="18"/>
  <c r="AD3" i="18"/>
  <c r="S3" i="18"/>
  <c r="AP2" i="18"/>
  <c r="AD2" i="18"/>
  <c r="S2" i="18"/>
  <c r="AP57" i="17"/>
  <c r="AP56" i="17"/>
  <c r="AP55" i="17"/>
  <c r="AP54" i="17"/>
  <c r="AP53" i="17"/>
  <c r="AP52" i="17"/>
  <c r="AP51" i="17"/>
  <c r="AP50" i="17"/>
  <c r="AG50" i="17"/>
  <c r="Y50" i="17"/>
  <c r="AP49" i="17"/>
  <c r="AP48" i="17"/>
  <c r="AP47" i="17"/>
  <c r="AP46" i="17"/>
  <c r="AP45" i="17"/>
  <c r="AP44" i="17"/>
  <c r="AP43" i="17"/>
  <c r="AM43" i="17"/>
  <c r="AF42" i="17"/>
  <c r="AG42" i="17" s="1"/>
  <c r="AH42" i="17" s="1"/>
  <c r="AI42" i="17" s="1"/>
  <c r="AK42" i="17" s="1"/>
  <c r="AL42" i="17" s="1"/>
  <c r="AM42" i="17" s="1"/>
  <c r="X42" i="17"/>
  <c r="Y42" i="17" s="1"/>
  <c r="Z42" i="17" s="1"/>
  <c r="AA42" i="17" s="1"/>
  <c r="AC42" i="17" s="1"/>
  <c r="AD42" i="17" s="1"/>
  <c r="U42" i="17"/>
  <c r="V42" i="17" s="1"/>
  <c r="AD35" i="17"/>
  <c r="V35" i="17"/>
  <c r="AD34" i="17"/>
  <c r="V34" i="17"/>
  <c r="AD32" i="17"/>
  <c r="V32" i="17"/>
  <c r="AD31" i="17"/>
  <c r="V31" i="17"/>
  <c r="AD30" i="17"/>
  <c r="V30" i="17"/>
  <c r="AD29" i="17"/>
  <c r="V29" i="17"/>
  <c r="S27" i="17"/>
  <c r="S26" i="17"/>
  <c r="AG18" i="17"/>
  <c r="AP15" i="17"/>
  <c r="AP14" i="17"/>
  <c r="AP13" i="17"/>
  <c r="AP12" i="17"/>
  <c r="AP11" i="17"/>
  <c r="AP10" i="17"/>
  <c r="AP9" i="17"/>
  <c r="AG9" i="17"/>
  <c r="Y9" i="17"/>
  <c r="AP8" i="17"/>
  <c r="AP7" i="17"/>
  <c r="AP6" i="17"/>
  <c r="AP5" i="17"/>
  <c r="AD5" i="17"/>
  <c r="S5" i="17"/>
  <c r="I6" i="17" s="1"/>
  <c r="J7" i="17" s="1"/>
  <c r="K8" i="17" s="1"/>
  <c r="S8" i="17" s="1"/>
  <c r="AP4" i="17"/>
  <c r="AD4" i="17"/>
  <c r="S4" i="17"/>
  <c r="AP3" i="17"/>
  <c r="AD3" i="17"/>
  <c r="S3" i="17"/>
  <c r="AP2" i="17"/>
  <c r="AD2" i="17"/>
  <c r="S2" i="17"/>
  <c r="AP57" i="16"/>
  <c r="AP56" i="16"/>
  <c r="AP55" i="16"/>
  <c r="AP54" i="16"/>
  <c r="AP53" i="16"/>
  <c r="AP52" i="16"/>
  <c r="AP51" i="16"/>
  <c r="AP50" i="16"/>
  <c r="AG50" i="16"/>
  <c r="Y50" i="16"/>
  <c r="AP49" i="16"/>
  <c r="AP48" i="16"/>
  <c r="AP47" i="16"/>
  <c r="AP46" i="16"/>
  <c r="AP45" i="16"/>
  <c r="AP44" i="16"/>
  <c r="AP43" i="16"/>
  <c r="AM43" i="16"/>
  <c r="AF42" i="16"/>
  <c r="AG42" i="16" s="1"/>
  <c r="AH42" i="16" s="1"/>
  <c r="AI42" i="16" s="1"/>
  <c r="AK42" i="16" s="1"/>
  <c r="AL42" i="16" s="1"/>
  <c r="AM42" i="16" s="1"/>
  <c r="X42" i="16"/>
  <c r="Y42" i="16" s="1"/>
  <c r="Z42" i="16" s="1"/>
  <c r="AA42" i="16" s="1"/>
  <c r="AC42" i="16" s="1"/>
  <c r="AD42" i="16" s="1"/>
  <c r="U42" i="16"/>
  <c r="V42" i="16" s="1"/>
  <c r="AD35" i="16"/>
  <c r="V35" i="16"/>
  <c r="AD34" i="16"/>
  <c r="V34" i="16"/>
  <c r="AD32" i="16"/>
  <c r="V32" i="16"/>
  <c r="AD31" i="16"/>
  <c r="V31" i="16"/>
  <c r="AD30" i="16"/>
  <c r="V30" i="16"/>
  <c r="AD29" i="16"/>
  <c r="V29" i="16"/>
  <c r="S27" i="16"/>
  <c r="S26" i="16"/>
  <c r="AG18" i="16"/>
  <c r="AP15" i="16"/>
  <c r="AP14" i="16"/>
  <c r="AP13" i="16"/>
  <c r="AP12" i="16"/>
  <c r="AP11" i="16"/>
  <c r="AP10" i="16"/>
  <c r="AP9" i="16"/>
  <c r="AG9" i="16"/>
  <c r="Y9" i="16"/>
  <c r="AP8" i="16"/>
  <c r="AP7" i="16"/>
  <c r="AP6" i="16"/>
  <c r="AP5" i="16"/>
  <c r="AD5" i="16"/>
  <c r="S5" i="16"/>
  <c r="I6" i="16" s="1"/>
  <c r="J7" i="16" s="1"/>
  <c r="K8" i="16" s="1"/>
  <c r="S8" i="16" s="1"/>
  <c r="AP4" i="16"/>
  <c r="AD4" i="16"/>
  <c r="S4" i="16"/>
  <c r="AP3" i="16"/>
  <c r="AD3" i="16"/>
  <c r="S3" i="16"/>
  <c r="AP2" i="16"/>
  <c r="AD2" i="16"/>
  <c r="S2" i="16"/>
  <c r="AP57" i="15"/>
  <c r="AP56" i="15"/>
  <c r="AP55" i="15"/>
  <c r="AP54" i="15"/>
  <c r="AP53" i="15"/>
  <c r="AP52" i="15"/>
  <c r="AP51" i="15"/>
  <c r="AP50" i="15"/>
  <c r="AG50" i="15"/>
  <c r="Y50" i="15"/>
  <c r="AP49" i="15"/>
  <c r="AP48" i="15"/>
  <c r="AP47" i="15"/>
  <c r="AP46" i="15"/>
  <c r="AP45" i="15"/>
  <c r="AP44" i="15"/>
  <c r="AP43" i="15"/>
  <c r="AM43" i="15"/>
  <c r="AF42" i="15"/>
  <c r="AG42" i="15" s="1"/>
  <c r="AH42" i="15" s="1"/>
  <c r="AI42" i="15" s="1"/>
  <c r="AK42" i="15" s="1"/>
  <c r="AL42" i="15" s="1"/>
  <c r="AM42" i="15" s="1"/>
  <c r="X42" i="15"/>
  <c r="Y42" i="15" s="1"/>
  <c r="Z42" i="15" s="1"/>
  <c r="AA42" i="15" s="1"/>
  <c r="AC42" i="15" s="1"/>
  <c r="AD42" i="15" s="1"/>
  <c r="U42" i="15"/>
  <c r="V42" i="15" s="1"/>
  <c r="AD35" i="15"/>
  <c r="V35" i="15"/>
  <c r="AD34" i="15"/>
  <c r="V34" i="15"/>
  <c r="AD32" i="15"/>
  <c r="V32" i="15"/>
  <c r="AD31" i="15"/>
  <c r="V31" i="15"/>
  <c r="AD30" i="15"/>
  <c r="V30" i="15"/>
  <c r="AD29" i="15"/>
  <c r="V29" i="15"/>
  <c r="S27" i="15"/>
  <c r="S26" i="15"/>
  <c r="AG18" i="15"/>
  <c r="AP15" i="15"/>
  <c r="AP14" i="15"/>
  <c r="AP13" i="15"/>
  <c r="AP12" i="15"/>
  <c r="AP11" i="15"/>
  <c r="AP10" i="15"/>
  <c r="AP9" i="15"/>
  <c r="AG9" i="15"/>
  <c r="Y9" i="15"/>
  <c r="AP8" i="15"/>
  <c r="AP7" i="15"/>
  <c r="AP6" i="15"/>
  <c r="AP5" i="15"/>
  <c r="AD5" i="15"/>
  <c r="S5" i="15"/>
  <c r="I6" i="15" s="1"/>
  <c r="J7" i="15" s="1"/>
  <c r="AP4" i="15"/>
  <c r="AD4" i="15"/>
  <c r="S4" i="15"/>
  <c r="AP3" i="15"/>
  <c r="AD3" i="15"/>
  <c r="S3" i="15"/>
  <c r="AP2" i="15"/>
  <c r="AD2" i="15"/>
  <c r="S2" i="15"/>
  <c r="AP57" i="14"/>
  <c r="AP56" i="14"/>
  <c r="AP55" i="14"/>
  <c r="AP54" i="14"/>
  <c r="AP53" i="14"/>
  <c r="AP52" i="14"/>
  <c r="AP51" i="14"/>
  <c r="AP50" i="14"/>
  <c r="AG50" i="14"/>
  <c r="Y50" i="14"/>
  <c r="AP49" i="14"/>
  <c r="AP48" i="14"/>
  <c r="AP47" i="14"/>
  <c r="AP46" i="14"/>
  <c r="AP45" i="14"/>
  <c r="AP44" i="14"/>
  <c r="AP43" i="14"/>
  <c r="AM43" i="14"/>
  <c r="AF42" i="14"/>
  <c r="AG42" i="14" s="1"/>
  <c r="AH42" i="14" s="1"/>
  <c r="AI42" i="14" s="1"/>
  <c r="AK42" i="14" s="1"/>
  <c r="AL42" i="14" s="1"/>
  <c r="AM42" i="14" s="1"/>
  <c r="X42" i="14"/>
  <c r="Y42" i="14" s="1"/>
  <c r="Z42" i="14" s="1"/>
  <c r="AA42" i="14" s="1"/>
  <c r="AC42" i="14" s="1"/>
  <c r="AD42" i="14" s="1"/>
  <c r="U42" i="14"/>
  <c r="V42" i="14" s="1"/>
  <c r="AD35" i="14"/>
  <c r="V35" i="14"/>
  <c r="AD34" i="14"/>
  <c r="V34" i="14"/>
  <c r="AD32" i="14"/>
  <c r="V32" i="14"/>
  <c r="AD31" i="14"/>
  <c r="V31" i="14"/>
  <c r="AD30" i="14"/>
  <c r="V30" i="14"/>
  <c r="AD29" i="14"/>
  <c r="V29" i="14"/>
  <c r="S27" i="14"/>
  <c r="S26" i="14"/>
  <c r="AG18" i="14"/>
  <c r="AP15" i="14"/>
  <c r="AP14" i="14"/>
  <c r="AP13" i="14"/>
  <c r="AP12" i="14"/>
  <c r="AP11" i="14"/>
  <c r="AP10" i="14"/>
  <c r="AP9" i="14"/>
  <c r="AG9" i="14"/>
  <c r="Y9" i="14"/>
  <c r="AP8" i="14"/>
  <c r="AP7" i="14"/>
  <c r="AP6" i="14"/>
  <c r="AP5" i="14"/>
  <c r="AD5" i="14"/>
  <c r="S5" i="14"/>
  <c r="I6" i="14" s="1"/>
  <c r="J7" i="14" s="1"/>
  <c r="AP4" i="14"/>
  <c r="AD4" i="14"/>
  <c r="S4" i="14"/>
  <c r="AP3" i="14"/>
  <c r="AD3" i="14"/>
  <c r="S3" i="14"/>
  <c r="AP2" i="14"/>
  <c r="AD2" i="14"/>
  <c r="S2" i="14"/>
  <c r="AP57" i="13"/>
  <c r="AP56" i="13"/>
  <c r="AP55" i="13"/>
  <c r="AP54" i="13"/>
  <c r="AP53" i="13"/>
  <c r="AP52" i="13"/>
  <c r="AP51" i="13"/>
  <c r="AP50" i="13"/>
  <c r="AG50" i="13"/>
  <c r="Y50" i="13"/>
  <c r="AP49" i="13"/>
  <c r="AP48" i="13"/>
  <c r="AP47" i="13"/>
  <c r="AP46" i="13"/>
  <c r="AP45" i="13"/>
  <c r="AP44" i="13"/>
  <c r="AP43" i="13"/>
  <c r="AM43" i="13"/>
  <c r="AF42" i="13"/>
  <c r="AG42" i="13" s="1"/>
  <c r="AH42" i="13" s="1"/>
  <c r="AI42" i="13" s="1"/>
  <c r="AK42" i="13" s="1"/>
  <c r="AL42" i="13" s="1"/>
  <c r="AM42" i="13" s="1"/>
  <c r="X42" i="13"/>
  <c r="Y42" i="13" s="1"/>
  <c r="Z42" i="13" s="1"/>
  <c r="AA42" i="13" s="1"/>
  <c r="AC42" i="13" s="1"/>
  <c r="AD42" i="13" s="1"/>
  <c r="U42" i="13"/>
  <c r="V42" i="13" s="1"/>
  <c r="AD35" i="13"/>
  <c r="V35" i="13"/>
  <c r="AD34" i="13"/>
  <c r="V34" i="13"/>
  <c r="AD32" i="13"/>
  <c r="V32" i="13"/>
  <c r="AD31" i="13"/>
  <c r="V31" i="13"/>
  <c r="AD30" i="13"/>
  <c r="V30" i="13"/>
  <c r="AD29" i="13"/>
  <c r="V29" i="13"/>
  <c r="S27" i="13"/>
  <c r="S26" i="13"/>
  <c r="AG18" i="13"/>
  <c r="AP15" i="13"/>
  <c r="AP14" i="13"/>
  <c r="AP13" i="13"/>
  <c r="AP12" i="13"/>
  <c r="AP11" i="13"/>
  <c r="AP10" i="13"/>
  <c r="AP9" i="13"/>
  <c r="AG9" i="13"/>
  <c r="Y9" i="13"/>
  <c r="AP8" i="13"/>
  <c r="AP7" i="13"/>
  <c r="AP6" i="13"/>
  <c r="AP5" i="13"/>
  <c r="AD5" i="13"/>
  <c r="S5" i="13"/>
  <c r="I6" i="13" s="1"/>
  <c r="J7" i="13" s="1"/>
  <c r="AP4" i="13"/>
  <c r="AD4" i="13"/>
  <c r="S4" i="13"/>
  <c r="AP3" i="13"/>
  <c r="AD3" i="13"/>
  <c r="S3" i="13"/>
  <c r="AP2" i="13"/>
  <c r="AD2" i="13"/>
  <c r="S2" i="13"/>
  <c r="AP57" i="12"/>
  <c r="AP56" i="12"/>
  <c r="AP55" i="12"/>
  <c r="AP54" i="12"/>
  <c r="AP53" i="12"/>
  <c r="AP52" i="12"/>
  <c r="AP51" i="12"/>
  <c r="AP50" i="12"/>
  <c r="AG50" i="12"/>
  <c r="Y50" i="12"/>
  <c r="AP49" i="12"/>
  <c r="AP48" i="12"/>
  <c r="AP47" i="12"/>
  <c r="AP46" i="12"/>
  <c r="AP45" i="12"/>
  <c r="AP44" i="12"/>
  <c r="AP43" i="12"/>
  <c r="AM43" i="12"/>
  <c r="AF42" i="12"/>
  <c r="AG42" i="12" s="1"/>
  <c r="AH42" i="12" s="1"/>
  <c r="AI42" i="12" s="1"/>
  <c r="AK42" i="12" s="1"/>
  <c r="AL42" i="12" s="1"/>
  <c r="AM42" i="12" s="1"/>
  <c r="X42" i="12"/>
  <c r="Y42" i="12" s="1"/>
  <c r="Z42" i="12" s="1"/>
  <c r="AA42" i="12" s="1"/>
  <c r="AC42" i="12" s="1"/>
  <c r="AD42" i="12" s="1"/>
  <c r="U42" i="12"/>
  <c r="V42" i="12" s="1"/>
  <c r="AD35" i="12"/>
  <c r="V35" i="12"/>
  <c r="AD34" i="12"/>
  <c r="V34" i="12"/>
  <c r="AD32" i="12"/>
  <c r="V32" i="12"/>
  <c r="AD31" i="12"/>
  <c r="V31" i="12"/>
  <c r="AD30" i="12"/>
  <c r="V30" i="12"/>
  <c r="AD29" i="12"/>
  <c r="V29" i="12"/>
  <c r="S27" i="12"/>
  <c r="S26" i="12"/>
  <c r="AG18" i="12"/>
  <c r="AP15" i="12"/>
  <c r="AP14" i="12"/>
  <c r="AP13" i="12"/>
  <c r="AP12" i="12"/>
  <c r="AP11" i="12"/>
  <c r="AP10" i="12"/>
  <c r="AP9" i="12"/>
  <c r="AG9" i="12"/>
  <c r="Y9" i="12"/>
  <c r="AP8" i="12"/>
  <c r="AP7" i="12"/>
  <c r="AP6" i="12"/>
  <c r="AP5" i="12"/>
  <c r="AD5" i="12"/>
  <c r="S5" i="12"/>
  <c r="I6" i="12" s="1"/>
  <c r="J7" i="12" s="1"/>
  <c r="AP4" i="12"/>
  <c r="AD4" i="12"/>
  <c r="S4" i="12"/>
  <c r="AP3" i="12"/>
  <c r="AD3" i="12"/>
  <c r="S3" i="12"/>
  <c r="AP2" i="12"/>
  <c r="AD2" i="12"/>
  <c r="S2" i="12"/>
  <c r="AP57" i="11"/>
  <c r="AP56" i="11"/>
  <c r="AP55" i="11"/>
  <c r="AP54" i="11"/>
  <c r="AP53" i="11"/>
  <c r="AP52" i="11"/>
  <c r="AP51" i="11"/>
  <c r="AP50" i="11"/>
  <c r="AG50" i="11"/>
  <c r="Y50" i="11"/>
  <c r="AP49" i="11"/>
  <c r="AP48" i="11"/>
  <c r="AP47" i="11"/>
  <c r="AP46" i="11"/>
  <c r="AP45" i="11"/>
  <c r="AP44" i="11"/>
  <c r="AP43" i="11"/>
  <c r="AM43" i="11"/>
  <c r="AF42" i="11"/>
  <c r="AG42" i="11" s="1"/>
  <c r="AH42" i="11" s="1"/>
  <c r="AI42" i="11" s="1"/>
  <c r="AK42" i="11" s="1"/>
  <c r="AL42" i="11" s="1"/>
  <c r="AM42" i="11" s="1"/>
  <c r="X42" i="11"/>
  <c r="Y42" i="11" s="1"/>
  <c r="Z42" i="11" s="1"/>
  <c r="AA42" i="11" s="1"/>
  <c r="AC42" i="11" s="1"/>
  <c r="AD42" i="11" s="1"/>
  <c r="U42" i="11"/>
  <c r="V42" i="11" s="1"/>
  <c r="AD35" i="11"/>
  <c r="V35" i="11"/>
  <c r="AD34" i="11"/>
  <c r="V34" i="11"/>
  <c r="AD32" i="11"/>
  <c r="V32" i="11"/>
  <c r="AD31" i="11"/>
  <c r="V31" i="11"/>
  <c r="AD30" i="11"/>
  <c r="V30" i="11"/>
  <c r="AD29" i="11"/>
  <c r="V29" i="11"/>
  <c r="S27" i="11"/>
  <c r="S26" i="11"/>
  <c r="AG18" i="11"/>
  <c r="AP15" i="11"/>
  <c r="AP14" i="11"/>
  <c r="AP13" i="11"/>
  <c r="AP12" i="11"/>
  <c r="AP11" i="11"/>
  <c r="AP10" i="11"/>
  <c r="AP9" i="11"/>
  <c r="AG9" i="11"/>
  <c r="Y9" i="11"/>
  <c r="AP8" i="11"/>
  <c r="AP7" i="11"/>
  <c r="AP6" i="11"/>
  <c r="AP5" i="11"/>
  <c r="AD5" i="11"/>
  <c r="S5" i="11"/>
  <c r="I6" i="11" s="1"/>
  <c r="J7" i="11" s="1"/>
  <c r="AP4" i="11"/>
  <c r="AD4" i="11"/>
  <c r="S4" i="11"/>
  <c r="AP3" i="11"/>
  <c r="AD3" i="11"/>
  <c r="S3" i="11"/>
  <c r="AP2" i="11"/>
  <c r="AD2" i="11"/>
  <c r="S2" i="11"/>
  <c r="G15" i="10"/>
  <c r="E5" i="10"/>
  <c r="D7" i="9"/>
  <c r="F13" i="8"/>
  <c r="E13" i="8"/>
  <c r="F8" i="8"/>
  <c r="E8" i="8"/>
  <c r="D5" i="8"/>
  <c r="D4" i="8"/>
  <c r="D54" i="7"/>
  <c r="D53" i="7"/>
  <c r="G51" i="7"/>
  <c r="E46" i="7"/>
  <c r="G45" i="7"/>
  <c r="E44" i="7"/>
  <c r="G43" i="7"/>
  <c r="E43" i="7"/>
  <c r="G39" i="7"/>
  <c r="E39" i="7"/>
  <c r="E38" i="7"/>
  <c r="E37" i="7"/>
  <c r="G36" i="7"/>
  <c r="E36" i="7"/>
  <c r="G35" i="7"/>
  <c r="E35" i="7"/>
  <c r="G34" i="7"/>
  <c r="E34" i="7"/>
  <c r="E33" i="7"/>
  <c r="D33" i="7"/>
  <c r="A33" i="7"/>
  <c r="G29" i="7"/>
  <c r="G28" i="7"/>
  <c r="G27" i="7"/>
  <c r="D22" i="7"/>
  <c r="D20" i="7"/>
  <c r="D19" i="7"/>
  <c r="D23" i="7" s="1"/>
  <c r="E18" i="7"/>
  <c r="G17" i="7"/>
  <c r="E17" i="7"/>
  <c r="G16" i="7"/>
  <c r="E16" i="7"/>
  <c r="F15" i="7"/>
  <c r="F14" i="7"/>
  <c r="G13" i="7"/>
  <c r="E13" i="7"/>
  <c r="E12" i="7"/>
  <c r="F11" i="7"/>
  <c r="D5" i="7"/>
  <c r="D4" i="7"/>
  <c r="D5" i="6"/>
  <c r="AQ131" i="5"/>
  <c r="AP131" i="5"/>
  <c r="S48" i="29" s="1"/>
  <c r="K52" i="29" s="1"/>
  <c r="S52" i="29" s="1"/>
  <c r="AO131" i="5"/>
  <c r="S47" i="29" s="1"/>
  <c r="AN131" i="5"/>
  <c r="S46" i="29" s="1"/>
  <c r="AM131" i="5"/>
  <c r="AL131" i="5"/>
  <c r="AD48" i="29" s="1"/>
  <c r="AK131" i="5"/>
  <c r="AD47" i="29" s="1"/>
  <c r="AJ131" i="5"/>
  <c r="G144" i="48" s="1"/>
  <c r="AI131" i="5"/>
  <c r="AH131" i="5"/>
  <c r="F266" i="48" s="1"/>
  <c r="AQ126" i="5"/>
  <c r="AP126" i="5"/>
  <c r="S43" i="28" s="1"/>
  <c r="I44" i="28" s="1"/>
  <c r="AO126" i="5"/>
  <c r="S42" i="28" s="1"/>
  <c r="AN126" i="5"/>
  <c r="S41" i="28" s="1"/>
  <c r="AM126" i="5"/>
  <c r="AL126" i="5"/>
  <c r="AC43" i="28" s="1"/>
  <c r="AK126" i="5"/>
  <c r="AC42" i="28" s="1"/>
  <c r="AJ126" i="5"/>
  <c r="G78" i="48" s="1"/>
  <c r="AI126" i="5"/>
  <c r="AH126" i="5"/>
  <c r="AQ121" i="5"/>
  <c r="AP121" i="5"/>
  <c r="S43" i="27" s="1"/>
  <c r="I44" i="27" s="1"/>
  <c r="AO121" i="5"/>
  <c r="S42" i="27" s="1"/>
  <c r="AN121" i="5"/>
  <c r="S41" i="27" s="1"/>
  <c r="AM121" i="5"/>
  <c r="AL121" i="5"/>
  <c r="AC43" i="27" s="1"/>
  <c r="AK121" i="5"/>
  <c r="AC42" i="27" s="1"/>
  <c r="AJ121" i="5"/>
  <c r="G138" i="48" s="1"/>
  <c r="AI121" i="5"/>
  <c r="AH121" i="5"/>
  <c r="AQ115" i="5"/>
  <c r="AP115" i="5"/>
  <c r="S48" i="32" s="1"/>
  <c r="K52" i="32" s="1"/>
  <c r="S52" i="32" s="1"/>
  <c r="AO115" i="5"/>
  <c r="S47" i="32" s="1"/>
  <c r="AN115" i="5"/>
  <c r="S46" i="32" s="1"/>
  <c r="AM115" i="5"/>
  <c r="AL115" i="5"/>
  <c r="AD48" i="32" s="1"/>
  <c r="AK115" i="5"/>
  <c r="AD47" i="32" s="1"/>
  <c r="AJ115" i="5"/>
  <c r="G72" i="48" s="1"/>
  <c r="AI115" i="5"/>
  <c r="AH115" i="5"/>
  <c r="F318" i="48" s="1"/>
  <c r="AQ110" i="5"/>
  <c r="AP110" i="5"/>
  <c r="S44" i="31" s="1"/>
  <c r="I45" i="31" s="1"/>
  <c r="AO110" i="5"/>
  <c r="S43" i="31" s="1"/>
  <c r="AN110" i="5"/>
  <c r="S42" i="31" s="1"/>
  <c r="AM110" i="5"/>
  <c r="AL110" i="5"/>
  <c r="AG44" i="31" s="1"/>
  <c r="AK110" i="5"/>
  <c r="AG43" i="31" s="1"/>
  <c r="AJ110" i="5"/>
  <c r="G132" i="48" s="1"/>
  <c r="AI110" i="5"/>
  <c r="AH110" i="5"/>
  <c r="F254" i="48" s="1"/>
  <c r="AQ105" i="5"/>
  <c r="AP105" i="5"/>
  <c r="S44" i="30" s="1"/>
  <c r="I45" i="30" s="1"/>
  <c r="AO105" i="5"/>
  <c r="S43" i="30" s="1"/>
  <c r="AN105" i="5"/>
  <c r="S42" i="30" s="1"/>
  <c r="AM105" i="5"/>
  <c r="AL105" i="5"/>
  <c r="AG44" i="30" s="1"/>
  <c r="AK105" i="5"/>
  <c r="AG43" i="30" s="1"/>
  <c r="AJ105" i="5"/>
  <c r="G66" i="48" s="1"/>
  <c r="AI105" i="5"/>
  <c r="AH105" i="5"/>
  <c r="AQ99" i="5"/>
  <c r="AP99" i="5"/>
  <c r="S48" i="26" s="1"/>
  <c r="K52" i="26" s="1"/>
  <c r="S52" i="26" s="1"/>
  <c r="AO99" i="5"/>
  <c r="S47" i="26" s="1"/>
  <c r="AN99" i="5"/>
  <c r="S46" i="26" s="1"/>
  <c r="AM99" i="5"/>
  <c r="AL99" i="5"/>
  <c r="AD48" i="26" s="1"/>
  <c r="AK99" i="5"/>
  <c r="AD47" i="26" s="1"/>
  <c r="AJ99" i="5"/>
  <c r="AI99" i="5"/>
  <c r="AH99" i="5"/>
  <c r="AQ94" i="5"/>
  <c r="AP94" i="5"/>
  <c r="S43" i="24" s="1"/>
  <c r="I44" i="24" s="1"/>
  <c r="AO94" i="5"/>
  <c r="S42" i="24" s="1"/>
  <c r="AN94" i="5"/>
  <c r="S41" i="24" s="1"/>
  <c r="AM94" i="5"/>
  <c r="AL94" i="5"/>
  <c r="AC43" i="24" s="1"/>
  <c r="AK94" i="5"/>
  <c r="AC42" i="24" s="1"/>
  <c r="AJ94" i="5"/>
  <c r="AI94" i="5"/>
  <c r="AH94" i="5"/>
  <c r="AQ89" i="5"/>
  <c r="AP89" i="5"/>
  <c r="S43" i="23" s="1"/>
  <c r="I44" i="23" s="1"/>
  <c r="AO89" i="5"/>
  <c r="S42" i="23" s="1"/>
  <c r="AN89" i="5"/>
  <c r="S41" i="23" s="1"/>
  <c r="AM89" i="5"/>
  <c r="AL89" i="5"/>
  <c r="AC43" i="23" s="1"/>
  <c r="AK89" i="5"/>
  <c r="AC42" i="23" s="1"/>
  <c r="AJ89" i="5"/>
  <c r="AI89" i="5"/>
  <c r="AH89" i="5"/>
  <c r="AQ84" i="5"/>
  <c r="AP84" i="5"/>
  <c r="S43" i="22" s="1"/>
  <c r="I44" i="22" s="1"/>
  <c r="AO84" i="5"/>
  <c r="S42" i="22" s="1"/>
  <c r="AN84" i="5"/>
  <c r="S41" i="22" s="1"/>
  <c r="AM84" i="5"/>
  <c r="AL84" i="5"/>
  <c r="AC43" i="22" s="1"/>
  <c r="AK84" i="5"/>
  <c r="AC42" i="22" s="1"/>
  <c r="AJ84" i="5"/>
  <c r="AI84" i="5"/>
  <c r="AH84" i="5"/>
  <c r="AQ79" i="5"/>
  <c r="AP79" i="5"/>
  <c r="S43" i="21" s="1"/>
  <c r="I44" i="21" s="1"/>
  <c r="AO79" i="5"/>
  <c r="S42" i="21" s="1"/>
  <c r="AN79" i="5"/>
  <c r="S41" i="21" s="1"/>
  <c r="AM79" i="5"/>
  <c r="AL79" i="5"/>
  <c r="AC43" i="21" s="1"/>
  <c r="AK79" i="5"/>
  <c r="AC42" i="21" s="1"/>
  <c r="AJ79" i="5"/>
  <c r="AI79" i="5"/>
  <c r="AH79" i="5"/>
  <c r="AQ63" i="5"/>
  <c r="S46" i="14" s="1"/>
  <c r="I47" i="14" s="1"/>
  <c r="AP63" i="5"/>
  <c r="AO63" i="5"/>
  <c r="S44" i="14" s="1"/>
  <c r="AN63" i="5"/>
  <c r="S43" i="13" s="1"/>
  <c r="AM63" i="5"/>
  <c r="AL63" i="5"/>
  <c r="AD45" i="14" s="1"/>
  <c r="AK63" i="5"/>
  <c r="AJ63" i="5"/>
  <c r="AI63" i="5"/>
  <c r="AH63" i="5"/>
  <c r="AQ58" i="5"/>
  <c r="S45" i="25" s="1"/>
  <c r="AP58" i="5"/>
  <c r="S44" i="25" s="1"/>
  <c r="AO58" i="5"/>
  <c r="S43" i="25" s="1"/>
  <c r="AN58" i="5"/>
  <c r="S42" i="25" s="1"/>
  <c r="AM58" i="5"/>
  <c r="AC45" i="25" s="1"/>
  <c r="AL58" i="5"/>
  <c r="AC44" i="25" s="1"/>
  <c r="AK58" i="5"/>
  <c r="AC43" i="25" s="1"/>
  <c r="AJ58" i="5"/>
  <c r="AI58" i="5"/>
  <c r="AH58" i="5"/>
  <c r="AQ53" i="5"/>
  <c r="S48" i="20" s="1"/>
  <c r="AP53" i="5"/>
  <c r="S47" i="20" s="1"/>
  <c r="AO53" i="5"/>
  <c r="S46" i="20" s="1"/>
  <c r="AN53" i="5"/>
  <c r="S45" i="20" s="1"/>
  <c r="AM53" i="5"/>
  <c r="AB48" i="20" s="1"/>
  <c r="AL53" i="5"/>
  <c r="AB47" i="20" s="1"/>
  <c r="AK53" i="5"/>
  <c r="AB46" i="20" s="1"/>
  <c r="AJ53" i="5"/>
  <c r="AI53" i="5"/>
  <c r="AH53" i="5"/>
  <c r="AQ48" i="5"/>
  <c r="S46" i="15" s="1"/>
  <c r="I47" i="15" s="1"/>
  <c r="AP48" i="5"/>
  <c r="S45" i="15" s="1"/>
  <c r="AO48" i="5"/>
  <c r="S44" i="15" s="1"/>
  <c r="AN48" i="5"/>
  <c r="S43" i="15" s="1"/>
  <c r="AM48" i="5"/>
  <c r="AD46" i="15" s="1"/>
  <c r="AL48" i="5"/>
  <c r="AD45" i="15" s="1"/>
  <c r="AK48" i="5"/>
  <c r="AD44" i="15" s="1"/>
  <c r="AJ48" i="5"/>
  <c r="AI48" i="5"/>
  <c r="AH48" i="5"/>
  <c r="AQ43" i="5"/>
  <c r="S46" i="18" s="1"/>
  <c r="J48" i="18" s="1"/>
  <c r="AP43" i="5"/>
  <c r="S45" i="18" s="1"/>
  <c r="AO43" i="5"/>
  <c r="S44" i="18" s="1"/>
  <c r="AN43" i="5"/>
  <c r="S43" i="18" s="1"/>
  <c r="AM43" i="5"/>
  <c r="AD46" i="18" s="1"/>
  <c r="AL43" i="5"/>
  <c r="AD45" i="18" s="1"/>
  <c r="AK43" i="5"/>
  <c r="AD44" i="18" s="1"/>
  <c r="AJ43" i="5"/>
  <c r="AD43" i="18" s="1"/>
  <c r="AI43" i="5"/>
  <c r="AH43" i="5"/>
  <c r="AQ38" i="5"/>
  <c r="S46" i="17" s="1"/>
  <c r="J48" i="17" s="1"/>
  <c r="AP38" i="5"/>
  <c r="S45" i="17" s="1"/>
  <c r="AO38" i="5"/>
  <c r="S44" i="17" s="1"/>
  <c r="AN38" i="5"/>
  <c r="S43" i="17" s="1"/>
  <c r="AM38" i="5"/>
  <c r="AD46" i="17" s="1"/>
  <c r="AL38" i="5"/>
  <c r="AD45" i="17" s="1"/>
  <c r="AK38" i="5"/>
  <c r="AD44" i="17" s="1"/>
  <c r="AJ38" i="5"/>
  <c r="AI38" i="5"/>
  <c r="AH38" i="5"/>
  <c r="AQ33" i="5"/>
  <c r="U52" i="19" s="1"/>
  <c r="I53" i="19" s="1"/>
  <c r="J54" i="19" s="1"/>
  <c r="AP33" i="5"/>
  <c r="U51" i="19" s="1"/>
  <c r="AO33" i="5"/>
  <c r="U50" i="19" s="1"/>
  <c r="AN33" i="5"/>
  <c r="U49" i="19" s="1"/>
  <c r="AM33" i="5"/>
  <c r="AG52" i="19" s="1"/>
  <c r="AL33" i="5"/>
  <c r="AG51" i="19" s="1"/>
  <c r="AK33" i="5"/>
  <c r="AG50" i="19" s="1"/>
  <c r="AJ33" i="5"/>
  <c r="AG49" i="19" s="1"/>
  <c r="AI33" i="5"/>
  <c r="AH33" i="5"/>
  <c r="AQ28" i="5"/>
  <c r="AP28" i="5"/>
  <c r="L21" i="64" s="1"/>
  <c r="AO28" i="5"/>
  <c r="AN28" i="5"/>
  <c r="AM28" i="5"/>
  <c r="O22" i="64" s="1"/>
  <c r="AL28" i="5"/>
  <c r="AK28" i="5"/>
  <c r="O20" i="64" s="1"/>
  <c r="AJ28" i="5"/>
  <c r="AD43" i="16" s="1"/>
  <c r="AI28" i="5"/>
  <c r="AH28" i="5"/>
  <c r="AQ23" i="5"/>
  <c r="AP23" i="5"/>
  <c r="AO23" i="5"/>
  <c r="AN23" i="5"/>
  <c r="AM23" i="5"/>
  <c r="AL23" i="5"/>
  <c r="AK23" i="5"/>
  <c r="AJ23" i="5"/>
  <c r="AI23" i="5"/>
  <c r="AH23" i="5"/>
  <c r="AQ18" i="5"/>
  <c r="S46" i="12" s="1"/>
  <c r="I47" i="12" s="1"/>
  <c r="AP18" i="5"/>
  <c r="S45" i="12" s="1"/>
  <c r="AO18" i="5"/>
  <c r="S44" i="12" s="1"/>
  <c r="AN18" i="5"/>
  <c r="S43" i="12" s="1"/>
  <c r="AM18" i="5"/>
  <c r="AD46" i="12" s="1"/>
  <c r="AL18" i="5"/>
  <c r="AD45" i="12" s="1"/>
  <c r="AK18" i="5"/>
  <c r="AD44" i="12" s="1"/>
  <c r="AJ18" i="5"/>
  <c r="AI18" i="5"/>
  <c r="AH18" i="5"/>
  <c r="AQ13" i="5"/>
  <c r="S46" i="11" s="1"/>
  <c r="I47" i="11" s="1"/>
  <c r="AP13" i="5"/>
  <c r="S45" i="11" s="1"/>
  <c r="AO13" i="5"/>
  <c r="S44" i="11" s="1"/>
  <c r="AN13" i="5"/>
  <c r="S43" i="11" s="1"/>
  <c r="AM13" i="5"/>
  <c r="AD46" i="11" s="1"/>
  <c r="AL13" i="5"/>
  <c r="AD45" i="11" s="1"/>
  <c r="AK13" i="5"/>
  <c r="AD44" i="11" s="1"/>
  <c r="AJ13" i="5"/>
  <c r="AI13" i="5"/>
  <c r="AH13" i="5"/>
  <c r="D6" i="5"/>
  <c r="D5" i="5"/>
  <c r="R13" i="4"/>
  <c r="E13" i="4"/>
  <c r="P13" i="4" s="1"/>
  <c r="E7" i="4"/>
  <c r="D5" i="4"/>
  <c r="O13" i="3"/>
  <c r="M13" i="3" a="1"/>
  <c r="M13" i="3"/>
  <c r="E13" i="3"/>
  <c r="E12" i="3"/>
  <c r="G12" i="3" s="1"/>
  <c r="I13" i="4" s="1"/>
  <c r="Q13" i="4" s="1"/>
  <c r="E4" i="3"/>
  <c r="E59" i="2"/>
  <c r="E49" i="2"/>
  <c r="E41" i="2"/>
  <c r="E31" i="2"/>
  <c r="E27" i="2"/>
  <c r="E26" i="2"/>
  <c r="F25" i="2"/>
  <c r="E22" i="2"/>
  <c r="E21" i="2"/>
  <c r="F20" i="2"/>
  <c r="E19" i="2"/>
  <c r="I9" i="2"/>
  <c r="E3" i="2"/>
  <c r="E2" i="2"/>
  <c r="M10" i="55"/>
  <c r="M2" i="54"/>
  <c r="AT47" i="30"/>
  <c r="AL46" i="27"/>
  <c r="AL46" i="24"/>
  <c r="AT7" i="30"/>
  <c r="AL8" i="25"/>
  <c r="AL7" i="23"/>
  <c r="AL7" i="21"/>
  <c r="AR56" i="19"/>
  <c r="AN49" i="18"/>
  <c r="AN49" i="16"/>
  <c r="AN8" i="15"/>
  <c r="AN8" i="14"/>
  <c r="AN8" i="13"/>
  <c r="AN8" i="12"/>
  <c r="AN8" i="11"/>
  <c r="AL46" i="28"/>
  <c r="AL7" i="22"/>
  <c r="AR8" i="19"/>
  <c r="J13" i="3"/>
  <c r="AN8" i="18"/>
  <c r="M10" i="54"/>
  <c r="M2" i="55"/>
  <c r="AT7" i="31"/>
  <c r="AL7" i="28"/>
  <c r="AL48" i="25"/>
  <c r="AT47" i="31"/>
  <c r="AL7" i="27"/>
  <c r="AL46" i="23"/>
  <c r="AL46" i="22"/>
  <c r="AV51" i="20"/>
  <c r="AR55" i="19"/>
  <c r="AN49" i="17"/>
  <c r="AN49" i="15"/>
  <c r="AN49" i="14"/>
  <c r="AN49" i="13"/>
  <c r="AN49" i="12"/>
  <c r="AN49" i="11"/>
  <c r="Y25" i="64"/>
  <c r="AL7" i="24"/>
  <c r="AV8" i="20"/>
  <c r="AN8" i="17"/>
  <c r="AL46" i="21"/>
  <c r="AN8" i="16"/>
  <c r="I10" i="50" l="1"/>
  <c r="I27" i="40"/>
  <c r="I11" i="38"/>
  <c r="I11" i="37"/>
  <c r="M11" i="35"/>
  <c r="I26" i="33"/>
  <c r="H10" i="45"/>
  <c r="H15" i="34"/>
  <c r="I8" i="39"/>
  <c r="J48" i="11"/>
  <c r="S47" i="11"/>
  <c r="J48" i="12"/>
  <c r="S47" i="12"/>
  <c r="K55" i="19"/>
  <c r="U54" i="19"/>
  <c r="K49" i="17"/>
  <c r="S49" i="17" s="1"/>
  <c r="S48" i="17"/>
  <c r="K49" i="18"/>
  <c r="S49" i="18" s="1"/>
  <c r="S48" i="18"/>
  <c r="J48" i="15"/>
  <c r="S47" i="15"/>
  <c r="K51" i="20"/>
  <c r="S51" i="20" s="1"/>
  <c r="J50" i="20"/>
  <c r="I49" i="20"/>
  <c r="J48" i="14"/>
  <c r="S47" i="14"/>
  <c r="K8" i="11"/>
  <c r="S8" i="11" s="1"/>
  <c r="S7" i="11"/>
  <c r="K8" i="13"/>
  <c r="S8" i="13" s="1"/>
  <c r="S7" i="13"/>
  <c r="K8" i="15"/>
  <c r="S8" i="15" s="1"/>
  <c r="S7" i="15"/>
  <c r="U8" i="19"/>
  <c r="L9" i="19"/>
  <c r="U9" i="19" s="1"/>
  <c r="I9" i="50"/>
  <c r="I26" i="40"/>
  <c r="I10" i="38"/>
  <c r="I10" i="37"/>
  <c r="M10" i="35"/>
  <c r="H14" i="34"/>
  <c r="I25" i="33"/>
  <c r="H9" i="45"/>
  <c r="I7" i="39"/>
  <c r="J45" i="21"/>
  <c r="S44" i="21"/>
  <c r="J45" i="22"/>
  <c r="S44" i="22"/>
  <c r="J45" i="23"/>
  <c r="S44" i="23"/>
  <c r="J45" i="24"/>
  <c r="S44" i="24"/>
  <c r="K8" i="12"/>
  <c r="S8" i="12" s="1"/>
  <c r="S7" i="12"/>
  <c r="K8" i="14"/>
  <c r="S8" i="14" s="1"/>
  <c r="S7" i="14"/>
  <c r="L20" i="64"/>
  <c r="S44" i="16"/>
  <c r="L22" i="64"/>
  <c r="F23" i="64" s="1"/>
  <c r="S46" i="16"/>
  <c r="K48" i="25"/>
  <c r="S48" i="25" s="1"/>
  <c r="J47" i="25"/>
  <c r="I46" i="25"/>
  <c r="AD44" i="14"/>
  <c r="AD44" i="13"/>
  <c r="AD46" i="14"/>
  <c r="AD46" i="13"/>
  <c r="D37" i="7"/>
  <c r="D38" i="7" s="1"/>
  <c r="D39" i="7" s="1"/>
  <c r="D35" i="7"/>
  <c r="D34" i="7"/>
  <c r="S6" i="12"/>
  <c r="S44" i="13"/>
  <c r="AD45" i="13"/>
  <c r="S46" i="13"/>
  <c r="I47" i="13" s="1"/>
  <c r="S6" i="14"/>
  <c r="S43" i="14"/>
  <c r="S7" i="17"/>
  <c r="I47" i="17"/>
  <c r="U7" i="19"/>
  <c r="K33" i="33"/>
  <c r="B34" i="33"/>
  <c r="I11" i="50"/>
  <c r="I28" i="40"/>
  <c r="I12" i="38"/>
  <c r="I12" i="37"/>
  <c r="M12" i="35"/>
  <c r="H16" i="34"/>
  <c r="I27" i="33"/>
  <c r="H11" i="45"/>
  <c r="I9" i="39"/>
  <c r="F270" i="48"/>
  <c r="F209" i="48"/>
  <c r="F148" i="48"/>
  <c r="F24" i="48"/>
  <c r="F87" i="48"/>
  <c r="G209" i="48"/>
  <c r="G87" i="48"/>
  <c r="G24" i="48"/>
  <c r="AD43" i="11"/>
  <c r="G270" i="48"/>
  <c r="G148" i="48"/>
  <c r="G5" i="48"/>
  <c r="G2" i="48"/>
  <c r="F273" i="48"/>
  <c r="F151" i="48"/>
  <c r="F90" i="48"/>
  <c r="F27" i="48"/>
  <c r="F212" i="48"/>
  <c r="G273" i="48"/>
  <c r="G212" i="48"/>
  <c r="G151" i="48"/>
  <c r="G27" i="48"/>
  <c r="AD43" i="12"/>
  <c r="G90" i="48"/>
  <c r="F215" i="48"/>
  <c r="F93" i="48"/>
  <c r="F30" i="48"/>
  <c r="F276" i="48"/>
  <c r="F154" i="48"/>
  <c r="O19" i="64"/>
  <c r="G276" i="48"/>
  <c r="G215" i="48"/>
  <c r="G154" i="48"/>
  <c r="G93" i="48"/>
  <c r="G30" i="48"/>
  <c r="O21" i="64"/>
  <c r="AD45" i="16"/>
  <c r="L19" i="64"/>
  <c r="S43" i="16"/>
  <c r="F279" i="48"/>
  <c r="F157" i="48"/>
  <c r="F96" i="48"/>
  <c r="F33" i="48"/>
  <c r="F218" i="48"/>
  <c r="G279" i="48"/>
  <c r="G218" i="48"/>
  <c r="G157" i="48"/>
  <c r="G33" i="48"/>
  <c r="G96" i="48"/>
  <c r="F221" i="48"/>
  <c r="F99" i="48"/>
  <c r="F36" i="48"/>
  <c r="F282" i="48"/>
  <c r="F160" i="48"/>
  <c r="G282" i="48"/>
  <c r="G221" i="48"/>
  <c r="G160" i="48"/>
  <c r="G99" i="48"/>
  <c r="G36" i="48"/>
  <c r="F285" i="48"/>
  <c r="F163" i="48"/>
  <c r="F102" i="48"/>
  <c r="F39" i="48"/>
  <c r="F224" i="48"/>
  <c r="G285" i="48"/>
  <c r="G224" i="48"/>
  <c r="G163" i="48"/>
  <c r="G39" i="48"/>
  <c r="G102" i="48"/>
  <c r="F227" i="48"/>
  <c r="F105" i="48"/>
  <c r="F42" i="48"/>
  <c r="F288" i="48"/>
  <c r="F166" i="48"/>
  <c r="G288" i="48"/>
  <c r="G227" i="48"/>
  <c r="G166" i="48"/>
  <c r="G105" i="48"/>
  <c r="AD43" i="15"/>
  <c r="G42" i="48"/>
  <c r="F291" i="48"/>
  <c r="F169" i="48"/>
  <c r="F108" i="48"/>
  <c r="F45" i="48"/>
  <c r="F230" i="48"/>
  <c r="G291" i="48"/>
  <c r="G230" i="48"/>
  <c r="G169" i="48"/>
  <c r="G45" i="48"/>
  <c r="AB45" i="20"/>
  <c r="G108" i="48"/>
  <c r="F233" i="48"/>
  <c r="F111" i="48"/>
  <c r="F48" i="48"/>
  <c r="F294" i="48"/>
  <c r="F172" i="48"/>
  <c r="G294" i="48"/>
  <c r="G233" i="48"/>
  <c r="G172" i="48"/>
  <c r="AC42" i="25"/>
  <c r="G111" i="48"/>
  <c r="G48" i="48"/>
  <c r="AD43" i="14"/>
  <c r="AD43" i="13"/>
  <c r="S45" i="14"/>
  <c r="S45" i="13"/>
  <c r="F297" i="48"/>
  <c r="F175" i="48"/>
  <c r="F114" i="48"/>
  <c r="F51" i="48"/>
  <c r="F236" i="48"/>
  <c r="G297" i="48"/>
  <c r="G236" i="48"/>
  <c r="G175" i="48"/>
  <c r="G51" i="48"/>
  <c r="G114" i="48"/>
  <c r="F239" i="48"/>
  <c r="F117" i="48"/>
  <c r="F54" i="48"/>
  <c r="F300" i="48"/>
  <c r="F178" i="48"/>
  <c r="G300" i="48"/>
  <c r="G239" i="48"/>
  <c r="G178" i="48"/>
  <c r="G117" i="48"/>
  <c r="AC41" i="22"/>
  <c r="G54" i="48"/>
  <c r="F303" i="48"/>
  <c r="F181" i="48"/>
  <c r="F120" i="48"/>
  <c r="F57" i="48"/>
  <c r="F242" i="48"/>
  <c r="G303" i="48"/>
  <c r="G242" i="48"/>
  <c r="G181" i="48"/>
  <c r="G57" i="48"/>
  <c r="G120" i="48"/>
  <c r="F245" i="48"/>
  <c r="F123" i="48"/>
  <c r="F60" i="48"/>
  <c r="F306" i="48"/>
  <c r="F184" i="48"/>
  <c r="G306" i="48"/>
  <c r="G245" i="48"/>
  <c r="G184" i="48"/>
  <c r="AC41" i="24"/>
  <c r="G123" i="48"/>
  <c r="G60" i="48"/>
  <c r="F309" i="48"/>
  <c r="F187" i="48"/>
  <c r="F126" i="48"/>
  <c r="F63" i="48"/>
  <c r="F248" i="48"/>
  <c r="G309" i="48"/>
  <c r="G248" i="48"/>
  <c r="G187" i="48"/>
  <c r="AD46" i="26"/>
  <c r="G63" i="48"/>
  <c r="G126" i="48"/>
  <c r="J46" i="30"/>
  <c r="S45" i="30"/>
  <c r="J46" i="31"/>
  <c r="S45" i="31"/>
  <c r="J45" i="27"/>
  <c r="S44" i="27"/>
  <c r="J45" i="28"/>
  <c r="S44" i="28"/>
  <c r="D36" i="7"/>
  <c r="S6" i="11"/>
  <c r="S6" i="13"/>
  <c r="S6" i="15"/>
  <c r="S7" i="16"/>
  <c r="AD44" i="16"/>
  <c r="S45" i="16"/>
  <c r="AD46" i="16"/>
  <c r="AD43" i="17"/>
  <c r="S7" i="18"/>
  <c r="I47" i="18"/>
  <c r="J6" i="21"/>
  <c r="S5" i="21"/>
  <c r="AC41" i="21"/>
  <c r="K7" i="22"/>
  <c r="S7" i="22" s="1"/>
  <c r="S6" i="22"/>
  <c r="J6" i="23"/>
  <c r="S5" i="23"/>
  <c r="AC41" i="23"/>
  <c r="K7" i="24"/>
  <c r="S7" i="24" s="1"/>
  <c r="S6" i="24"/>
  <c r="K7" i="27"/>
  <c r="S7" i="27" s="1"/>
  <c r="S6" i="27"/>
  <c r="K7" i="30"/>
  <c r="S7" i="30" s="1"/>
  <c r="S6" i="30"/>
  <c r="J6" i="31"/>
  <c r="S5" i="31"/>
  <c r="AG42" i="31"/>
  <c r="F196" i="48"/>
  <c r="U148" i="63"/>
  <c r="U15" i="63"/>
  <c r="AA13" i="63"/>
  <c r="AA11" i="63"/>
  <c r="E5" i="62"/>
  <c r="E3" i="62"/>
  <c r="E24" i="52"/>
  <c r="J47" i="51"/>
  <c r="J45" i="51" s="1"/>
  <c r="E5" i="2" s="1"/>
  <c r="J46" i="51"/>
  <c r="M270" i="48"/>
  <c r="M209" i="48"/>
  <c r="M148" i="48"/>
  <c r="AA16" i="63"/>
  <c r="AA15" i="63"/>
  <c r="AA12" i="63"/>
  <c r="J51" i="51"/>
  <c r="F84" i="48"/>
  <c r="F23" i="48"/>
  <c r="E38" i="47"/>
  <c r="E32" i="47"/>
  <c r="E28" i="47"/>
  <c r="E24" i="47"/>
  <c r="E16" i="46"/>
  <c r="G52" i="51"/>
  <c r="G51" i="51"/>
  <c r="H46" i="51"/>
  <c r="H51" i="51"/>
  <c r="G46" i="51"/>
  <c r="J49" i="51"/>
  <c r="J50" i="51"/>
  <c r="H52" i="51"/>
  <c r="J52" i="51"/>
  <c r="D5" i="52"/>
  <c r="U14" i="63"/>
  <c r="F251" i="48"/>
  <c r="F129" i="48"/>
  <c r="F66" i="48"/>
  <c r="G312" i="48"/>
  <c r="G251" i="48"/>
  <c r="G190" i="48"/>
  <c r="AG42" i="30"/>
  <c r="F315" i="48"/>
  <c r="F193" i="48"/>
  <c r="F132" i="48"/>
  <c r="F69" i="48"/>
  <c r="G315" i="48"/>
  <c r="G254" i="48"/>
  <c r="G193" i="48"/>
  <c r="F257" i="48"/>
  <c r="F135" i="48"/>
  <c r="F72" i="48"/>
  <c r="G318" i="48"/>
  <c r="G257" i="48"/>
  <c r="G196" i="48"/>
  <c r="AD46" i="32"/>
  <c r="F321" i="48"/>
  <c r="F199" i="48"/>
  <c r="F138" i="48"/>
  <c r="F75" i="48"/>
  <c r="G321" i="48"/>
  <c r="G260" i="48"/>
  <c r="G199" i="48"/>
  <c r="AC41" i="27"/>
  <c r="F263" i="48"/>
  <c r="F141" i="48"/>
  <c r="F78" i="48"/>
  <c r="G324" i="48"/>
  <c r="G263" i="48"/>
  <c r="G202" i="48"/>
  <c r="F327" i="48"/>
  <c r="F205" i="48"/>
  <c r="F144" i="48"/>
  <c r="F81" i="48"/>
  <c r="G327" i="48"/>
  <c r="G266" i="48"/>
  <c r="G205" i="48"/>
  <c r="AD46" i="29"/>
  <c r="D21" i="7"/>
  <c r="S5" i="27"/>
  <c r="J6" i="28"/>
  <c r="S5" i="28"/>
  <c r="AC41" i="28"/>
  <c r="S5" i="30"/>
  <c r="E70" i="33"/>
  <c r="K70" i="33" s="1"/>
  <c r="F5" i="44"/>
  <c r="E25" i="47"/>
  <c r="E35" i="47"/>
  <c r="G69" i="48"/>
  <c r="G75" i="48"/>
  <c r="G81" i="48"/>
  <c r="M87" i="48"/>
  <c r="G129" i="48"/>
  <c r="G135" i="48"/>
  <c r="G141" i="48"/>
  <c r="F190" i="48"/>
  <c r="F202" i="48"/>
  <c r="F260" i="48"/>
  <c r="F312" i="48"/>
  <c r="F324" i="48"/>
  <c r="E5" i="54"/>
  <c r="E5" i="55"/>
  <c r="E6" i="62"/>
  <c r="E29" i="62"/>
  <c r="E30" i="62"/>
  <c r="E32" i="62"/>
  <c r="D50" i="61"/>
  <c r="D48" i="61"/>
  <c r="D51" i="61"/>
  <c r="F2" i="54"/>
  <c r="F10" i="54"/>
  <c r="K7" i="31" l="1"/>
  <c r="S7" i="31" s="1"/>
  <c r="S6" i="31"/>
  <c r="K7" i="21"/>
  <c r="S7" i="21" s="1"/>
  <c r="S6" i="21"/>
  <c r="G24" i="64"/>
  <c r="L23" i="64"/>
  <c r="K46" i="24"/>
  <c r="S46" i="24" s="1"/>
  <c r="S45" i="24"/>
  <c r="K46" i="23"/>
  <c r="S46" i="23" s="1"/>
  <c r="S45" i="23"/>
  <c r="K46" i="22"/>
  <c r="S46" i="22" s="1"/>
  <c r="S45" i="22"/>
  <c r="K46" i="21"/>
  <c r="S46" i="21" s="1"/>
  <c r="S45" i="21"/>
  <c r="K49" i="15"/>
  <c r="S49" i="15" s="1"/>
  <c r="S48" i="15"/>
  <c r="L56" i="19"/>
  <c r="U56" i="19" s="1"/>
  <c r="U55" i="19"/>
  <c r="K49" i="12"/>
  <c r="S49" i="12" s="1"/>
  <c r="S48" i="12"/>
  <c r="K49" i="11"/>
  <c r="S49" i="11" s="1"/>
  <c r="S48" i="11"/>
  <c r="K7" i="28"/>
  <c r="S7" i="28" s="1"/>
  <c r="S6" i="28"/>
  <c r="D4" i="4"/>
  <c r="B5" i="1"/>
  <c r="K7" i="23"/>
  <c r="S7" i="23" s="1"/>
  <c r="S6" i="23"/>
  <c r="K46" i="28"/>
  <c r="S46" i="28" s="1"/>
  <c r="S45" i="28"/>
  <c r="K46" i="27"/>
  <c r="S46" i="27" s="1"/>
  <c r="S45" i="27"/>
  <c r="K47" i="31"/>
  <c r="S47" i="31" s="1"/>
  <c r="S46" i="31"/>
  <c r="K47" i="30"/>
  <c r="S47" i="30" s="1"/>
  <c r="S46" i="30"/>
  <c r="H31" i="33"/>
  <c r="H136" i="33" s="1"/>
  <c r="I31" i="33"/>
  <c r="I136" i="33" s="1"/>
  <c r="J48" i="13"/>
  <c r="S47" i="13"/>
  <c r="D41" i="7"/>
  <c r="D43" i="7"/>
  <c r="D44" i="7" s="1"/>
  <c r="D45" i="7" s="1"/>
  <c r="D40" i="7"/>
  <c r="J48" i="16"/>
  <c r="I47" i="16"/>
  <c r="K49" i="14"/>
  <c r="S49" i="14" s="1"/>
  <c r="S48" i="14"/>
  <c r="K49" i="13" l="1"/>
  <c r="S49" i="13" s="1"/>
  <c r="S48" i="13"/>
  <c r="K49" i="16"/>
  <c r="S49" i="16" s="1"/>
  <c r="S48" i="16"/>
  <c r="D49" i="7"/>
  <c r="D47" i="7"/>
  <c r="D46" i="7"/>
  <c r="D48" i="7"/>
  <c r="D51" i="7"/>
  <c r="H25" i="64"/>
  <c r="L25" i="64" s="1"/>
  <c r="L24" i="64"/>
</calcChain>
</file>

<file path=xl/comments1.xml><?xml version="1.0" encoding="utf-8"?>
<comments xmlns="http://schemas.openxmlformats.org/spreadsheetml/2006/main">
  <authors>
    <author>Author</author>
  </authors>
  <commentList>
    <comment ref="E37" authorId="0">
      <text>
        <r>
          <rPr>
            <sz val="9"/>
            <color indexed="81"/>
            <rFont val="Arial"/>
            <family val="2"/>
          </rPr>
          <t>ОСН - Общая система налогообложения
УСН - Упрощённая система налогообложения
ЕСХН - Единый сельскохозяйственный налог
ПСН - Патентная система налогообложения
НПД - Налог на профессиональный доход</t>
        </r>
      </text>
    </comment>
  </commentList>
</comments>
</file>

<file path=xl/comments2.xml><?xml version="1.0" encoding="utf-8"?>
<comments xmlns="http://schemas.openxmlformats.org/spreadsheetml/2006/main">
  <authors>
    <author>Author</author>
  </authors>
  <commentList>
    <comment ref="AZ1" authorId="0">
      <text>
        <r>
          <rPr>
            <sz val="9"/>
            <color indexed="81"/>
            <rFont val="Tahoma"/>
            <family val="2"/>
          </rPr>
          <t>Тип организации</t>
        </r>
      </text>
    </comment>
    <comment ref="L6" authorId="0">
      <text>
        <r>
          <rPr>
            <sz val="9"/>
            <color indexed="81"/>
            <rFont val="Tahoma"/>
            <family val="2"/>
          </rPr>
          <t>тут будет больше 0, если выбран хотя бы один метод, отличный от экономически обоснованных</t>
        </r>
      </text>
    </comment>
  </commentList>
</comments>
</file>

<file path=xl/comments3.xml><?xml version="1.0" encoding="utf-8"?>
<comments xmlns="http://schemas.openxmlformats.org/spreadsheetml/2006/main">
  <authors>
    <author>Author</author>
  </authors>
  <commentList>
    <comment ref="P2" authorId="0">
      <text>
        <r>
          <rPr>
            <sz val="9"/>
            <color indexed="81"/>
            <rFont val="Arial"/>
            <family val="2"/>
          </rPr>
          <t>сюда же для некоторых формул может входить:
- VOTV
- HOTVSNA</t>
        </r>
      </text>
    </comment>
    <comment ref="U2" authorId="0">
      <text>
        <r>
          <rPr>
            <sz val="9"/>
            <color indexed="81"/>
            <rFont val="Arial"/>
            <family val="2"/>
          </rPr>
          <t>сюда же для некоторых формул может входить:
- VOTV
- HOTVSNA</t>
        </r>
      </text>
    </comment>
  </commentList>
</comments>
</file>

<file path=xl/sharedStrings.xml><?xml version="1.0" encoding="utf-8"?>
<sst xmlns="http://schemas.openxmlformats.org/spreadsheetml/2006/main" count="19767" uniqueCount="4547">
  <si>
    <t xml:space="preserve"> (требуется обновление)</t>
  </si>
  <si>
    <t>Код отчёта: PP110.OPEN.INFO.QUARTER.HEAT.EIAS</t>
  </si>
  <si>
    <t>Версия отчёта: 1.1.1</t>
  </si>
  <si>
    <t>Условные обозначения</t>
  </si>
  <si>
    <t>A</t>
  </si>
  <si>
    <t xml:space="preserve"> - предназначенные для заполнения</t>
  </si>
  <si>
    <t xml:space="preserve"> - ссылки и автозаполняемые поля</t>
  </si>
  <si>
    <t xml:space="preserve"> - с формулами и константами</t>
  </si>
  <si>
    <t xml:space="preserve"> - обязательные для заполнения</t>
  </si>
  <si>
    <t>Работа с реестрами</t>
  </si>
  <si>
    <t>Если в предложенном Вам списке необходимая организация, территория или объект отсутствуют, обновите списки с помощью элементов управления на листах. Если после обновления Вам не удалось найти необходимую позицию в списке, обратитесь к ответственному за поддержание реестра Вашего региона либо в Отдел сопровождения пользователей ЕИАС.</t>
  </si>
  <si>
    <t>Проверка отчёта</t>
  </si>
  <si>
    <t>• При сохранении отчётной формы осуществляется проверка корректности данных_x000D_
• Для каждого сообщения возможны 2 статуса: ошибка и предупреждение_x000D_
• При наличии сообщений со статусом «Ошибка» файл будет отклонён системой и не будет загружен в хранилище данных, сообщения со статусом «Предупреждение» носят информационный характер, и такой файл будет принят к обработке системой</t>
  </si>
  <si>
    <t>28858492</t>
  </si>
  <si>
    <t>Flag_Row_Size</t>
  </si>
  <si>
    <t>Субъект РФ</t>
  </si>
  <si>
    <t>Нижегородская область</t>
  </si>
  <si>
    <t>Состав раскрываемой информации</t>
  </si>
  <si>
    <t>Привлечение к ответственности за указанный период отсутствует</t>
  </si>
  <si>
    <t>нет</t>
  </si>
  <si>
    <t>PRICE, REQUEST</t>
  </si>
  <si>
    <t>Начало_x000D_
периода регулирования</t>
  </si>
  <si>
    <t/>
  </si>
  <si>
    <t>Как заполнить?</t>
  </si>
  <si>
    <t>Начало периода регулирования</t>
  </si>
  <si>
    <t>Окончание_x000D_
периода регулирования</t>
  </si>
  <si>
    <t>Окончание периода регулирования</t>
  </si>
  <si>
    <t>ORG</t>
  </si>
  <si>
    <t>Дата_x000D_
предоставления информации</t>
  </si>
  <si>
    <t>Дата предоставления информации</t>
  </si>
  <si>
    <t>BALANCE, QUARTER, TERMS</t>
  </si>
  <si>
    <t>Год</t>
  </si>
  <si>
    <t>Отчётный период (год)</t>
  </si>
  <si>
    <t>QUARTER</t>
  </si>
  <si>
    <t>Квартал</t>
  </si>
  <si>
    <t>II квартал</t>
  </si>
  <si>
    <t>Отчётный период (квартал)</t>
  </si>
  <si>
    <t>Тип отчёта</t>
  </si>
  <si>
    <t>первичное раскрытие информации</t>
  </si>
  <si>
    <t>Дата внесения изменений в информацию, подлежащую раскрытию</t>
  </si>
  <si>
    <t>Отображается, если тип отчёта - изменение</t>
  </si>
  <si>
    <t>Данный блок предлагается заполнять из отчётной формы BALANCE.CALC.TARIFF.ххх.хххх</t>
  </si>
  <si>
    <t>Наименование органа регулирования, принявшего решение об утверждении тарифов</t>
  </si>
  <si>
    <t>Источник официального опубликования решения</t>
  </si>
  <si>
    <t>Открывается, если Тип отчёта "изменения в раскрытой ранее информации"</t>
  </si>
  <si>
    <t>Наименование органа регулирования, принявшего решение об изменении тарифов</t>
  </si>
  <si>
    <t>ООО "ЗЕНИТ ЭНЕРГО"</t>
  </si>
  <si>
    <t>Наименование (описание) обособленного подразделения</t>
  </si>
  <si>
    <t>ИНН</t>
  </si>
  <si>
    <t>5262305560</t>
  </si>
  <si>
    <t>КПП</t>
  </si>
  <si>
    <t>526201001</t>
  </si>
  <si>
    <t>Тип теплоснабжающей организации</t>
  </si>
  <si>
    <t>Регулируемая организация</t>
  </si>
  <si>
    <t>Система налогообложения</t>
  </si>
  <si>
    <t>ОСН</t>
  </si>
  <si>
    <t>Отсутствует Интернет в границах территории МО, где организация осуществляет регулируемые виды деятельности</t>
  </si>
  <si>
    <t>Опубликовать индикативный предельный уровень цен на тепловую энергию (мощность)</t>
  </si>
  <si>
    <t>График поэтапного равномерного доведения предельного уровня цены на тепловую энергию (мощность)</t>
  </si>
  <si>
    <r>
      <t xml:space="preserve">Тариф на горячую воду предлагается </t>
    </r>
    <r>
      <rPr>
        <b/>
        <sz val="9"/>
        <rFont val="Tahoma"/>
        <family val="2"/>
        <charset val="204"/>
      </rPr>
      <t>с (!)</t>
    </r>
    <r>
      <rPr>
        <sz val="9"/>
        <rFont val="Tahoma"/>
        <family val="2"/>
        <charset val="204"/>
      </rPr>
      <t xml:space="preserve"> разбивкой по поставщикам</t>
    </r>
  </si>
  <si>
    <r>
      <t xml:space="preserve">Тариф на горячую воду предлагается </t>
    </r>
    <r>
      <rPr>
        <b/>
        <sz val="9"/>
        <rFont val="Tahoma"/>
        <family val="2"/>
        <charset val="204"/>
      </rPr>
      <t>без (!)</t>
    </r>
    <r>
      <rPr>
        <sz val="9"/>
        <rFont val="Tahoma"/>
        <family val="2"/>
        <charset val="204"/>
      </rPr>
      <t xml:space="preserve"> разбивки на компоненты</t>
    </r>
  </si>
  <si>
    <t>Организация осуществляет поставку товаров (оказание услуг) только по нерегулируемым ценам</t>
  </si>
  <si>
    <t>Регулируемая организация осуществляет сдачу годового бухгалтерского баланса в налоговые органы</t>
  </si>
  <si>
    <t>Дата направления годового бухгалтерского баланса в налоговые органы</t>
  </si>
  <si>
    <t>Превышает ли выручка от регулируемой деятельности 80% совокупной выручки за отчетный год</t>
  </si>
  <si>
    <t>Организация выполняет инвестиционную программу</t>
  </si>
  <si>
    <t>да</t>
  </si>
  <si>
    <t>Детализация инвестиционных программ осуществляется</t>
  </si>
  <si>
    <t>Оператор по обращению с твёрдыми коммунальными отходами, осуществляет деятельность по транспортированию твёрдых коммунальных отходов</t>
  </si>
  <si>
    <t>Почтовый адрес регулируемой организации</t>
  </si>
  <si>
    <t>603104, г.Нижний Новгород, ул.Краснозвездная, д.39, корп.1, пом.3, комната 10</t>
  </si>
  <si>
    <t>Фамилия, имя, отчество руководителя</t>
  </si>
  <si>
    <t>Кузовенкова Марина Александровна</t>
  </si>
  <si>
    <t>Ответственный за заполнение формы</t>
  </si>
  <si>
    <t>Фамилия, имя, отчество</t>
  </si>
  <si>
    <t>Липатова Людмила Петровна</t>
  </si>
  <si>
    <t>Должность</t>
  </si>
  <si>
    <t>экономист</t>
  </si>
  <si>
    <t>Контактный телефон</t>
  </si>
  <si>
    <t>8(831)4123800</t>
  </si>
  <si>
    <t>E-mail</t>
  </si>
  <si>
    <t>zenit-energo@mail.ru</t>
  </si>
  <si>
    <t>Flag_Col_Size</t>
  </si>
  <si>
    <t>МР</t>
  </si>
  <si>
    <t>МО</t>
  </si>
  <si>
    <t>ОКТМО</t>
  </si>
  <si>
    <t>Муниципальный район</t>
  </si>
  <si>
    <t>Муниципальное образование</t>
  </si>
  <si>
    <t>№ п/п</t>
  </si>
  <si>
    <t>Наименование</t>
  </si>
  <si>
    <t>3</t>
  </si>
  <si>
    <t>4</t>
  </si>
  <si>
    <t>6</t>
  </si>
  <si>
    <t>7</t>
  </si>
  <si>
    <t>размерженный МР</t>
  </si>
  <si>
    <t>флаг используемости территории на листе Перечень тарифов</t>
  </si>
  <si>
    <t>копия территорий</t>
  </si>
  <si>
    <t>МР (ОКТМО)</t>
  </si>
  <si>
    <t>ter_1</t>
  </si>
  <si>
    <t>48</t>
  </si>
  <si>
    <t>город Нижний Новгород</t>
  </si>
  <si>
    <t>22701000</t>
  </si>
  <si>
    <t>Добавить МО</t>
  </si>
  <si>
    <t>Добавить территорию оказания услуг</t>
  </si>
  <si>
    <t>Добавить территорию действия тарифа</t>
  </si>
  <si>
    <t>Вид деятельности</t>
  </si>
  <si>
    <t>Дифференциация по территориям</t>
  </si>
  <si>
    <t>Дифференциация по централизованным системам</t>
  </si>
  <si>
    <t>да/нет</t>
  </si>
  <si>
    <t>1</t>
  </si>
  <si>
    <t>2</t>
  </si>
  <si>
    <t>5</t>
  </si>
  <si>
    <t>8</t>
  </si>
  <si>
    <t>ID_DIFF</t>
  </si>
  <si>
    <t>VD</t>
  </si>
  <si>
    <t>AREA</t>
  </si>
  <si>
    <t>SYSTEM</t>
  </si>
  <si>
    <t>diff_1</t>
  </si>
  <si>
    <t>4190064; 4190068; 4190070</t>
  </si>
  <si>
    <t>a</t>
  </si>
  <si>
    <t>Добавить централизованную систему</t>
  </si>
  <si>
    <t>Добавить описание территории</t>
  </si>
  <si>
    <t>Добавить вид деятельности</t>
  </si>
  <si>
    <t>Вид тарифа</t>
  </si>
  <si>
    <t>Наименование тарифа</t>
  </si>
  <si>
    <t>Дифференциация по_x000D_
 МО (территориям)</t>
  </si>
  <si>
    <t>Дифференциация по _x000D_
централизованным системам</t>
  </si>
  <si>
    <t>Дифференциация по источникам тепловой энергии</t>
  </si>
  <si>
    <t>Примечание</t>
  </si>
  <si>
    <t>Установлен для организации</t>
  </si>
  <si>
    <t>Описание</t>
  </si>
  <si>
    <t>TER_ID</t>
  </si>
  <si>
    <t>VTAR_ID</t>
  </si>
  <si>
    <t>VD_ID</t>
  </si>
  <si>
    <t>ID_VTAR</t>
  </si>
  <si>
    <t>ID_NTAR</t>
  </si>
  <si>
    <t>ID_TER</t>
  </si>
  <si>
    <t>ID_CS</t>
  </si>
  <si>
    <t>ID_IST_TE</t>
  </si>
  <si>
    <t>ВидТарифа</t>
  </si>
  <si>
    <t>ВидДеятельности</t>
  </si>
  <si>
    <t>НаименованиеТарифа</t>
  </si>
  <si>
    <t>Территория</t>
  </si>
  <si>
    <t>ЦентрализованнаяСистема</t>
  </si>
  <si>
    <t>ИсточникТепловойЭнергии</t>
  </si>
  <si>
    <t>№ п.п НаименованиеТарифа</t>
  </si>
  <si>
    <t>№ п.п Территория</t>
  </si>
  <si>
    <t>№ п.п ЦентрализованнаяСистема</t>
  </si>
  <si>
    <t>№ п.п ИсточникТепловойЭнергии</t>
  </si>
  <si>
    <t>9</t>
  </si>
  <si>
    <t>10</t>
  </si>
  <si>
    <t>11</t>
  </si>
  <si>
    <t>12</t>
  </si>
  <si>
    <t>13</t>
  </si>
  <si>
    <t>14</t>
  </si>
  <si>
    <t>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t>
  </si>
  <si>
    <t>pIns_PT_VTAR_A</t>
  </si>
  <si>
    <t>pt_ntar_1</t>
  </si>
  <si>
    <t>pt_ter_1</t>
  </si>
  <si>
    <t>pt_cs_1</t>
  </si>
  <si>
    <t>pt_ist_te_1</t>
  </si>
  <si>
    <t>pIns_PT_VTAR_B</t>
  </si>
  <si>
    <t>pt_ntar_2</t>
  </si>
  <si>
    <t>pt_ter_2</t>
  </si>
  <si>
    <t>pt_cs_2</t>
  </si>
  <si>
    <t>pt_ist_te_2</t>
  </si>
  <si>
    <t>Тарифы на тепловую энергию (мощность), поставляемую теплоснабжающими организациями потребителям, другим теплоснабжающим организациям</t>
  </si>
  <si>
    <t>Тарифы на теплоноситель, поставляемый теплоснабжающими организациями потребителям, другим теплоснабжающим организациям</t>
  </si>
  <si>
    <t>pIns_PT_VTAR_C</t>
  </si>
  <si>
    <t>pt_ntar_3</t>
  </si>
  <si>
    <t>pt_ter_3</t>
  </si>
  <si>
    <t>pt_cs_3</t>
  </si>
  <si>
    <t>pt_ist_te_3</t>
  </si>
  <si>
    <t>Тарифы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t>
  </si>
  <si>
    <t>pIns_PT_VTAR_D</t>
  </si>
  <si>
    <t>pt_ntar_4</t>
  </si>
  <si>
    <t>pt_ter_4</t>
  </si>
  <si>
    <t>pt_cs_4</t>
  </si>
  <si>
    <t>pt_ist_te_4</t>
  </si>
  <si>
    <t>Тарифы на услуги по передаче тепловой энергии</t>
  </si>
  <si>
    <t>pIns_PT_VTAR_E1</t>
  </si>
  <si>
    <t>pt_ntar_5</t>
  </si>
  <si>
    <t>pt_ter_5</t>
  </si>
  <si>
    <t>pt_cs_5</t>
  </si>
  <si>
    <t>pt_ist_te_5</t>
  </si>
  <si>
    <t>Тарифы на услуги по передаче теплоносителя</t>
  </si>
  <si>
    <t>pIns_PT_VTAR_E2</t>
  </si>
  <si>
    <t>pt_ntar_6</t>
  </si>
  <si>
    <t>pt_ter_6</t>
  </si>
  <si>
    <t>pt_cs_6</t>
  </si>
  <si>
    <t>pt_ist_te_6</t>
  </si>
  <si>
    <t>Плата за услуги по поддержанию резервной тепловой мощности при отсутствии потребления тепловой энергии</t>
  </si>
  <si>
    <t>pIns_PT_VTAR_F</t>
  </si>
  <si>
    <t>pt_ntar_7</t>
  </si>
  <si>
    <t>pt_ter_7</t>
  </si>
  <si>
    <t>pt_cs_7</t>
  </si>
  <si>
    <t>pt_ist_te_7</t>
  </si>
  <si>
    <t>Плата за подключение (технологическое присоединение) к системе теплоснабжения</t>
  </si>
  <si>
    <t>pIns_PT_VTAR_G</t>
  </si>
  <si>
    <t>pt_ntar_8</t>
  </si>
  <si>
    <t>pt_ter_8</t>
  </si>
  <si>
    <t>pt_cs_8</t>
  </si>
  <si>
    <t>pt_ist_te_8</t>
  </si>
  <si>
    <t>Плата за подключение (технологическое присоединение) к системе теплоснабжения (индивидуальная)</t>
  </si>
  <si>
    <t>pIns_PT_VTAR_H</t>
  </si>
  <si>
    <t>pt_ntar_20</t>
  </si>
  <si>
    <t>pt_ter_20</t>
  </si>
  <si>
    <t>pt_cs_20</t>
  </si>
  <si>
    <t>pt_ist_te_20</t>
  </si>
  <si>
    <t>Предельный уровень цены на тепловую энергию (мощность), поставляемую теплоснабжающими организациями потребителям</t>
  </si>
  <si>
    <t>pIns_PT_VTAR_I</t>
  </si>
  <si>
    <t>pt_ntar_21</t>
  </si>
  <si>
    <t>pt_ter_21</t>
  </si>
  <si>
    <t>pt_cs_21</t>
  </si>
  <si>
    <t>pt_ist_te_21</t>
  </si>
  <si>
    <t>Информация о регулируемых ценах (тарифах) на товары (услуги) единой теплоснабжающей организации в ценовых зонах теплоснабжения включает сведения:</t>
  </si>
  <si>
    <t>- о предельном уровне цены на тепловую энергию (мощность), поставляемую потребителям, об индикативном предельном уровне цены на тепловую энергию (мощность) и о графике поэтапного равномерного доведения предельного уровня цены на тепловую энергию (мощность) (при наличии), определяемых в соответствии с Правилами определения в ценовых зонах теплоснабжения предельного уровня цены на тепловую энергию (мощность), включая правила индексации предельного уровня цены на тепловую энергию (мощность), утвержденными ПП РФ от 15 декабря 2017 г. № 1562 "Об определении в ценовых зонах теплоснабжения предельного уровня цены на тепловую энергию (мощность), включая индексацию предельного уровня цены на тепловую энергию (мощность), и технико-экономических параметров работы котельных и тепловых сетей, используемых для расчета предельного уровня цены на тепловую энергию (мощность)";</t>
  </si>
  <si>
    <t>-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23.4 ФЗ "О теплоснабжении";</t>
  </si>
  <si>
    <t>- о тарифах на горячую воду, поставляемую единой теплоснабжающей организацией потребителям с использованием открытых систем теплоснабжения (горячего водоснабжения), установленных в виде формулы двухкомпонентного тарифа с использованием компонента на теплоноситель и компонента на тепловую энергию, в том числе о числовых значениях компонентов указанного тарифа;</t>
  </si>
  <si>
    <t>- о плате за подключение (технологическое присоединение) к системе теплоснабжения, применяемой в случае, установленном частью 9 статьи 23.4 ФЗ "О теплоснабжении".</t>
  </si>
  <si>
    <t>Информация о регулируемых ценах (тарифах) на товары (услуги) теплоснабжающей организации и теплосетевой организации в ценовых зонах теплоснабжения включает сведения:</t>
  </si>
  <si>
    <t>- о тарифах на теплоноситель в виде воды, поставляемый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23.4 ФЗ "О теплоснабжении";</t>
  </si>
  <si>
    <t>- о тарифах на товары (услуги) в сфере теплоснабжения в случаях, указанных в частях 12.1 - 12.4 статьи 10 ФЗ "О теплоснабжении"</t>
  </si>
  <si>
    <t>Тариф на питьевую воду (питьевое водоснабжение)</t>
  </si>
  <si>
    <t>pIns_PT_VTAR_A_COLDVSNA</t>
  </si>
  <si>
    <t>pt_ntar_9</t>
  </si>
  <si>
    <t>pt_ter_9</t>
  </si>
  <si>
    <t>pt_cs_9</t>
  </si>
  <si>
    <t>Тариф на техническую воду</t>
  </si>
  <si>
    <t>pIns_PT_VTAR_B_COLDVSNA</t>
  </si>
  <si>
    <t>pt_ntar_10</t>
  </si>
  <si>
    <t>pt_ter_10</t>
  </si>
  <si>
    <t>pt_cs_10</t>
  </si>
  <si>
    <t>Тариф на транспортировку воды</t>
  </si>
  <si>
    <t>pIns_PT_VTAR_C_COLDVSNA</t>
  </si>
  <si>
    <t>pt_ntar_11</t>
  </si>
  <si>
    <t>pt_ter_11</t>
  </si>
  <si>
    <t>pt_cs_11</t>
  </si>
  <si>
    <t>Тариф на подвоз воды</t>
  </si>
  <si>
    <t>pIns_PT_VTAR_D_COLDVSNA</t>
  </si>
  <si>
    <t>pt_ntar_12</t>
  </si>
  <si>
    <t>pt_ter_12</t>
  </si>
  <si>
    <t>pt_cs_12</t>
  </si>
  <si>
    <t>Тариф на подключение (технологическое присоединение) к централизованной системе холодного водоснабжения</t>
  </si>
  <si>
    <t>pIns_PT_VTAR_E_COLDVSNA</t>
  </si>
  <si>
    <t>pt_ntar_13</t>
  </si>
  <si>
    <t>pt_ter_13</t>
  </si>
  <si>
    <t>pt_cs_13</t>
  </si>
  <si>
    <t>Тариф на горячую воду (горячее водоснабжение)</t>
  </si>
  <si>
    <t>pIns_PT_VTAR_A_HOTVSNA</t>
  </si>
  <si>
    <t>pt_ntar_14</t>
  </si>
  <si>
    <t>pt_ter_14</t>
  </si>
  <si>
    <t>pt_cs_14</t>
  </si>
  <si>
    <t>Тариф на транспортировку горячей воды</t>
  </si>
  <si>
    <t>pIns_PT_VTAR_B_HOTVSNA</t>
  </si>
  <si>
    <t>pt_ntar_15</t>
  </si>
  <si>
    <t>pt_ter_15</t>
  </si>
  <si>
    <t>pt_cs_15</t>
  </si>
  <si>
    <t>Тариф на подключение (технологическое присоединение) к централизованной системе горячего водоснабжения</t>
  </si>
  <si>
    <t>pIns_PT_VTAR_C_HOTVSNA</t>
  </si>
  <si>
    <t>pt_ntar_16</t>
  </si>
  <si>
    <t>pt_ter_16</t>
  </si>
  <si>
    <t>pt_cs_16</t>
  </si>
  <si>
    <t>Тариф на водоотведение</t>
  </si>
  <si>
    <t>pIns_PT_VTAR_A_VOTV</t>
  </si>
  <si>
    <t>pt_ntar_17</t>
  </si>
  <si>
    <t>pt_ter_17</t>
  </si>
  <si>
    <t>pt_cs_17</t>
  </si>
  <si>
    <t>Тариф на транспортировку сточных вод</t>
  </si>
  <si>
    <t>pIns_PT_VTAR_B_VOTV</t>
  </si>
  <si>
    <t>pt_ntar_18</t>
  </si>
  <si>
    <t>pt_ter_18</t>
  </si>
  <si>
    <t>pt_cs_18</t>
  </si>
  <si>
    <t>Тариф на подключение (технологическое присоединение) к централизованной системе водоотведения</t>
  </si>
  <si>
    <t>pIns_PT_VTAR_C_VOTV</t>
  </si>
  <si>
    <t>pt_ntar_19</t>
  </si>
  <si>
    <t>pt_ter_19</t>
  </si>
  <si>
    <t>pt_cs_19</t>
  </si>
  <si>
    <t>fdif</t>
  </si>
  <si>
    <t>fdif_e</t>
  </si>
  <si>
    <t>fdif_1</t>
  </si>
  <si>
    <t>Дифференциация тарифов в области обращения с твердыми коммунальными отходами</t>
  </si>
  <si>
    <t>Дифференциация по технологическим особенностям</t>
  </si>
  <si>
    <t>Дифференциация по территории оказания услуг</t>
  </si>
  <si>
    <t>Дифференциация по виду твердых коммунальных отходов</t>
  </si>
  <si>
    <t>Дифференциация по классу опасности твердых коммунальных отходов</t>
  </si>
  <si>
    <t>Комментарий</t>
  </si>
  <si>
    <t>Дифференциация, да/нет</t>
  </si>
  <si>
    <t>Значение</t>
  </si>
  <si>
    <t>Тарифы</t>
  </si>
  <si>
    <t>Прочие показатели</t>
  </si>
  <si>
    <t>AREA_ID</t>
  </si>
  <si>
    <t>Оказание услуги по обращению с твердыми коммунальными отходами региональным оператором</t>
  </si>
  <si>
    <t>Единый тариф на услугу регионального оператора по обращению с твердыми коммунальными отходами</t>
  </si>
  <si>
    <t>Тариф на обработку твердых коммунальных отходов</t>
  </si>
  <si>
    <t>Тариф на обезвреживание твердых коммунальных отходов</t>
  </si>
  <si>
    <t>Тариф на захоронение твердых коммунальных отходов</t>
  </si>
  <si>
    <t>Тариф на энергетическую утилизацию</t>
  </si>
  <si>
    <t>Фирменное наименование юридического лица (согласно уставу регулируемой организации)</t>
  </si>
  <si>
    <t>Параметры формы</t>
  </si>
  <si>
    <t>Описание параметров формы</t>
  </si>
  <si>
    <t>Наименование параметра</t>
  </si>
  <si>
    <t>Информация</t>
  </si>
  <si>
    <t>Субъект Российской Федерации</t>
  </si>
  <si>
    <t>Указывается наименование субъекта Российской Федерации</t>
  </si>
  <si>
    <t>x</t>
  </si>
  <si>
    <t>2.2</t>
  </si>
  <si>
    <t>идентификационный номер налогоплательщика (ИНН)</t>
  </si>
  <si>
    <t>Указывается идентификационный номер налогоплательщика.</t>
  </si>
  <si>
    <t>2.3</t>
  </si>
  <si>
    <t>код причины постановки на учет (КПП)</t>
  </si>
  <si>
    <t>Указывается код причины постановки на учет (при наличии).</t>
  </si>
  <si>
    <t>5.1</t>
  </si>
  <si>
    <t>Сведения о присвоении статуса единой теплоснабжающей организации:</t>
  </si>
  <si>
    <t>Информация в строках 5.x.1 - 5.x.4 указывается только едиными теплоснабжающими организациями.</t>
  </si>
  <si>
    <t>наименование органа, принявшего решение о присвоении статуса единой теплоснабжающей организации</t>
  </si>
  <si>
    <t>дата решения</t>
  </si>
  <si>
    <t>Дата принятия решения о присвоении статуса единой теплоснабжающей организации указывается в виде «ДД.ММ.ГГГГ».</t>
  </si>
  <si>
    <t>номер решения</t>
  </si>
  <si>
    <t>границы зоны (зон) деятельности</t>
  </si>
  <si>
    <t>Указывается описание зоны (зон) деятельности единой теплоснабжающей организации.</t>
  </si>
  <si>
    <t>Добавить сведения</t>
  </si>
  <si>
    <t>Данные должностного лица, ответственного за размещение данных</t>
  </si>
  <si>
    <t>3.1</t>
  </si>
  <si>
    <t>фамилия, имя и отчество должностного лица</t>
  </si>
  <si>
    <t>3.1.1</t>
  </si>
  <si>
    <t>фамилия должностного лица</t>
  </si>
  <si>
    <t>3.1.2</t>
  </si>
  <si>
    <t>имя должностного лица</t>
  </si>
  <si>
    <t>3.1.3</t>
  </si>
  <si>
    <t>отчество должностного лица</t>
  </si>
  <si>
    <t>3.2</t>
  </si>
  <si>
    <t>должность</t>
  </si>
  <si>
    <t>3.3</t>
  </si>
  <si>
    <t>контактный телефон</t>
  </si>
  <si>
    <t>3.4</t>
  </si>
  <si>
    <t>адрес электронной почты</t>
  </si>
  <si>
    <t>Указывается наименование субъекта Российской Федерации, муниципального района, города, иного населенного пункта, улицы, номер дома, при необходимости указывается корпус, строение, литера или дополнительная территория._x000D_
Данные указываются согласно наименованиям адресных объектов в ФГИС ЕИАС.</t>
  </si>
  <si>
    <t>Добавить контактный телефон</t>
  </si>
  <si>
    <t>Указывается при наличии</t>
  </si>
  <si>
    <t>Режим работы</t>
  </si>
  <si>
    <t>Указывается режим работы регулируемой организации. В случае наличия нескольких режимов работы регулируемой организации, информация по каждому из них указывается в отдельной строке.</t>
  </si>
  <si>
    <t>режим работы абонентских отделов</t>
  </si>
  <si>
    <t>Указывается режим работы абонентских отделов регулируемой организации. В случае наличия нескольких абонентских отделов и (или) режимов работы абонентских отделов, информация по каждому из них указывается в отдельной строке.</t>
  </si>
  <si>
    <t>режим работы сбытовых подразделений</t>
  </si>
  <si>
    <t>Указывается режим работы сбытовых подразделений регулируемой организации. В случае наличия нескольких сбытовых подразделений и (или) режимов работы сбытовых подразделений, информация по каждому из них указывается в отдельной строке.</t>
  </si>
  <si>
    <t>режим работы диспетчерских служб</t>
  </si>
  <si>
    <t>Указывается режим работы диспетчерских служб регулируемой организации. В случае наличия нескольких диспетчерских служб и (или) режимов работы диспетчерских служб, информация по каждому из них указывается в отдельной строке.</t>
  </si>
  <si>
    <t>Добавить режим работы</t>
  </si>
  <si>
    <t>В случае наличия дополнительных режимов работы регулируемой организации (подразделений регулируемой организации) информация по каждому из них указывается в отдельной строке.</t>
  </si>
  <si>
    <t>Наличие или отсутствие утвержденной в установленном порядке инвестиционной программы</t>
  </si>
  <si>
    <t>BLOCK_MAIN_INFO_OBJECT_HEAT</t>
  </si>
  <si>
    <t>BLOCK_MAIN_INFO_OBJECT_VOTV</t>
  </si>
  <si>
    <t>BLOCK_MAIN_INFO_OBJECT_COLDVSNA</t>
  </si>
  <si>
    <t>BLOCK_MAIN_INFO_OBJECT_HOTVSNA</t>
  </si>
  <si>
    <t>D:T</t>
  </si>
  <si>
    <t>Протяженность магистральных сетей (в однотрубном исчислении), км.</t>
  </si>
  <si>
    <t>Протяженность разводящих сетей (в однотрубном исчислении), км.</t>
  </si>
  <si>
    <t>Теплоэлектростанции</t>
  </si>
  <si>
    <t>Тепловые станции</t>
  </si>
  <si>
    <t>Котельные</t>
  </si>
  <si>
    <t>Количество центральных тепловых пунктов, шт.</t>
  </si>
  <si>
    <t>Протяженность канализационных сетей (в однотрубном исчислении), км.</t>
  </si>
  <si>
    <t>Количество насосных станций, шт.</t>
  </si>
  <si>
    <t>Количество очистных сооружений, шт.</t>
  </si>
  <si>
    <t>Протяженность водопроводных сетей (в однотрубном исчислении), км</t>
  </si>
  <si>
    <t>Количество скважин, шт.</t>
  </si>
  <si>
    <t>Количество подкачивающих насосных станций, шт.</t>
  </si>
  <si>
    <t>Протяженность сетей горячего водоснабжения (в однотрубном исчислении), км</t>
  </si>
  <si>
    <t>Количество теплоэлектростанций, шт.</t>
  </si>
  <si>
    <t>Установленная электрическая мощность</t>
  </si>
  <si>
    <t>Единицы изменения</t>
  </si>
  <si>
    <t>Установленная тепловая мощность, Гкал/ч</t>
  </si>
  <si>
    <t>Количество тепловых станций, шт.</t>
  </si>
  <si>
    <t>Количество котельных, шт.</t>
  </si>
  <si>
    <t>0</t>
  </si>
  <si>
    <t>Значения протяженности сетей, показателей в блоках "Теплоэлектростанции", "Тепловые станции", "Котельные" (за исключением колонки "Единицы измерения"), количества центральных тепловых пунктов указываются в виде целых и неотрицательных чисел._x000D_
В случае отсутствия тепловых сетей, теплоэлектростанций, тепловых станций, котельных, центральных тепловых пунктов в соответствующей колонке указывается значение 0._x000D_
В колонке "Единицы измерения" в блоке "Теплоэлектростанции" выбирается одно из значений: кВт*ч или МВт._x000D_
В случае оказания услуг в нескольких системах теплоснабжения информация по каждой из них указывается в отдельной строке.</t>
  </si>
  <si>
    <t>Значения протяженности сетей, количества насосных станций, количества очистных сооружений указываются в виде целых и  неотрицательных чисел._x000D_
В случае отсутствия канализационных сетей, насосных станций, очистных сооружений в соответствующей колонке указывается значение 0._x000D_
В случае осуществления регулируемых видов деятельности в нескольких централизованных системах водоотведения информация по каждой из них указывается в отдельной строке._x000D_
В случае осуществления регулируемых видов деятельности с использованием одной централизованной системы водоотведения на территории нескольких субъектов Российской Федерации значение показателя указывается в целом по данной централизованной системе</t>
  </si>
  <si>
    <t>Значения протяженности сетей, количества скважин, количества подкачивающих насосных станций указываются в виде целых и неотрицательных чисел._x000D_
В случае отсутствия водопроводных сетей, скважин, подкачивающих станций в соответствующей колонке указывается значение 0._x000D_
В случае осуществления регулируемых видов деятельности в нескольких централизованных системах холодного водоснабжения информация по каждой из них указывается в отдельной строке._x000D_
В случае осуществления регулируемых видов деятельности с использованием одной централизованной системы холодного водоснабжения на территории нескольких субъектов Российской Федерации значение показателя указывается в целом по данной централизованной системе.</t>
  </si>
  <si>
    <t>Значения протяженности сетей, количества центральных тепловых пунктов указываются в виде целых и неотрицательных чисел._x000D_
В случае отсутствия водопроводных сетей, центральных тепловых пунктов в соответствующей колонке указывается значение 0._x000D_
В случае осуществления регулируемых видов деятельности в нескольких централизованных системах горячего водоснабжения информация по каждой из них указывается в отдельной строке.</t>
  </si>
  <si>
    <t>n</t>
  </si>
  <si>
    <t>64235586; 64235587</t>
  </si>
  <si>
    <t>Добавить вид объекта</t>
  </si>
  <si>
    <t>Форма 2. Вид деятельности и виды объектов, используемых для оказания услуг в области обращения с твердыми коммунальными отходами, и их количество</t>
  </si>
  <si>
    <t>Вид объекта, используемых для оказания услуг в области обращения с твердыми коммунальными отходами</t>
  </si>
  <si>
    <t>Количество объектов, используемых для оказания услуг в области обращения с твердыми коммунальными отходами, шт.</t>
  </si>
  <si>
    <t>Значение количества объектов, используемых для оказания услуг в области обращения с твердыми коммунальными отходами, указывается в виде целых и неотрицательных чисел._x000D_
В случае отсутствия объектов того или иного вида, используемых для оказания услуг в области обращения с твердыми коммунальными отходами, указывается значение «0»._x000D_
В случае оказания услуг по нескольким видам деятельности информация по каждому из них указывается отдельно._x000D_
В случае наличия нескольких видов объектов, используемых для оказания услуг в области обращения с твердыми коммунальными отходами, информация по каждому из них указывается отдельно.</t>
  </si>
  <si>
    <t>Информация об отсутствии сети "Интернет" &lt;1&gt;</t>
  </si>
  <si>
    <t>Отсутствует доступ к сети "Интернет"</t>
  </si>
  <si>
    <t>Ссылка на документ</t>
  </si>
  <si>
    <t>В случае отсутствия доступа к сети "Интернет" на территории выбранного муниципального образования в колонке "Отсутствует доступ к сети "Интернет" указывается "Да"._x000D_
В колонке "Ссылка на документ" указывается материал в виде ссылки на документ, подтверждающий отсутствие сети "Интернет" на территории выбранного муниципального образования, предварительно загруженный в хранилище данных ФГИС ЕИАС._x000D_
В случае отсутствия доступа к сети "Интернет" на территории нескольких муниципальных районов (муниципальных образований) информация по каждому из них указывается в отдельной строке.</t>
  </si>
  <si>
    <t>Омский муниципальный район</t>
  </si>
  <si>
    <t>Ачаирское сельское поселение</t>
  </si>
  <si>
    <t>52644404</t>
  </si>
  <si>
    <t>Ачаирское сельское поселение (52644404)</t>
  </si>
  <si>
    <t>Указывается наименование тарифа в случае утверждения нескольких тарифов._x000D_
В случае наличия нескольких тарифов информация по ним указывается в отдельных строках.</t>
  </si>
  <si>
    <t>Территория действия тарифа</t>
  </si>
  <si>
    <t>Указывается наименование территории действия тарифа при наличии дифференциации тарифа по территориальному признаку._x000D_
В случае дифференциации тарифов по территориальному признаку информация по ним указывается в отдельных строках.</t>
  </si>
  <si>
    <t xml:space="preserve">Наименование системы теплоснабжения </t>
  </si>
  <si>
    <t>Указывается наименование системы теплоснабжения при наличии дифференциации тарифа по системам теплоснабжения._x000D_
В случае дифференциации тарифов по системам теплоснабжения информация по ним указывается в отдельных строках.</t>
  </si>
  <si>
    <t xml:space="preserve">Источник тепловой энергии  </t>
  </si>
  <si>
    <t>Указывается наименование источника тепловой энергии_x000D_
В случае дифференциации тарифов по источникам тепловой энергии информация по ним указывается в отдельных строках.</t>
  </si>
  <si>
    <t>SCHEME</t>
  </si>
  <si>
    <t>Схема подключения теплопотребляющей установки к коллектору источника тепловой энергии</t>
  </si>
  <si>
    <t>Указывается схема подключения теплопотребляющей установки к коллектору источника тепловой энергии только для тарифов на тепловую энергию и за услуги по поддержанию резервной мощности_x000D_
Значение выбирается из перечня:_x000D_
   - без дифференциации_x000D_
   - к коллектору источника тепловой энергии_x000D_
   - к тепловой сети без дополнительного преобразования на тепловых пунктах, эксплуатируемых теплоснабжающей организацией_x000D_
   - к тепловой сети после тепловых пунктов (на тепловых пунктах), эксплуатируемых теплоснабжающей организацией_x000D_
В случае дифференциации тарифов по схемам подключения теплопотребляющей установки к коллектору источника тепловой энергии информация по ним указывается в отдельных строках.</t>
  </si>
  <si>
    <t>GROUP_CONSUMER</t>
  </si>
  <si>
    <t>Группа потребителей</t>
  </si>
  <si>
    <t>Указывается группа потребителей при наличии дифференциации тарифа по группам потребителей._x000D_
Значение выбирается из перечня:_x000D_
   - организации-перепродавцы;_x000D_
   - бюджетные организации;_x000D_
   - население;_x000D_
   - прочие;_x000D_
   - без дифференциации._x000D_
В случае дифференциации тарифов группам потребителей информация по ним указывается в отдельных строках.</t>
  </si>
  <si>
    <t>TN</t>
  </si>
  <si>
    <t>В колонке «Параметр дифференциации тарифов» указывается вид теплоносителя._x000D_
Значение выбирается из перечня:_x000D_
   - вода;_x000D_
   - пар;_x000D_
   - отборный пар, 1.2 – 2.5 кг/см2;_x000D_
   - отборный пар, 2.5 – 7 кг/см2;_x000D_
   - отборный пар, 7 – 13 кг/см2;_x000D_
   - отборный пар, &gt; 13 кг/см2;_x000D_
   - острый и редуцированный пар;_x000D_
   - горячая вода в системе централизованного теплоснабжения на отопление;_x000D_
   - горячая вода в системе централизованного теплоснабжения на горячее водоснабжение;_x000D_
   - прочее._x000D_
При утверждении двухставочного тарифа колонка «Одноставочный тариф» не заполняется._x000D_
При утверждении одноставочного тарифа колонки в блоке «Двухставочный тариф» не заполняются. Даты начала и окончания действия тарифов указываются в виде «ДД.ММ.ГГГГ»._x000D_
В случае отсутствия даты окончания действия тарифа в колонке «Дата окончания» указывается «нет». Информация в колонке «Ставка за содержание тепловой мощности, тыс. руб./Гкал/ч/мес» указывается только для тарифа по поддержанию резервной мощности._x000D_
В случае дифференциации тарифов по периодам действия тарифа информация по ним указывается в отдельных колонках._x000D_
В случае дифференциации тарифов по видам теплоносителя информация по ним указывается в отдельных строках.</t>
  </si>
  <si>
    <t>Добавить вид теплоносителя (параметры теплоносителя)</t>
  </si>
  <si>
    <t>Добавить группу потребителей</t>
  </si>
  <si>
    <t>Добавить схему подключения</t>
  </si>
  <si>
    <t>Добавить источник для дифференциации</t>
  </si>
  <si>
    <t>Добавить централизованную систему для дифференциации</t>
  </si>
  <si>
    <t>Добавить территорию для дифференциации</t>
  </si>
  <si>
    <t>PERIOD_FROM_FIRST_ROW</t>
  </si>
  <si>
    <t>FLAG_BLOCK_COLUMN</t>
  </si>
  <si>
    <t>SPR</t>
  </si>
  <si>
    <t>FLAG_START_DATE</t>
  </si>
  <si>
    <t>FLAG_ETC_PERIOD</t>
  </si>
  <si>
    <t>FLAG_END_DATE</t>
  </si>
  <si>
    <t>Дата документа об утверждении тарифов</t>
  </si>
  <si>
    <t>Номер документа об утверждении тарифов</t>
  </si>
  <si>
    <t>Дата подачи заявления об утверждении тарифов</t>
  </si>
  <si>
    <t>Номер подачи заявления об утверждении тарифов</t>
  </si>
  <si>
    <t>dp</t>
  </si>
  <si>
    <t>Параметр дифференциации тарифа</t>
  </si>
  <si>
    <t>Величина и срок действия тарифа</t>
  </si>
  <si>
    <t>Наличие других периодов действия тарифа</t>
  </si>
  <si>
    <t>Наличие других сроков действия тарифа</t>
  </si>
  <si>
    <t>Добавить срок действия</t>
  </si>
  <si>
    <t>Одноставочный тариф,_x000D_
руб./Гкал</t>
  </si>
  <si>
    <t>Ставка за содержание тепловой мощности,_x000D_
тыс. руб./Гкал/ч/мес.</t>
  </si>
  <si>
    <t>Двухставочный тариф</t>
  </si>
  <si>
    <t>Срок действия</t>
  </si>
  <si>
    <t>NUM_NTAR</t>
  </si>
  <si>
    <t>NUM_TER</t>
  </si>
  <si>
    <t>NUM_CS</t>
  </si>
  <si>
    <t>NUM_IST_TE</t>
  </si>
  <si>
    <t>NUM_SCHEME</t>
  </si>
  <si>
    <t>NUM_GC</t>
  </si>
  <si>
    <t>NUM_TN</t>
  </si>
  <si>
    <t>ставка за тепловую энергию,_x000D_
руб./Гкал</t>
  </si>
  <si>
    <t>ставка за содержание тепловой мощности,_x000D_
тыс. руб./Гкал/ч/мес</t>
  </si>
  <si>
    <t>дата начала</t>
  </si>
  <si>
    <t>дата окончания</t>
  </si>
  <si>
    <t>Добавить наименование тарифа</t>
  </si>
  <si>
    <t>Период действия</t>
  </si>
  <si>
    <t>Одноставочный тариф,_x000D_
руб./куб.м</t>
  </si>
  <si>
    <t>В колонке «Параметр дифференциации тарифов» указывается вид теплоносителя._x000D_
Значение выбирается из перечня:_x000D_
   - вода;_x000D_
   - пар;_x000D_
   - отборный пар, 1.2 – 2.5 кг/см2;_x000D_
   - отборный пар, 2.5 – 7 кг/см2;_x000D_
   - отборный пар, 7 – 13 кг/см2;_x000D_
   - отборный пар, &gt; 13 кг/см2;_x000D_
   - острый и редуцированный пар;_x000D_
   - горячая вода в системе централизованного теплоснабжения на отопление;_x000D_
   - горячая вода в системе централизованного теплоснабжения на горячее водоснабжение;_x000D_
   - прочее._x000D_
При утверждении двухставочного тарифа тариф колонка "Одноставочный тариф" не заполняется._x000D_
При подаче утверждении одноставочного тарифа колонки в блоке "Двухставочный тариф" не заполняются.Информация в колонке "Двухставочный тариф" не указывается для тарифа на теплоноситель._x000D_
Даты начала и окончания действия тарифов указываются в виде "ДД.ММ.ГГГГ"._x000D_
В случае отсутствия даты окончания действия тарифа в колонке "Дата окончания" указывается "Нет".В случае дифференциации тарифов по видам теплоносителя информация по ним указывается в отдельных строках.</t>
  </si>
  <si>
    <t>Указывается вид теплоносителя. _x000D_
Значение выбирается из перечня:_x000D_
   - вода;_x000D_
   - пар;_x000D_
   - отборный пар, 1.2 – 2.5 кг/см2;_x000D_
   - отборный пар, 2.5 – 7 кг/см2;_x000D_
   - отборный пар, 7 – 13 кг/см2;_x000D_
   - отборный пар, &gt; 13 кг/см2;_x000D_
   - острый и редуцированный пар;_x000D_
   - горячая вода в системе централизованного теплоснабжения на отопление;_x000D_
   - горячая вода в системе централизованного теплоснабжения на горячее водоснабжение;_x000D_
   - прочее._x000D_
В случае дифференциации тарифов по видам теплоносителя информация по ним указывается в отдельных строках.</t>
  </si>
  <si>
    <t>В колонке "Параметр дифференциации тарифов" указывается наименование поставщика в случае наличия дифференциации компонента двухставочного тарифа на горячую воду по поставщикам._x000D_
При утверждении двухставочного тарифа колонка "Одноставочный тариф" не заполняется._x000D_
При утверждении одноставочного тарифа колонки в блоке "Двухставочный тариф" не заполняются._x000D_
В случае отсутствия разбивки тарифа на компоненты колонки "Компонент на теплоноситель, руб./куб. м" и "Одноставочный компонент на тепловую энергию, руб/Гкал" не заполняются._x000D_
Даты начала и окончания действия тарифов указываются в виде "ДД.ММ.ГГГГ"._x000D_
В случае отсутствия даты окончания действия тарифа в колонке "Дата окончания" указывается "Нет"._x000D_
В случае дифференциации тарифов по поставщикам информация по ним указывается в отдельных строках.</t>
  </si>
  <si>
    <t>Добавить наименование поставщика</t>
  </si>
  <si>
    <t>Одноставочный тариф на горячую воду,_x000D_
руб./куб. м</t>
  </si>
  <si>
    <t>Двухкомпонентный тариф на горячую воду</t>
  </si>
  <si>
    <t>Компонент на теплоноситель,_x000D_
руб./куб. м</t>
  </si>
  <si>
    <t>Компонента на тепловую энергию</t>
  </si>
  <si>
    <t>Одноставочный компонент тарифа на тепловую энергию,_x000D_
руб/Гкал</t>
  </si>
  <si>
    <t>Двухставочный компонент тарифа на тепловую энергию</t>
  </si>
  <si>
    <t>NUM_CONS</t>
  </si>
  <si>
    <t>ставка за потребление горячей воды,_x000D_
руб./куб. м</t>
  </si>
  <si>
    <t>ставка за содержание тепловой мощности в компоненте на тепловую энергию,_x000D_
тыс. руб./Гкал/ч в мес.</t>
  </si>
  <si>
    <t>В колонке "Параметр дифференциации тарифа/Заявитель" указывается наименование категории потребителей, к которой относится тариф._x000D_
Даты начала и окончания указываются в виде "ДД.ММ.ГГГГ"._x000D_
В случае отсутствия даты окончания тарифа в колонке "Дата окончания" указывается "Нет"._x000D_
В случае наличия дифференциации по подключаемой нагрузке, диапазону диаметров, типу прокладки тепловых сетей, информация по ним указывается в отдельных строках._x000D_
В случае дифференциации тарифов по периодам действия тарифа информация по ним указывается в отдельных колонках.</t>
  </si>
  <si>
    <t>Добавить диапазон диаметров тепловых сетей</t>
  </si>
  <si>
    <t>Добавить тип прокладки тепловых сетей</t>
  </si>
  <si>
    <t>Добавить подключаемую тепловую нагрузку</t>
  </si>
  <si>
    <t>Добавить строку</t>
  </si>
  <si>
    <t>FLAG</t>
  </si>
  <si>
    <t>LOAD</t>
  </si>
  <si>
    <t>NETS</t>
  </si>
  <si>
    <t>DIAMETERS</t>
  </si>
  <si>
    <t>Параметр дифференциации тарифа/ заявитель/ наименование объекта/адрес</t>
  </si>
  <si>
    <t>Подключаемая тепловая нагрузка,_x000D_
Гкал/ч</t>
  </si>
  <si>
    <t>Тип прокладки тепловых сетей</t>
  </si>
  <si>
    <t>Диаметр тепловых сетей,_x000D_
мм</t>
  </si>
  <si>
    <t>Плата за подключение (технологическое присоединение)</t>
  </si>
  <si>
    <t>с НДС</t>
  </si>
  <si>
    <t>без НДС</t>
  </si>
  <si>
    <t>В колонке "Параметр дифференциации тарифа/заявитель/наименование объекта/адрес" указывается наименование категории потребителей, к которой относится тариф._x000D_
Даты начала и окончания указываются в виде "ДД.ММ.ГГГГ"._x000D_
В случае отсутствия даты окончания тарифа в колонке "Дата окончания" указывается "Нет"._x000D_
В случае наличия дифференциации по подключаемой нагрузке, диапазону диаметров, типу прокладки тепловых сетей, информация по ним указывается в отдельных строках._x000D_
В случае дифференциации тарифов по периодам действия тарифа информация по ним указывается в отдельных колонках.</t>
  </si>
  <si>
    <t>Наименование централизованной системы холодного водоснабжения</t>
  </si>
  <si>
    <t>Указывается наименование централизованной системы холодного водоснабжения при наличии дифференциации тарифа по централизованным системам холодного водоснабжения._x000D_
В случае дифференциации тарифов по централизованным системам холодного водоснабжения информация по ним указывается в отдельных строках.</t>
  </si>
  <si>
    <t>Наименование признака дифференциации</t>
  </si>
  <si>
    <t>Указывается наименование дополнительного признака дифференциации (при наличии)._x000D_
Дифференциация тарифа осуществляется в соответствии с законодательством в сфере водоснабжения и водоотведения._x000D_
В случае дифференциации тарифов по дополнительным признакам информация по ним указывается в отдельных строках.</t>
  </si>
  <si>
    <t>Указывается группа потребителей при наличии дифференциации тарифа по группам потребителей._x000D_
Значение выбирается из перечня:_x000D_
  - Организации-перепродавцы;_x000D_
  - Бюджетные организации;_x000D_
  - Население;_x000D_
  - Прочие;_x000D_
  - Без дифференциации._x000D_
В случае дифференциации тарифов по группам потребителей информация по ним указывается в отдельных строках.</t>
  </si>
  <si>
    <t>Добавить значение признака дифференциации</t>
  </si>
  <si>
    <t>В случае наличия нескольких значений признака дифференциации тарифов информация по ним указывается в отдельных строках._x000D_
В случае дифференциации тарифов по периодам действия тарифа информация по ним указывается в отдельных колонках.</t>
  </si>
  <si>
    <t>Добавить наименование признака дифференциации</t>
  </si>
  <si>
    <t>Одноставочный тариф</t>
  </si>
  <si>
    <t>NUM_FLAG_DIFF</t>
  </si>
  <si>
    <t>NUM_DATA_DIFF</t>
  </si>
  <si>
    <t>Одноставочный тариф,_x000D_
руб./куб. м</t>
  </si>
  <si>
    <t>ставка платы за объем поданной воды,_x000D_
руб./куб. м</t>
  </si>
  <si>
    <t>ставка платы за содержание мощности,_x000D_
руб./куб. м в час</t>
  </si>
  <si>
    <t>pt_ist_te_9</t>
  </si>
  <si>
    <t>pt_ist_te_10</t>
  </si>
  <si>
    <t>pt_ist_te_11</t>
  </si>
  <si>
    <t>pt_ist_te_12</t>
  </si>
  <si>
    <t>Заявитель</t>
  </si>
  <si>
    <t>Наименование объекта, адрес</t>
  </si>
  <si>
    <t>В колонке "Параметр дифференциации тарифа/Заявитель" указывается наименование категории потребителей/заявителя, к которой относится тариф._x000D_
Даты начала и окончания указываются в виде "ДД.ММ.ГГГГ"._x000D_
В случае отсутствия даты окончания тарифа в колонке "Дата окончания" указывается "Нет"._x000D_
В случае дифференциации по категориям потребителей/заявителям, подключаемой нагрузке, диапазону диаметров, протяженности, условиям прокладки водопроводной сети информация по ним указывается в отдельных строках._x000D_
В случае дифференциации тарифов по периодам действия тарифа информация по ним указывается в отдельных колонках.</t>
  </si>
  <si>
    <t>Добавить условия прокладки сетей</t>
  </si>
  <si>
    <t>Добавить протяженность водопроводной сети</t>
  </si>
  <si>
    <t>Добавить диапазон диаметров водопроводной сети</t>
  </si>
  <si>
    <t>Добавить подключаемую нагрузку</t>
  </si>
  <si>
    <t>DIAMETERS_2</t>
  </si>
  <si>
    <t>Параметр дифференциации тарифа/Заявитель/Наименование объекта/Адрес</t>
  </si>
  <si>
    <t>Подключаемая нагрузка водопроводной сети,_x000D_
куб. м/сут</t>
  </si>
  <si>
    <t>Диапазон диаметров водопроводной сети,_x000D_
мм</t>
  </si>
  <si>
    <t>Протяженность водопроводной сети,_x000D_
км</t>
  </si>
  <si>
    <t>Условия прокладки сетей</t>
  </si>
  <si>
    <t>Ставка тарифа за подключаемую нагрузку водопроводной сети,_x000D_
тыс. руб./куб. м в сутки</t>
  </si>
  <si>
    <t>Ставка тарифа за протяженность водопроводной сети диаметром d,_x000D_
тыс. руб./км</t>
  </si>
  <si>
    <t>Срок действия тарифов</t>
  </si>
  <si>
    <t>pt_ist_te_13</t>
  </si>
  <si>
    <t>Наименование централизованной системы водоотведения</t>
  </si>
  <si>
    <t>Указывается наименование централизованной системы водоотведения при наличии дифференциации тарифа по централизованным системам водоотведения._x000D_
В случае дифференциации тарифов по централизованным системам водоотведения информация по ним указывается в отдельных строках.</t>
  </si>
  <si>
    <t>одноставочный тариф,_x000D_
руб./куб. м</t>
  </si>
  <si>
    <t>ставка платы за объем _x000D_
принятых сточных вод,_x000D_
руб./куб. м</t>
  </si>
  <si>
    <t>pt_ist_te_17</t>
  </si>
  <si>
    <t>pt_ist_te_18</t>
  </si>
  <si>
    <t>Добавить протяженность сети</t>
  </si>
  <si>
    <t>Добавить диапазон диаметров</t>
  </si>
  <si>
    <t>Подключаемая нагрузка канализационной сети,_x000D_
куб. м/сут</t>
  </si>
  <si>
    <t>Диапазон диаметров канализационной сети,_x000D_
мм</t>
  </si>
  <si>
    <t>Протяженность канализационной  сети,_x000D_
км</t>
  </si>
  <si>
    <t>Ставка тарифа за подключаемую нагрузку канализационной сети,_x000D_
тыс. руб./куб. м в сутки</t>
  </si>
  <si>
    <t>Ставка тарифа за протяженность канализационной сети диаметром d,_x000D_
тыс. руб./км</t>
  </si>
  <si>
    <t>pt_ist_te_19</t>
  </si>
  <si>
    <t>Наименование централизованной системы горячего водоснабжения</t>
  </si>
  <si>
    <t>Указывается наименование централизованной системы горячего водоснабжения при наличии дифференциации тарифа по централизованным системам горячего водоснабжения._x000D_
В случае дифференциации тарифов по централизованным системам горячего водоснабжения информация по ним указывается в отдельных строках.</t>
  </si>
  <si>
    <t>Одноставочный тариф, руб./куб. м</t>
  </si>
  <si>
    <t>Компонент на холодную воду</t>
  </si>
  <si>
    <t>Компонент на тепловую энергию</t>
  </si>
  <si>
    <t>Одноставочный, руб./куб.м</t>
  </si>
  <si>
    <t>Двухставочный тариф</t>
  </si>
  <si>
    <t>Одноставочный, руб./Гкал</t>
  </si>
  <si>
    <t>Ставка за содержание системы, руб./куб. м в час</t>
  </si>
  <si>
    <t>Ставка за объём поданной воды, руб./куб.м</t>
  </si>
  <si>
    <t>Ставка за тепловую энергию, руб./Гкал</t>
  </si>
  <si>
    <t>Ставка за содержание тепловой мощности, руб./Гкал в час в месяц</t>
  </si>
  <si>
    <t>pt_ist_te_14</t>
  </si>
  <si>
    <t>pt_ist_te_15</t>
  </si>
  <si>
    <t>pt_ist_te_16</t>
  </si>
  <si>
    <t>vt</t>
  </si>
  <si>
    <t>х</t>
  </si>
  <si>
    <t>В колонке «Наименование параметра» указывается вид приобретаемого топлива._x000D_
Если приобретается несколько видов топлива, то информация по каждому из них указывается отдельно.</t>
  </si>
  <si>
    <t>общая стоимость</t>
  </si>
  <si>
    <t>объём</t>
  </si>
  <si>
    <t>В колонке «Единица измерения» указываются единицы измерения объема приобретаемого топлива._x000D_
В колонке «Информация» указывается величина объема приобретаемого топлива.</t>
  </si>
  <si>
    <t>стоимость за единицу объёма</t>
  </si>
  <si>
    <t>тыс. руб.</t>
  </si>
  <si>
    <t>стоимость доставки</t>
  </si>
  <si>
    <t>способ приобретения</t>
  </si>
  <si>
    <t>Указываются прочие расходы, которые подлежат отнесению на регулируемые виды деятельности в соответствии с законодательством.</t>
  </si>
  <si>
    <t>Гкал/ч</t>
  </si>
  <si>
    <t>Указывается установленная тепловая мощность для источника тепловой энергии.</t>
  </si>
  <si>
    <t>%</t>
  </si>
  <si>
    <t>Указывается показатель использования по производственному объекту как процент объем перекачки по отношению к пиковому дню отчетного года.</t>
  </si>
  <si>
    <t>кг у. т./Гкал</t>
  </si>
  <si>
    <t>Указывается норматив удельного расхода условного топлива при производстве тепловой энергии источниками тепловой энергии для отдельного источника тепловой энергии.</t>
  </si>
  <si>
    <t>кг усл. топл./Гкал</t>
  </si>
  <si>
    <t>Указывается фактический удельный расход условного топлива при производстве тепловой энергии источниками тепловой энергии для отдельного источника тепловой энергии.</t>
  </si>
  <si>
    <t>Территория оказания услуг</t>
  </si>
  <si>
    <t>Централизованная система</t>
  </si>
  <si>
    <t>Единица измерения</t>
  </si>
  <si>
    <t>p</t>
  </si>
  <si>
    <t>HEAT_P1</t>
  </si>
  <si>
    <t>Добавить вид топлива</t>
  </si>
  <si>
    <t>HOTVSNA_P1</t>
  </si>
  <si>
    <t>руб.</t>
  </si>
  <si>
    <t>тыс. кВт·ч</t>
  </si>
  <si>
    <t>HEAT_P6</t>
  </si>
  <si>
    <t>NOT_HOTVSNA</t>
  </si>
  <si>
    <t>отсутствует</t>
  </si>
  <si>
    <t>NOT_HEAT_P1</t>
  </si>
  <si>
    <t>Добавить прочие расходы</t>
  </si>
  <si>
    <t>HEAT_P2</t>
  </si>
  <si>
    <t>NOT_HEAT_P2</t>
  </si>
  <si>
    <t>COLDVSNA_P1</t>
  </si>
  <si>
    <t>тыс. куб. м</t>
  </si>
  <si>
    <t>HOTVSNA_P2</t>
  </si>
  <si>
    <t>тыс. Гкал</t>
  </si>
  <si>
    <t>VOTV_P1</t>
  </si>
  <si>
    <t>HEAT_P3</t>
  </si>
  <si>
    <t>Добавить источник тепловой энергии</t>
  </si>
  <si>
    <t>В случае наличия нескольких источников тепловой энергии установленная тепловая мощность по каждому из них указывается в отдельных строках.</t>
  </si>
  <si>
    <t>hyp</t>
  </si>
  <si>
    <t>тыс. Гкал/год</t>
  </si>
  <si>
    <t>человек</t>
  </si>
  <si>
    <t>HEAT_P4</t>
  </si>
  <si>
    <t>VSNA</t>
  </si>
  <si>
    <t>тыс. кВт·ч на тыс. куб. м</t>
  </si>
  <si>
    <t>COLDVSNA_P2</t>
  </si>
  <si>
    <t>Добавить производственный объект</t>
  </si>
  <si>
    <t>В случае наличия нескольких производственных объектов информация по каждому из них указывается в отдельной строке.</t>
  </si>
  <si>
    <t>HEAT_P5</t>
  </si>
  <si>
    <t>В случае наличия нескольких источников тепловой энергии норматив удельного расхода условного топлива по каждому из них указывается в отдельных строках.</t>
  </si>
  <si>
    <t>В случае наличия нескольких источников тепловой энергии фактический удельный расход условного топлива по каждому из них указывается в отдельных строках.</t>
  </si>
  <si>
    <t>тыс. кВт.ч/Гкал</t>
  </si>
  <si>
    <t>куб.м/Гкал</t>
  </si>
  <si>
    <t>Способ приобретения</t>
  </si>
  <si>
    <t>Реквизиты договора</t>
  </si>
  <si>
    <t>Наименование товара/услуги</t>
  </si>
  <si>
    <t>Объем приобретенных товаров, услуг</t>
  </si>
  <si>
    <t>Единица измерения объема</t>
  </si>
  <si>
    <t>Стоимость, тыс. руб.</t>
  </si>
  <si>
    <t>Доля расходов, % (от суммы расходов по указанной статье)</t>
  </si>
  <si>
    <t>NOTSHOW</t>
  </si>
  <si>
    <t>Информация об объемах товаров и услуг, их стоимости и способах приобретения у организаций, в том числе:</t>
  </si>
  <si>
    <t>Указывается сумма стоимости приобретения товаров и услуг у организаций, сумма оплаты услуг которых превышает 20% суммы расходов на капитальный и текущий ремонт основных производственных средства</t>
  </si>
  <si>
    <t>i</t>
  </si>
  <si>
    <t>Расходы на услуги производственного характера, выполняемые по договорам с организациями на проведение регламентных работ в рамках технологического процесса. Из них товары и услуги, приобретенные у организаций, сумма оплаты услуг которых превышает 20% суммы расходов по статье:</t>
  </si>
  <si>
    <t>Указывается сумма стоимости приобретения товаров и услуг у организаций, сумма оплаты услуг которых превышает 20% суммы расходов на услуги производственного характера</t>
  </si>
  <si>
    <t>L.HEAT.POWER.DYN</t>
  </si>
  <si>
    <t>Установленная тепловая мощность объекта основных фондов</t>
  </si>
  <si>
    <t>ЧСЛ</t>
  </si>
  <si>
    <t>НОМЕР</t>
  </si>
  <si>
    <t>Форма 9. Информация об основных технико-экономических параметрах деятельности единой теплоснабжающей организации в ценовых зонах теплоснабжения, об основных технико-экономических параметрах деятельности теплоснабжающей организации в ценовых зонах теплоснабжения и теплосетевой организации в ценовых зонах теплоснабжения</t>
  </si>
  <si>
    <t>ВЭД</t>
  </si>
  <si>
    <t>РАЙОН</t>
  </si>
  <si>
    <t>НМОБ</t>
  </si>
  <si>
    <t>НОМЕР2</t>
  </si>
  <si>
    <t>ДЕТ</t>
  </si>
  <si>
    <t>L.ACC.STATEMENTS</t>
  </si>
  <si>
    <t>Годовая бухгалтерская (финансовая) отчетность</t>
  </si>
  <si>
    <t>СТР</t>
  </si>
  <si>
    <t>Не определено</t>
  </si>
  <si>
    <t>Годовая бухгалтерская (финансовая) отчетность, включая бухгалтерский баланс и приложения к нему</t>
  </si>
  <si>
    <t>p3</t>
  </si>
  <si>
    <t>Указывается ссылка на документ, предварительно загруженный в хранилище файлов ФГИС ЕИАС.</t>
  </si>
  <si>
    <t>L.HEAT.POWER</t>
  </si>
  <si>
    <t>Установленная тепловая мощность объектов основных фондов</t>
  </si>
  <si>
    <t>Установленная тепловая мощность объектов основных фондов, используемых для теплоснабжения, в том числе по каждому источнику тепловой энергии</t>
  </si>
  <si>
    <t>Указывается суммарная установленная тепловая мощность объектов основных фондов, используемых для осуществления теплоснабжения.</t>
  </si>
  <si>
    <t>2.0</t>
  </si>
  <si>
    <t>L.HEAT.LOAD</t>
  </si>
  <si>
    <t>Тепловая нагрузка по договорам теплоснабжения</t>
  </si>
  <si>
    <t>Информация раскрывается только единой теплоснабжающей организацией в ценовых зонах теплоснабжения.</t>
  </si>
  <si>
    <t>L.VOLUME.ENERGY.PRODUCED</t>
  </si>
  <si>
    <t>Объем вырабатываемой тепловой энергии</t>
  </si>
  <si>
    <t>Объем вырабатываемой единой теплоснабжающей организацией в ценовых зонах теплоснабжения тепловой энергии, теплоснабжающей организацией в ценовых зонах теплоснабжения и передаваемой теплосетевой организацией в ценовых зонах теплоснабжения тепловой энергии</t>
  </si>
  <si>
    <t>L.VOLUME.ENERGY.PURCHASED</t>
  </si>
  <si>
    <t>Объем приобретаемой тепловой энергии</t>
  </si>
  <si>
    <t>Объем приобретаемой единой теплоснабжающей организацией в ценовых зонах теплоснабжения тепловой энергии</t>
  </si>
  <si>
    <t>L.VOLUME.ENERGY.RELEASED</t>
  </si>
  <si>
    <t>Объем тепловой энергии, отпускаемой потребителям по договорам</t>
  </si>
  <si>
    <t xml:space="preserve">Объем тепловой энергии, отпускаемой потребителям по договорам, заключенным в рамках осуществления регулируемых видов деятельности, определенном в том числе: </t>
  </si>
  <si>
    <t>Указывается общий объем тепловой энергии, отпускаемой потребителям._x000D_
Указывается информация, включая отдельно сведения об определенном по приборам учета объеме тепловой энергии, отпускаемой потребителям по договорам, максимальный объем потребления тепловой энергии объектов которых составляет менее чем 0,2 Гкал/ч.</t>
  </si>
  <si>
    <t>L.RELEASED.BY.PU</t>
  </si>
  <si>
    <t xml:space="preserve">Объем тепловой энергии по приборам учета </t>
  </si>
  <si>
    <t>6.1</t>
  </si>
  <si>
    <t xml:space="preserve">по приборам учета </t>
  </si>
  <si>
    <t>L.RELEASED.BY.CALC</t>
  </si>
  <si>
    <t xml:space="preserve">Объем тепловой энергии расчетным путем </t>
  </si>
  <si>
    <t>6.2</t>
  </si>
  <si>
    <t xml:space="preserve">расчетным путем </t>
  </si>
  <si>
    <t>L.RELEASED.BY.NORMATIVE</t>
  </si>
  <si>
    <t>Объем тепловой энергии по нормативам потребления</t>
  </si>
  <si>
    <t>6.3</t>
  </si>
  <si>
    <t>по нормативам потребления коммунальных услуг и нормативам потребления коммунальных ресурсов</t>
  </si>
  <si>
    <t>L.VOLUME.LOSSES.PLAN</t>
  </si>
  <si>
    <t>Плановый объем потерь при передаче тепловой энергии</t>
  </si>
  <si>
    <t xml:space="preserve">тыс. Гкал/год </t>
  </si>
  <si>
    <t>L.VOLUME.LOSSES.FACT</t>
  </si>
  <si>
    <t>Фактический объем потерь при передаче тепловой энергии</t>
  </si>
  <si>
    <t>L.UNIT.COST.PLAN</t>
  </si>
  <si>
    <t>Плановый удельный расход условного топлива при производстве тепловой энергии</t>
  </si>
  <si>
    <t xml:space="preserve">Плановый удельный расход условного топлива при производстве тепловой энергии источниками тепловой энергии с распределением по источникам тепловой энергии </t>
  </si>
  <si>
    <t>L.UNIT.COST.FACT</t>
  </si>
  <si>
    <t>Фактический удельный расход условного топлива при производстве тепловой энергии</t>
  </si>
  <si>
    <t xml:space="preserve">Фактический удельный расход условного топлива при производстве тепловой энергии источниками тепловой энергии с распределением по источникам тепловой энергии </t>
  </si>
  <si>
    <t>L.PRODUCTION.STAFF</t>
  </si>
  <si>
    <t>Среднесписочная численность основного производственного персонала</t>
  </si>
  <si>
    <t>L.ADMINISTRATIVE STAFF</t>
  </si>
  <si>
    <t>Среднесписочная численность административно-управленческого персонала</t>
  </si>
  <si>
    <t>L.UNIT.COST.EE</t>
  </si>
  <si>
    <t>Удельный расход электрической энергии</t>
  </si>
  <si>
    <t xml:space="preserve">Удельный расход электрической энергии на производство (передачу) тепловой энергии на единицу тепловой энергии, отпускаемой потребителям по договорам, заключенным в рамках осуществления регулируемых видов деятельности </t>
  </si>
  <si>
    <t>L.UNIT.COST.COLD.WATER</t>
  </si>
  <si>
    <t>Удельный расход холодной воды</t>
  </si>
  <si>
    <t xml:space="preserve">Удельный расход холодной воды на производство (передачу) тепловой энергии на единицу тепловой энергии, отпускаемой потребителям по договорам, заключенным в рамках осуществления регулируемых видов деятельности </t>
  </si>
  <si>
    <t>куб. м/Гкал</t>
  </si>
  <si>
    <t>L.CONDITION.INFO</t>
  </si>
  <si>
    <t>Информация о показателях технико-экономического состояния систем теплоснабжения</t>
  </si>
  <si>
    <t>Информация о показателях технико-экономического состояния систем теплоснабжения (за исключением теплопотребляющих установок потребителей тепловой энергии, теплоносителя, а также источников тепловой энергии, функционирующих в режиме комбинированной выработки электрической и тепловой энергии), в т.ч. информация о показателях физического износа объектов теплоснабжения, информация о показателях энергетической эффективности объектов теплоснабжения</t>
  </si>
  <si>
    <t>L.STANDARDS.OTHER</t>
  </si>
  <si>
    <t>Прочие стандарты</t>
  </si>
  <si>
    <t>×</t>
  </si>
  <si>
    <t>Форма 10. Информация о стандартах качества обслуживания единой теплоснабжающей организацией в ценовых зонах теплоснабжения потре-бителей тепловой энергии и стандартах взаимодействия единой теплоснабжающей организации в ценовых зонах теплоснабжения с теплоснабжающими организациями в ценовых зонах теплоснабжения, владеющими на праве собственности и (или) ином законном основании источниками тепловой энергии, о выполнении соглашения об исполнении схемы теплоснабжения</t>
  </si>
  <si>
    <t xml:space="preserve">L.STANDARDS.SERVICE.QUALITY </t>
  </si>
  <si>
    <t>Стандарты качества обслуживания</t>
  </si>
  <si>
    <t>Стандарты качества обслуживания единой теплоснабжающей организацией в ценовых зонах теплоснабжения потребителей тепловой энергии</t>
  </si>
  <si>
    <t>Информация включает сведения о месте их опубликования.</t>
  </si>
  <si>
    <t>L.STANDARDS.INTERACTION</t>
  </si>
  <si>
    <t>Стандарты взаимодействия</t>
  </si>
  <si>
    <t>Стандарты взаимодействия единой теплоснабжающей организации в ценовых зонах теплоснабжения с теплоснабжающими организациями в ценовых зонах теплоснабжения, владеющими на праве собственности и (или) ином законном основании источниками тепловой энергии</t>
  </si>
  <si>
    <t>L.STANDARDS.AGREEMENT</t>
  </si>
  <si>
    <t>Информация о выполнении соглашения</t>
  </si>
  <si>
    <t>Информация о выполнении соглашения об исполнении схемы теплоснабжения</t>
  </si>
  <si>
    <t>Информация включает сведения о достижении целевых показателей испол-нения схемы теплоснабжения единой теплоснабжающей организацией в це-новых зонах теплоснабжения и выполнении сторонами соглашения обяза-тельств, включенных в указанное соглашение в соответствии с Федеральным законом от 27 июля 2010 г. № 190-ФЗ «О теплоснабжении».</t>
  </si>
  <si>
    <t>Добавить стандарты</t>
  </si>
  <si>
    <t>Указываются прочие расходы, которые подлежат отнесению на регулируемые виды деятельности в соответствии с законодательством в области обращения с твёрдыми коммунальными отходами.</t>
  </si>
  <si>
    <t>Форма 5. Информация об основных показателях финансово-хозяйственной деятельности организации в части регулируемых видов деятельности за отчётный год</t>
  </si>
  <si>
    <t>Выручка от регулируемого вида деятельности</t>
  </si>
  <si>
    <t xml:space="preserve">Указывается выручка от регулируемого вида деятельности </t>
  </si>
  <si>
    <t>Себестоимость оказываемых услуг по обращению с твёрдыми коммунальными отходами по регулируемому виду деятельности, включая:</t>
  </si>
  <si>
    <t xml:space="preserve">Указывается суммарная себестоимость </t>
  </si>
  <si>
    <t>2.1</t>
  </si>
  <si>
    <t>производственные расходы, в том числе:</t>
  </si>
  <si>
    <t>Указывается общая сумма производственных расходов.</t>
  </si>
  <si>
    <t>2.1.1</t>
  </si>
  <si>
    <t>расходы на оплату труда основного производственного персонала</t>
  </si>
  <si>
    <t>Указывается общая сумма расходов на оплату труда и страховых взносов производственного персонала.</t>
  </si>
  <si>
    <t>2.1.2</t>
  </si>
  <si>
    <t>страховые взносы на обязательное социальное страхование, выплачиваемые из фонда оплаты труда основного производственного персонала</t>
  </si>
  <si>
    <t>ремонтные расходы, включая:</t>
  </si>
  <si>
    <t>Указывается общая сумма ремонтных расходов</t>
  </si>
  <si>
    <t>2.2.1</t>
  </si>
  <si>
    <t>расходы на текущий ремонт</t>
  </si>
  <si>
    <t>2.2.2</t>
  </si>
  <si>
    <t>расходы на капитальный ремонт</t>
  </si>
  <si>
    <t>административные расходы, в том числе:</t>
  </si>
  <si>
    <t>Указывается общая сумма расходов на оплату труда и страховых взносов административно-управленческого персонала</t>
  </si>
  <si>
    <t>2.3.1</t>
  </si>
  <si>
    <t>расходы на оплату труда</t>
  </si>
  <si>
    <t>2.3.2</t>
  </si>
  <si>
    <t xml:space="preserve">страховые взносы на обязательное социальное страхование, выплачиваемые из фонда оплаты труда административно-управленческого персонала </t>
  </si>
  <si>
    <t>2.4</t>
  </si>
  <si>
    <t>расходы на амортизацию основных средств и нематериальных активов:</t>
  </si>
  <si>
    <t>Указывается общая сумма расходов на амортизацию основных средства и нематериальных активов</t>
  </si>
  <si>
    <t>2.4.1</t>
  </si>
  <si>
    <t>расходы на амортизацию основных средств</t>
  </si>
  <si>
    <t>2.4.2</t>
  </si>
  <si>
    <t>расходы на амортизацию нематериальных активов</t>
  </si>
  <si>
    <t>2.5</t>
  </si>
  <si>
    <t>расходы на арендную плату</t>
  </si>
  <si>
    <t>2.6</t>
  </si>
  <si>
    <t>расходы на лизинговые платежи</t>
  </si>
  <si>
    <t>2.7</t>
  </si>
  <si>
    <t xml:space="preserve"> расходы на концессионную плату</t>
  </si>
  <si>
    <t>2.8</t>
  </si>
  <si>
    <t>прочие расходы, которые подлежат отнесению на регулируемые виды деятельности, в том числе:</t>
  </si>
  <si>
    <t>Указывается общая сумма прочих расходов, которые подлежат отнесению на регулируемые виды деятельности в соответствии с законодательством в области обращения с твёрдыми коммунальными отходами.</t>
  </si>
  <si>
    <t>В случае наличия нескольких видов прочих расходов информация указывается в отдельных строках.</t>
  </si>
  <si>
    <t>2.9</t>
  </si>
  <si>
    <t>расходы на транспортирование твёрдых коммунальных отходов</t>
  </si>
  <si>
    <t>Указывается сумма расходов на оплату выполняемых сторонними организациями услуг, связанных с осуществлением деятельности по транспортированию твёрдых коммунальных отходов в соответствии с договорами, заключенными региональным оператором с операторами, осуществляющими транспортирование твёрдых коммунальных отходов, при самостоятельном транспортировании твёрдых коммунальных отходов региональным оператором (при их наличии).</t>
  </si>
  <si>
    <t>Чистая прибыль с разбивкой по регулируемым видам деятельности, в том числе:</t>
  </si>
  <si>
    <t>Указывается общая сумма чистой прибыли, полученной от регулируемого вида деятельности.</t>
  </si>
  <si>
    <t>размер расходования чистой прибыли на финансирование мероприятий, предусмотренных инвестиционной программой</t>
  </si>
  <si>
    <t>Изменение стоимости основных фондов, в том числе:</t>
  </si>
  <si>
    <t>Указывается общее изменение стоимости основных фондов.</t>
  </si>
  <si>
    <t>4.1</t>
  </si>
  <si>
    <t>изменение стоимости основных фондов за счет их ввода в эксплуатацию (вывода из эксплуатации)</t>
  </si>
  <si>
    <t>Указываются общее изменение стоимости основных фондов за счет их ввода в эксплуатацию (вывода из эксплуатации).</t>
  </si>
  <si>
    <t>4.1.1</t>
  </si>
  <si>
    <t>изменение стоимости основных фондов за счет их ввода в эксплуатацию</t>
  </si>
  <si>
    <t>Указываются изменение стоимости основных фондов за счет их ввода в эксплуатацию.</t>
  </si>
  <si>
    <t>4.1.2</t>
  </si>
  <si>
    <t>изменение стоимости основных фондов за счет их вывода в эксплуатацию</t>
  </si>
  <si>
    <t>Указываются изменение стоимости основных фондов за счет их вывода из эксплуатации.</t>
  </si>
  <si>
    <t>4.1.3</t>
  </si>
  <si>
    <t>изменение стоимости основных фондов за счет их переоценки</t>
  </si>
  <si>
    <t>Указываются изменение стоимости основных фондов за счет их переоценки.</t>
  </si>
  <si>
    <t>-</t>
  </si>
  <si>
    <t>Указывается ссылка на документ, предварительно загруженный в хранилище файлов ФГИС ЕИАС._x000D_
Раскрывается организацией, выручка от регулируемых видов деятельности которой превышает 80 процентов совокупной выручки за отчетный год.</t>
  </si>
  <si>
    <t>Объём принятых твёрдых коммунальных отходов</t>
  </si>
  <si>
    <t>тыс. куб. м_x000D_
в год</t>
  </si>
  <si>
    <t>Указание объема принятых твёрдых коммунальных отходов необязательно при указании массы принятых твёрдых коммунальных отходов.</t>
  </si>
  <si>
    <t>Масса принятых твёрдых коммунальных отходов</t>
  </si>
  <si>
    <t>тонн в год</t>
  </si>
  <si>
    <t>Указание массы принятых твёрдых коммунальных отходов необязательно при указании объёма принятых твёрдых коммунальных отходов.</t>
  </si>
  <si>
    <t>Среднесписочная численность основного персонала</t>
  </si>
  <si>
    <t>Форма 6. Информация об основных показателях финансово-хозяйственной деятельности организации в отношении деятельности по транспортированию твердых коммунальных отходов за отчетный год</t>
  </si>
  <si>
    <t>Выручка от деятельности</t>
  </si>
  <si>
    <t>Указывается выручка от деятельности</t>
  </si>
  <si>
    <t>Себестоимость оказываемых услуг по регулируемому виду деятельности, включая:</t>
  </si>
  <si>
    <t>Указывается суммарная себестоимость</t>
  </si>
  <si>
    <t>расходы на оплату труда и страховые взносы на обязательное социальное страхование, выплачиваемые из фонда оплаты труда</t>
  </si>
  <si>
    <t>Указывается общая сумма расходов на оплату труда и страховых взносов</t>
  </si>
  <si>
    <t xml:space="preserve">расходы на оплату труда </t>
  </si>
  <si>
    <t xml:space="preserve">страховые взносы на обязательное социальное страхование, выплачиваемые из фонда оплаты труда </t>
  </si>
  <si>
    <t>расходы на топливо и горюче-смазочные материалы для транспортных средств, используемых для транспортирования твёрдых коммунальных отходов</t>
  </si>
  <si>
    <t>расходы на сырье и материалы для текущего технического обслуживания транспортных средств, используемых для транспортирования твёрдых коммунальных отходов</t>
  </si>
  <si>
    <t>ремонтные расходы и расходы на техническое обслуживание в отношении транспортных средств, используемых для транспортирования твёрдых коммунальных отходов (за исключением расходов, указанных в пункте 2.3 данной формы)</t>
  </si>
  <si>
    <t>расходы на амортизацию транспортных средств, используемых для транспортирования твёрдых коммунальных отходов</t>
  </si>
  <si>
    <t>расходы на арендную плату и лизинговые платежи в отношении транспортных средств, используемых для транспортирования твёрдых коммунальных отходов</t>
  </si>
  <si>
    <t>административные расходы (за исключением расходов, предусмотренных пунктами 2.1 и 2.8 данной формы)</t>
  </si>
  <si>
    <t>расходы, связанные с оплатой налогов, сборов и других обязательных платежей (в том числе с обязательным страхованием гражданской ответственности владельцев транспортных средств, оснащением и обеспечением функционирования аппаратуры спутниковой навигации ГЛОНАСС или ГЛОНАСС/GPS)</t>
  </si>
  <si>
    <t>прочие расходы</t>
  </si>
  <si>
    <t>Чистая прибыль в отношении деятельности по транспортированию твёрдых коммунальных отходов</t>
  </si>
  <si>
    <t>Изменение стоимости основных фондов (транспортных средств, используемых для транспортирования твёрдых коммунальных отходов), в том числе:</t>
  </si>
  <si>
    <t>Указывается общее изменение стоимости основных фондов за счет их ввода в эксплуатацию (вывода из эксплуатации), переоценки.</t>
  </si>
  <si>
    <t>Указывается изменение стоимости основных фондов за счет их ввода в эксплуатацию.</t>
  </si>
  <si>
    <t>4.2</t>
  </si>
  <si>
    <t>изменение стоимости основных фондов за счет их вывода из эксплуатации</t>
  </si>
  <si>
    <t>Указывается изменение стоимости основных фондов за счет их вывода из эксплуатации.</t>
  </si>
  <si>
    <t>4.3</t>
  </si>
  <si>
    <t>Указывается изменение стоимости основных фондов за счет их переоценки.</t>
  </si>
  <si>
    <t>Указывается ссылка на документ, предварительно загруженный в хранилище файлов ФГИС ЕИАС._x000D_
Раскрывается организацией, выручка от деятельности по транспортированию твёрдых коммунальных отходов которой превышает 80 процентов совокупной выручки за отчетный год.</t>
  </si>
  <si>
    <t>Объём принятых для транспортирования твёрдых коммунальных отходов</t>
  </si>
  <si>
    <t>Масса принятых для транспортирования твёрдых коммунальных отходов</t>
  </si>
  <si>
    <t>&lt;1&gt;</t>
  </si>
  <si>
    <t>В 2023 году операторы по обращению с твёрдыми коммунальными отходами, осуществляющие деятельность по транспортированию твёрдых коммунальных отходов, раскрывают в данной форме информацию, сформированную на дату раскрытия информации.</t>
  </si>
  <si>
    <t>В случае, если оператор по обращению с твёрдыми коммунальными отходами, осуществляющий деятельность по транспортированию твёрдых коммунальных отходов, обеспечивает транспортирование твёрдых коммунальных отходов в разных зонах деятельности регионального оператора, на разных территориях в пределах одной зоны деятельности регионального оператора, то информация раскрывается по каждой зоне деятельности регионального оператора, по каждой территории в пределах зоны деятельности регионального оператора.</t>
  </si>
  <si>
    <t>Информация, подлежащая раскрытию</t>
  </si>
  <si>
    <t>HEAT</t>
  </si>
  <si>
    <t>Количество аварий на тепловых сетях</t>
  </si>
  <si>
    <t>ед. на км</t>
  </si>
  <si>
    <t>Указывается количество любых нарушений на тепловых сетях в расчете на один километр трубопровода.</t>
  </si>
  <si>
    <t>Количество аварий на источниках тепловой энергии</t>
  </si>
  <si>
    <t>ед. на источник</t>
  </si>
  <si>
    <t>Указывается количество любых нарушений на источниках тепловой энергии</t>
  </si>
  <si>
    <t>Сведения о несоблюдении значений параметров качества теплоснабжения и (или) параметров, отражающих допустимые перерывы в теплоснабжении</t>
  </si>
  <si>
    <t>Информация в данной строке раскрывается только единой теплоснабжающей организацией в ценовых зонах теплоснабжения (обобщенная информация о количестве составленных актов, подтверждающих факт превышения разрешенных отклонений значений параметров, о средней продолжительности устранения превышения разрешенных отклонений значений параметров, о совокупной величине снижения размера платы за тепловую энергию (мощность) потребителям в связи с превышением разрешенных отклонений значений параметров)</t>
  </si>
  <si>
    <t>количество составленных актов, подтверждающих факт превышения разрешенных отклонений значений параметров</t>
  </si>
  <si>
    <t>шт.</t>
  </si>
  <si>
    <t>средняя продолжительность устранения превышения разрешенных отклонений значений параметров</t>
  </si>
  <si>
    <t>дн.</t>
  </si>
  <si>
    <t>совокупная величина снижения размера платы за тепловую энергию (мощность) потребителям в связи с превышением разрешенных отклонений значений параметров</t>
  </si>
  <si>
    <t>Показатели надежности и энергетической эффективности, установленные в соответствии с законодательством Российской Федерации</t>
  </si>
  <si>
    <t>В колонке «Ссылка на документ» указывается материал в виде ссылки на документ, содержащий информацию об установленных показателях, предварительно загруженный в хранилище данных ФГИС ЕИАС._x000D_
В случае, если показатели не утверждены в колонке «Информация» указывается «Не утверждены»._x000D_
Информация в данной строке не раскрывается единой теплоснабжающей организацией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t>
  </si>
  <si>
    <t>Плановые показатели надежности объектов теплоснабжения</t>
  </si>
  <si>
    <t>количество прекращений подачи тепловой энергии, теплоносителя в результате технологических нарушений на тепловых сетях на 1 км тепловых сетей</t>
  </si>
  <si>
    <t>ед.в год/км</t>
  </si>
  <si>
    <t>количество прекращений подачи тепловой энергии, теплоносителя в результате технологических нарушений на источниках тепловой энергии на 1 Гкал/час установленной мощности</t>
  </si>
  <si>
    <t xml:space="preserve"> ед.в год/Гкал/час</t>
  </si>
  <si>
    <t xml:space="preserve">Плановые показатели энергетической эффективности объектов теплоснабжения </t>
  </si>
  <si>
    <t>4.2.1</t>
  </si>
  <si>
    <t>удельный расход топлива на производство единицы тепловой энергии, отпускаемой с коллекторов источников тепловой энергии</t>
  </si>
  <si>
    <t>т.у.т./Гкал</t>
  </si>
  <si>
    <t>4.2.2</t>
  </si>
  <si>
    <t>отношение величины технологических потерь к материальной характеристике тепловой сети</t>
  </si>
  <si>
    <t>4.2.1.1</t>
  </si>
  <si>
    <t>при передаче тепловой энергии</t>
  </si>
  <si>
    <t>Гкал/кв.м</t>
  </si>
  <si>
    <t>4.2.1.2</t>
  </si>
  <si>
    <t>при передаче теплоносителя</t>
  </si>
  <si>
    <t>тонн/кв.м</t>
  </si>
  <si>
    <t>4.2.3</t>
  </si>
  <si>
    <t>величина технологических потерь</t>
  </si>
  <si>
    <t>4.2.3.1</t>
  </si>
  <si>
    <t>Гкал/год</t>
  </si>
  <si>
    <t>4.2.3.2</t>
  </si>
  <si>
    <t>при передаче теплоносителя по тепловым сетям</t>
  </si>
  <si>
    <t>тонн/год</t>
  </si>
  <si>
    <t>Доля исполненных в срок договоров о подключении (технологическом присоединении) к системе теплоснабжения</t>
  </si>
  <si>
    <t>Указывается процент от общего количества заключенных договоров о подключении (технологическом присоединении) к системе теплоснабжения._x000D_
_x000D_
Единой теплоснабжающей организацией указывается доля числа исполненных в срок договоров о подключении (технологическом присоединении) к системе теплоснабжения в зоне ее деятельности в ценовых зонах теплоснабжения (процентов общего количества заключенных договоров о подключении (технологическом присоединении) к системе теплоснабжения._x000D_
Информация в данной строке не раскрывается теплоснабжающей организацией в ценовых зонах теплоснабжения и теплосетевой организацией в ценовых зонах теплоснабжения</t>
  </si>
  <si>
    <t>Средняя продолжительность рассмотрения заявок на заключение договоров о подключении (технологическом присоединении) к системе теплоснабжения</t>
  </si>
  <si>
    <t>Единой теплоснабжающей организацией информация раскрывается в зоне ее деятельности в ценовых зонах теплоснабжения_x000D_
Информация в данной строке не раскрывается теплоснабжающей организацией в ценовых зонах теплоснабжения и теплосетевой организацией в ценовых зонах теплоснабжения.</t>
  </si>
  <si>
    <t xml:space="preserve">Едиными теплоснабжающими организациями, теплоснабжающими и теплосетевыми организациями в ценовых зонах теплоснабжения указывается информация об основных потребительских </t>
  </si>
  <si>
    <t>характеристиках товаров и услуг, поставляемых и оказываемых этими организациями в ценовых зонах теплоснабжения.</t>
  </si>
  <si>
    <t>COLDVSNA</t>
  </si>
  <si>
    <t>Количество аварий на системах холодного водоснабжения</t>
  </si>
  <si>
    <t>Указывается количество любых нарушений функционирования системы холодного водоснабжения в расчете на один километр трубопровода.</t>
  </si>
  <si>
    <t>Количество случаев временного ограничения холодного водоснабжения по графику</t>
  </si>
  <si>
    <t>количество случаев ограничения холодного водоснабжения по графику для ограничений сроком менее 24 часов в сутки</t>
  </si>
  <si>
    <t>ед.</t>
  </si>
  <si>
    <t>Указывается суммарное количество ограничения холодного водоснабжения по графику в течение отчетного периода. В расчет принимаются ограничения сроком менее 24 часов каждое.</t>
  </si>
  <si>
    <t>срок действия ограничений холодного водоснабжения по графику для ограничений сроком менее 24 часов в сутки</t>
  </si>
  <si>
    <t>ч</t>
  </si>
  <si>
    <t>Указывается сумма времени ограничения холодного водоснабжения по графику в течение отчетного периода. В расчет принимаются ограничения сроком менее 24 часов каждое.</t>
  </si>
  <si>
    <t>Доля потребителей, в отношении которых ограничено холодное водоснабжение:</t>
  </si>
  <si>
    <t>доля потребителей, в отношении которых ограничено холодное водоснабжение сроком менее 24 часов в сутки</t>
  </si>
  <si>
    <t>Указывается отношение количества потребителей, затронутых как минимум одним ограничением подачи холодной воды по графику длительностью менее 24 часа в течение отчетного периода, и суммарного количества обслуживаемых потребителей.</t>
  </si>
  <si>
    <t>доля потребителей, в отношении которых ограничено холодное водоснабжение сроком 24 часа в сутки и более</t>
  </si>
  <si>
    <t>Указывается отношение количества потребителей, затронутых как минимум одним ограничением подачи холодной воды по графику длительностью 24 часа и более в течение отчетного периода, и суммарного количества обслуживаемых потребителей.</t>
  </si>
  <si>
    <t>Общее количество отобранных проб питьевой воды по следующим показателям</t>
  </si>
  <si>
    <t>мутность</t>
  </si>
  <si>
    <t>цветность</t>
  </si>
  <si>
    <t>хлор остаточный общий, в том числе:</t>
  </si>
  <si>
    <t>4.3.1</t>
  </si>
  <si>
    <t>хлор остаточный связанный</t>
  </si>
  <si>
    <t>4.3.2</t>
  </si>
  <si>
    <t>хлор остаточный свободный</t>
  </si>
  <si>
    <t>4.4</t>
  </si>
  <si>
    <t>общие колиформные бактерии</t>
  </si>
  <si>
    <t>4.5</t>
  </si>
  <si>
    <t>термотолерантные колиформные бактерии</t>
  </si>
  <si>
    <t>Количество отобранных проб питьевой воды, показатели которых не соответствуют нормативам качества питьевой воды в соответствии с санитарно-эпидемиологическими требованиями к питьевой воде (предельно допустимой концентрации в воде) по следующим показателям:</t>
  </si>
  <si>
    <t>5.2</t>
  </si>
  <si>
    <t>5.3</t>
  </si>
  <si>
    <t>5.3.1</t>
  </si>
  <si>
    <t>5.3.2</t>
  </si>
  <si>
    <t>5.4</t>
  </si>
  <si>
    <t>5.5</t>
  </si>
  <si>
    <t>Доля исполненных в срок договоров о подключении (технологическом присоединении) к централизованной системе холодного водоснабжения</t>
  </si>
  <si>
    <t>Указывается процент общего количества заключенных договоров о подключении (технологическом присоединении) к централизованной системе холодного водоснабжения.</t>
  </si>
  <si>
    <t>Средняя продолжительность рассмотрения заявлений о заключении договоров о подключении (технологическом присоединении) к централизованной системе холодного водоснабжения</t>
  </si>
  <si>
    <t>О результатах технического обследования централизованных систем холодного водоснабжения, в том числе:</t>
  </si>
  <si>
    <t>8.1</t>
  </si>
  <si>
    <t>о фактических значениях показателей технико-экономического состояния централизованных систем холодного водоснабжения, включая значения показателей физического износа и энергетической эффективности объектов централизованных систем холодного водоснабжения.</t>
  </si>
  <si>
    <t>HOTVSNA</t>
  </si>
  <si>
    <t>Количество аварий на системах горячего водоснабжения</t>
  </si>
  <si>
    <t>Указывается количество нарушений функционирования системы горячего водоснабжения в расчете на один километр трубопровода.</t>
  </si>
  <si>
    <t>Количество часов (суммарно за календарный год), превышающих установленную продолжительность временного прекращения или ограничения горячего водоснабжения, и доля потребителей (процентов), в отношении которых было осуществлено временное прекращение или ограничение горячего водоснабжения</t>
  </si>
  <si>
    <t>количество часов (суммарно за календарный год), превышающих установленную продолжительность временного прекращения горячего водоснабжения</t>
  </si>
  <si>
    <t>количество часов (суммарно за календарный год), превышающих установленную продолжительность ограничения горячего водоснабжения</t>
  </si>
  <si>
    <t>доля потребителей, в отношении которых было осуществлено временное прекращение горячего водоснабжения</t>
  </si>
  <si>
    <t>доля потребителей, в отношении которых было осуществлено ограничение горячего водоснабжения</t>
  </si>
  <si>
    <t>Количество часов (суммарно за календарный год) отклонения показателей температуры подачи горячей воды от нормативных значений в точке разбора</t>
  </si>
  <si>
    <t>Доля исполненных в срок договоров о подключении (технологическом присоединении) к централизованной системе горячего водоснабжения (процентов общего количества заключенных договоров о подключении (технологическом присоединении) к централизованной системе горячего водоснабжения)</t>
  </si>
  <si>
    <t>Средняя продолжительность рассмотрения заявлений о заключении договоров о подключении (технологическом присоединении) к централизованной системе горячего водоснабжения</t>
  </si>
  <si>
    <t>О результатах технического обследования централизованных систем горячего водоснабжения, в том числе:</t>
  </si>
  <si>
    <t>о фактических значениях показателей технико-экономического состояния централизованных систем горячего водоснабжения, включая значения показателей физического износа и энергетической эффективности объектов централизованных систем горячего водоснабжения</t>
  </si>
  <si>
    <t>VOTV</t>
  </si>
  <si>
    <t>Показатели аварийности на канализационных сетях</t>
  </si>
  <si>
    <t>Указывается количество любых нарушений на канализационных сетях.</t>
  </si>
  <si>
    <t>Количество засоров на самотечных сетях</t>
  </si>
  <si>
    <t>Указывается количество засоров на самотечных сетях.</t>
  </si>
  <si>
    <t>Общее количество отобранных проб на сбросе очищенных (частично очищенных) сточных вод:</t>
  </si>
  <si>
    <t>Указывается суммарное количество проведенных проб на сбросе очищенных вод.</t>
  </si>
  <si>
    <t>взвешенные вещества</t>
  </si>
  <si>
    <t>БПК5</t>
  </si>
  <si>
    <t>аммоний-ион</t>
  </si>
  <si>
    <t>нитрит-анион</t>
  </si>
  <si>
    <t>3.5</t>
  </si>
  <si>
    <t>фосфаты (по Р)</t>
  </si>
  <si>
    <t>3.6</t>
  </si>
  <si>
    <t>нефтепродукты</t>
  </si>
  <si>
    <t>3.7</t>
  </si>
  <si>
    <t>микробиология</t>
  </si>
  <si>
    <t>Количество отобранных проб, показатели которых не соответствуют установленным нормативам состава сточных вод (предельно допустимой концентрации веществ и микроорганизмов) на сбросе очищенных (частично очищенных) сточных вод:</t>
  </si>
  <si>
    <t>Указывается суммарное количество отобранных проб, выявивших несоответствие очищенных сточных вод санитарным нормам (предельно допустимой концентрации) на сбросе очищенных (частично очищенных) сточных вод.</t>
  </si>
  <si>
    <t>4.6</t>
  </si>
  <si>
    <t>4.7</t>
  </si>
  <si>
    <t>Доля исполненных в срок договоров о подключении (технологическом присоединении) к централизованной системе водоотведения</t>
  </si>
  <si>
    <t>Указывается процент от общего количества заключенных договоров о подключении (технологическом присоединении) к централизованной системе водоотведения</t>
  </si>
  <si>
    <t>Средняя продолжительность рассмотрения заявлений о заключении договоров о подключении (технологическом присоединении) к централизованной системе водоотведения</t>
  </si>
  <si>
    <t>О результатах технического обследования централизованных систем водоотведения, в том числе:</t>
  </si>
  <si>
    <t>7.1</t>
  </si>
  <si>
    <t>о фактических значениях показателей технико-экономического состояния централизованных систем водоотведения, включая значения показателей физического износа и энергетической эффективности объектов централизованных систем водоотведения</t>
  </si>
  <si>
    <t>О  нормативах допустимых сбросов загрязняющих веществ в составе сточных вод в водные объекты, установленных для объектов централизованных систем водоотведения, эксплуатируемых организацией водоотведения, в соответствии с законодательством Российской Федерации об охране окружающей среды (о лимитах на сбросы загрязняющих веществ, установленных для объектов централизованных систем водоотведения, эксплуатируемых организацией водоотведения, в соответствии с законодательством Российской Федерации об охране окружающей среды</t>
  </si>
  <si>
    <t>О показателях эффективности удаления загрязняющих веществ очистными сооружениями регулируемых организаций</t>
  </si>
  <si>
    <t>Наименование выведенного источника тепловой энергии</t>
  </si>
  <si>
    <t>В случае вывода из эксплуатации нескольких источников тепловой энергии информация по каждому из них указывается в отдельно.</t>
  </si>
  <si>
    <t>Дата вывода</t>
  </si>
  <si>
    <t>Дата вывода указывается в виде «ДД.ММ.ГГГГ».</t>
  </si>
  <si>
    <t>Наименование тепловой сети</t>
  </si>
  <si>
    <t>В случае вывода из эксплуатации нескольких тепловых сетей информация по каждой из них указывается в отдельно.</t>
  </si>
  <si>
    <t>Описание ограничения подачи тепловой энергии потребителям</t>
  </si>
  <si>
    <t>Дата начала ограничения</t>
  </si>
  <si>
    <t>Дата начала ограничения указывается в виде «ДД.ММ.ГГГГ».</t>
  </si>
  <si>
    <t>Дата завершения ограничения</t>
  </si>
  <si>
    <t>Дата завершения ограничения указывается в виде «ДД.ММ.ГГГГ».</t>
  </si>
  <si>
    <t>Описание прекращения режима потребления</t>
  </si>
  <si>
    <t>В колонке «Ссылка на документ» указывается материал в виде ссылки на документ, обосновывающий прекращение подачи тепловой энергии потребителям, предварительно загруженный в хранилище данных ФГИС ЕИАС.</t>
  </si>
  <si>
    <t>Дата прекращения</t>
  </si>
  <si>
    <t>Дата прекращения указывается в виде «ДД.ММ.ГГГГ».</t>
  </si>
  <si>
    <t>1.0</t>
  </si>
  <si>
    <t>Сведения о выводе источников тепловой энергии из эксплуатации</t>
  </si>
  <si>
    <t>Сведения о выводе тепловых сетей из эксплуатации</t>
  </si>
  <si>
    <t>Добавить тепловую сеть</t>
  </si>
  <si>
    <t>3.0</t>
  </si>
  <si>
    <t>Сведения об основаниях ограничения подачи тепловой энергии</t>
  </si>
  <si>
    <t>Осуществлялось</t>
  </si>
  <si>
    <t>Не осуществлялось</t>
  </si>
  <si>
    <t>В случае, если ограничения подачи тепловой энергии тепловой энергии не происходили, в колонке «Информация» указывается «Не осуществлялось»._x000D_
Указывается информация о случаях ограничения подачи тепловой энергии потребителям в случаях, предусмотренных законодательством в сфере теплоснабжения._x000D_
В неоднократных ограничений подачи потребления тепловой энергии потребителями информация по каждому случаю указывается отдельно.</t>
  </si>
  <si>
    <t>Добавить ограничение подачи ТЭ</t>
  </si>
  <si>
    <t>4.0</t>
  </si>
  <si>
    <t>Сведения об основаниях прекращения подачи тепловой энергии потребителям</t>
  </si>
  <si>
    <t>В случае, если прекращения подачи тепловой энергии потребителям не происходили, в колонке «Информация» указывается «Не осуществлялось»._x000D_
Указывается информация о случаях прекращения подачи тепловой энергии потребителям, предусмотренных законодательством в сфере теплоснабжения._x000D_
В случае нескольких прекращений подачи тепловой энергии потребителям информация по каждому случаю указывается отдельно.</t>
  </si>
  <si>
    <t>Добавить прекращение подачи ТЭ</t>
  </si>
  <si>
    <t>Наименование ИП</t>
  </si>
  <si>
    <t>Инвестиционная программа разбивается по мероприятиям и (или) группам мероприятий</t>
  </si>
  <si>
    <t>Дата утверждения инвестиционной программы</t>
  </si>
  <si>
    <t>Дата изменения инвестиционной программы</t>
  </si>
  <si>
    <t>Цель инвестиционной программы</t>
  </si>
  <si>
    <t>Наименование исполнительного органа субъекта Российской Федерации (органа местного самоуправления), утвердившего инвестиционную программу</t>
  </si>
  <si>
    <t>Наименование органа местного самоуправления, согласовавшего инвестиционную программу</t>
  </si>
  <si>
    <t>Период реализации инвестиционной программы</t>
  </si>
  <si>
    <t>Решение уполномоченного органа об утверждении инвестиционной программы</t>
  </si>
  <si>
    <t>Решение уполномоченного органа о внесении изменений, корректировке инвестиционной программы</t>
  </si>
  <si>
    <t>О наличии в инвестиционной программе мероприятий, включенных в концессионное(-ые) соглашение(-я)</t>
  </si>
  <si>
    <t>Дата начала</t>
  </si>
  <si>
    <t>Дата окончания</t>
  </si>
  <si>
    <t>Период реализации</t>
  </si>
  <si>
    <t>Вид</t>
  </si>
  <si>
    <t>Номер</t>
  </si>
  <si>
    <t>Дата принятия</t>
  </si>
  <si>
    <t>Тип</t>
  </si>
  <si>
    <t>Наличие</t>
  </si>
  <si>
    <t>Реквизиты концессионного(-ых) соглашения(-ий)</t>
  </si>
  <si>
    <t>ip_1</t>
  </si>
  <si>
    <t>Добавить инвестиционную программу</t>
  </si>
  <si>
    <t>Год реализации инвестиционной программы</t>
  </si>
  <si>
    <t>№ п/п_x000D_
мероприятия</t>
  </si>
  <si>
    <t>Группа, к которой относятся мероприятия инвестиционной программы</t>
  </si>
  <si>
    <t>Мероприятие</t>
  </si>
  <si>
    <t>№ источника</t>
  </si>
  <si>
    <t>О плановых и фактических размерах и источниках финансирования предусмотренных в утвержденной инвестиционной программе с распределением по годам</t>
  </si>
  <si>
    <t>Плановый срок реализации мероприятия и (или) группы мероприятий с распределением по годам</t>
  </si>
  <si>
    <t>Плановый срок ввода в эксплуатацию/выполнения мероприятия и (или) группы мероприятий</t>
  </si>
  <si>
    <t>Фактический срок реализации мероприятия и (или) группы мероприятий с распределением по годам</t>
  </si>
  <si>
    <t>Фактический срок ввода в эксплуатацию/выполнения мероприятия и (или) группы мероприятий</t>
  </si>
  <si>
    <t>Наименование мероприятия</t>
  </si>
  <si>
    <t>Входит в концессионное соглашение</t>
  </si>
  <si>
    <t>Объект инфраструктуры</t>
  </si>
  <si>
    <t>Признак</t>
  </si>
  <si>
    <t>Номер концессионного соглашения</t>
  </si>
  <si>
    <t>№ объекта</t>
  </si>
  <si>
    <t>Наименование объекта</t>
  </si>
  <si>
    <t>Тип объекта</t>
  </si>
  <si>
    <t>Адрес объекта</t>
  </si>
  <si>
    <t>План</t>
  </si>
  <si>
    <t>Факт</t>
  </si>
  <si>
    <t>в том числе</t>
  </si>
  <si>
    <t>Населенный пункт</t>
  </si>
  <si>
    <t>улица, проезд, проспект, переулок, и т.п.</t>
  </si>
  <si>
    <t>дом, корпус, строение</t>
  </si>
  <si>
    <t>Источник финансирования</t>
  </si>
  <si>
    <t>Размер финансирования</t>
  </si>
  <si>
    <t>месяц</t>
  </si>
  <si>
    <t>год</t>
  </si>
  <si>
    <r>
      <rPr>
        <vertAlign val="superscript"/>
        <sz val="9"/>
        <rFont val="Tahoma"/>
        <family val="2"/>
        <charset val="204"/>
      </rPr>
      <t>1</t>
    </r>
    <r>
      <rPr>
        <sz val="9"/>
        <rFont val="Tahoma"/>
        <family val="2"/>
        <charset val="204"/>
      </rPr>
      <t xml:space="preserve"> В соответствии с утвержденной инвестиционной программой</t>
    </r>
  </si>
  <si>
    <t>Источники финансирования</t>
  </si>
  <si>
    <t>Объем фактического выполнения за счет источников финансирования (тыс. руб. без НДС)</t>
  </si>
  <si>
    <t>Всего</t>
  </si>
  <si>
    <t>I</t>
  </si>
  <si>
    <t>Расходы на мероприятия инвестиционной программы</t>
  </si>
  <si>
    <t>Собственные средства</t>
  </si>
  <si>
    <t>1.1</t>
  </si>
  <si>
    <t>Амортизационные отчисления за исключением переоценки основных средств и нематериальных активов</t>
  </si>
  <si>
    <t>1.2</t>
  </si>
  <si>
    <t>Амортизационные отчисления в результате переоценки основных средств и нематериальных активов</t>
  </si>
  <si>
    <t>1.3</t>
  </si>
  <si>
    <t>Капитальные вложения (инвестиции), финансируемые за счет нормативной прибыли, учитываемой в необходимой валовой выручке</t>
  </si>
  <si>
    <t>1.4</t>
  </si>
  <si>
    <t>Экономия расходов, достигнутая регулируемой организацией в результате реализации мероприятий инвестиционной программы за счет амортизационных отчислений</t>
  </si>
  <si>
    <t>1.5</t>
  </si>
  <si>
    <t>Экономия расходов, достигнутая регулируемой организацией в результате реализации мероприятий инвестиционной программы за счет капитальных вложений в составе нормативной прибыли</t>
  </si>
  <si>
    <t>1.6</t>
  </si>
  <si>
    <t>Экономия расходов, достигнутая регулируемой организацией в результате реализации мероприятий инвестиционной программы за счет прочих собственных средств</t>
  </si>
  <si>
    <t>1.7</t>
  </si>
  <si>
    <t>Экономия расходов, достигнутая регулируемой организацией в результате реализации мероприятий инвестиционной программы за счет за счет займов и кредитов</t>
  </si>
  <si>
    <t>1.8</t>
  </si>
  <si>
    <t>Экономия средств, достигнутая регулируемой организацией в результате снижения расходов</t>
  </si>
  <si>
    <t>1.9</t>
  </si>
  <si>
    <t>Средства, полученные за счет платы за подключение (технологическое присоединение)</t>
  </si>
  <si>
    <t>1.10</t>
  </si>
  <si>
    <t>Средства, полученные регулируемой организацией в виде платы за сброс загрязняющих веществ сверх установленных нормативов состава сточных вод</t>
  </si>
  <si>
    <t>1.11</t>
  </si>
  <si>
    <t>Средства, полученные регулируемой организацией в виде платы за негативное воздействие на работу централизованной системы водоотведения</t>
  </si>
  <si>
    <t>1.12</t>
  </si>
  <si>
    <t>Прочие собственные средства</t>
  </si>
  <si>
    <t>Привлеченные средства</t>
  </si>
  <si>
    <t>Займы</t>
  </si>
  <si>
    <t>Кредиты</t>
  </si>
  <si>
    <t>Прочие привлеченные средства</t>
  </si>
  <si>
    <t>Бюджетное финансирование</t>
  </si>
  <si>
    <t>Плата концедента на строительство, модернизацию и (или) реконструкцию объекта концессионного соглашения в размере, предусмотренном заключенным концессионным соглашением</t>
  </si>
  <si>
    <t>Иные бюджетные средства.</t>
  </si>
  <si>
    <t>Прочие источники финансирования</t>
  </si>
  <si>
    <t>ИТОГО по программе</t>
  </si>
  <si>
    <t>II</t>
  </si>
  <si>
    <t>Средства на возврат займов и кредитов, привлекаемых на реализацию мероприятий инвестиционной программы, а также на проценты по таким займам и кредитам*</t>
  </si>
  <si>
    <t>Cредства на возврат займов и кредитов, привлекаемых на реализацию мероприятий инвестиционной программ</t>
  </si>
  <si>
    <t>1.1.1</t>
  </si>
  <si>
    <t>Финансируемые за счет нормативной прибыли, учитываемой в необходимой валовой выручке</t>
  </si>
  <si>
    <t>1.1.2</t>
  </si>
  <si>
    <t>Амортизационные отчисления</t>
  </si>
  <si>
    <t>1.1.3</t>
  </si>
  <si>
    <t>Иные собственные средства</t>
  </si>
  <si>
    <t>1.1.4</t>
  </si>
  <si>
    <t>Средства, полученные регулируемой организацией в виде платы за негативное воздействие абонентов на работу централизованной системы водоотведения</t>
  </si>
  <si>
    <t>1.2.1</t>
  </si>
  <si>
    <t>1.2.2</t>
  </si>
  <si>
    <t xml:space="preserve">Прочие источники </t>
  </si>
  <si>
    <t>Cредства на проценты по займам и кредитам, привлекаемым на реализацию мероприятий инвестиционной программ</t>
  </si>
  <si>
    <t>2.1.3</t>
  </si>
  <si>
    <t>2.1.4</t>
  </si>
  <si>
    <t>WARM FEATURES</t>
  </si>
  <si>
    <t>OTKO FEATURES</t>
  </si>
  <si>
    <t>Цель(-и) ИП</t>
  </si>
  <si>
    <t>Способ утверждения показателей</t>
  </si>
  <si>
    <t>Описание способа утверждения показателей</t>
  </si>
  <si>
    <t>Показатели качества, надежности и бесперебойности, энергетической эффективности</t>
  </si>
  <si>
    <t>Показатели надежности</t>
  </si>
  <si>
    <t xml:space="preserve">Показатели энергетической эффективности </t>
  </si>
  <si>
    <t>Показатели качества питьевой воды</t>
  </si>
  <si>
    <t>Показатели качества горячей воды</t>
  </si>
  <si>
    <t>Показатели надежности и бесперебойности</t>
  </si>
  <si>
    <t>Показатели энергетической эффективности</t>
  </si>
  <si>
    <t>Показатели очистки сточных вод</t>
  </si>
  <si>
    <t>Показатель надежности и бесперебойности</t>
  </si>
  <si>
    <t>Количество прекращений подачи тепловой энергии, теплоносителя в результате технологических нарушений</t>
  </si>
  <si>
    <t>удельный расход топлива на производство единицы тепловой энергии</t>
  </si>
  <si>
    <t>Отношение величины технологических потерь к материальной характеристике тепловой сети</t>
  </si>
  <si>
    <t>Величина технологических потерь</t>
  </si>
  <si>
    <t>Доля проб питьевой воды, подаваемой с источников водоснабжения, водопроводных станций или иных объектов централизованной системы водоснабжения в распределительную водопроводную сеть, не соответствующих установленным требованиям, в общем объёме проб, отобранных по результатам производственного контроля качества питьевой воды</t>
  </si>
  <si>
    <t>Доля проб питьевой воды в распределительной водопроводной сети, не соответствующих установленным требованиям, в общем объёме проб, отобранных по результатам производственного контроля качества питьевой воды</t>
  </si>
  <si>
    <t>Доля проб горячей воды в тепловой сети или в сети горячего водоснабжения, не соответствующих установленным требованиям по температуре, в общем объёме проб, отобранных по результатам производственного контроля качества горячей воды</t>
  </si>
  <si>
    <t>Доля проб горячей воды в тепловой сети или в сети горячего водоснабжения, не соответствующих установленным требованиям (за исключением температуры), в общем объёме проб, отобранных по результатам производственного контроля качества горячей воды</t>
  </si>
  <si>
    <t xml:space="preserve"> Количество перерывов в подаче воды, зафиксированных в местах исполнения обязательств организацией, осуществляющей горячее водоснабжение, холодное водоснабжение, по подаче горячей воды, холодной воды, возникших в результате аварий, повреждений и иных технологических нарушений на объектах централизованной системы холодного водоснабжения, горячего водоснабжения, принадлежащих организации, осуществляющей горячее водоснабжение, холодное водоснабжение, в расчете на протяженность водопроводной сети</t>
  </si>
  <si>
    <t>Доля потерь воды в централизованных системах водоснабжения при транспортировке в общем объёме воды, поданной в водопроводную сеть</t>
  </si>
  <si>
    <t>Удельное количество тепловой энергии, расходуемое на подогрев горячей воды</t>
  </si>
  <si>
    <t>Удельный расход электрической энергии, потребляемой в технологическом процессе</t>
  </si>
  <si>
    <t>доля сточных вод, не подвергающихся очистке, в общем объёме сточных вод, сбрасываемых в централизованные общесплавные или бытовые системы водоотведения</t>
  </si>
  <si>
    <t xml:space="preserve"> доля поверхностных сточных вод, не подвергающихся очистке, в общем объёме поверхностных сточных вод, принимаемых в централизованную ливневую систему водоотведения</t>
  </si>
  <si>
    <t>доля проб сточных вод, не соответствующих установленным нормативам допустимых сбросов, лимитам на сбросы, рассчитанная применительно к видам централизованных систем водоотведения раздельно для централизованной общесплавной (бытовой) и централизованной ливневой систем водоотведения</t>
  </si>
  <si>
    <t>Удельное количество аварий и засоров в расчете на протяженность канализационной сети</t>
  </si>
  <si>
    <t>Удельный расход электрической энергии, потребляемой в технологическом процессе для:</t>
  </si>
  <si>
    <t>на тепловых сетях на 1 км тепловых сетей</t>
  </si>
  <si>
    <t>на источниках тепловой энергии на 1 Гкал/час установленной мощности</t>
  </si>
  <si>
    <t xml:space="preserve">подготовки питьевой воды, на единицу объёма воды, отпускаемой в сеть_x000D_
</t>
  </si>
  <si>
    <t xml:space="preserve">транспортировки питьевой воды, на единицу объёма транспортируемой воды_x000D_
</t>
  </si>
  <si>
    <t>очистки сточных вод, на единицу объёма очищаемых сточных вод</t>
  </si>
  <si>
    <t>транспортировки сточных вод, на единицу объёма транспортируемых сточных вод</t>
  </si>
  <si>
    <t>ед. в год/км</t>
  </si>
  <si>
    <t>Гкал/куб. м</t>
  </si>
  <si>
    <t>кВт*ч/куб. м</t>
  </si>
  <si>
    <t>кВт*ч/куб.м</t>
  </si>
  <si>
    <t>план</t>
  </si>
  <si>
    <t>факт</t>
  </si>
  <si>
    <t>ед</t>
  </si>
  <si>
    <t>5.0</t>
  </si>
  <si>
    <t>котельная Краснозвездная 37</t>
  </si>
  <si>
    <t>Добавить систему</t>
  </si>
  <si>
    <t>Добавить описание формы публичного договора</t>
  </si>
  <si>
    <t>Добавить описание договора</t>
  </si>
  <si>
    <t>сведения о договорах, заключенных в соответствии с частями 2.1 и 2.2 статьи 8 Федерального закона "О теплоснабжении"</t>
  </si>
  <si>
    <t>Статья 8 ФЗ 190-ФЗ_x000D_
2.1. Соглашением сторон договора теплоснабжения и (или) договора поставки тепловой энергии (мощности) и (или) теплоносителя, но не выше цен (тарифов) на соответствующие товары в сфере теплоснабжения, установленных органом регулирования в соответствии с основами ценообразования в сфере теплоснабжения и правилами регулирования цен (тарифов) в сфере теплоснабжения, утвержденными Правительством Российской Федерации, определяются следующие виды цен на товары в сфере теплоснабжения, за исключением тепловой энергии (мощности) и (или) теплоносителя, реализация которых необходима для оказания коммунальных услуг по отоплению и горячему водоснабжению населению и приравненным к нему категориям потребителей:_x000D_
1) цены на тепловую энергию (мощность), производимую и (или) поставляемую с использованием теплоносителя в виде пара теплоснабжающими организациями потребителям, другим теплоснабжающим организациям;_x000D_
2) цены на теплоноситель в виде пара, поставляемый теплоснабжающими организациями потребителям, другим теплоснабжающим организациям;_x000D_
3) цены на тепловую энергию (мощность), теплоноситель, поставляемые теплоснабжающей организацией, владеющей на праве собственности или ином законном основании источником тепловой энергии, потребителю, теплопотребляющие установки которого технологически соединены с этим источником тепловой энергии непосредственно или через тепловую сеть, принадлежащую на праве собственности и (или) ином законном основании указанной теплоснабжающей организации или указанному потребителю, если такие теплопотребляющие установки и такая тепловая сеть не имеют иного технологического соединения с системой теплоснабжения и к тепловым сетям указанного потребителя не присоединены теплопотребляющие установки иных потребителей._x000D_
(часть 2.1 введена Федеральным законом от 01.12.2014 № 404-ФЗ)_x000D_
2.2. С 1 января 2018 года цены, указанные в части 2.1 настоящей статьи, не подлежат регулированию и определяются соглашением сторон договора теплоснабжения и (или) договора поставки тепловой энергии (мощности) и (или) теплоносителя, за исключением случаев:_x000D_
1) реализации тепловой энергии (мощности) и (или) теплоносителя, необходимых для оказания коммунальных услуг по отоплению и горячему водоснабжению населению и приравненным к нему категориям потребителей;_x000D_
2) производства тепловой энергии (мощности), теплоносителя с использованием источника тепловой энергии, установленная мощность которого составляет менее десяти гигакалорий в час, и (или) осуществления поставки теплоснабжающей организацией потребителю тепловой энергии в объеме менее пятидесяти тысяч гигакалорий за 2017 год.</t>
  </si>
  <si>
    <t>Прочие договора</t>
  </si>
  <si>
    <t>Сведения об условиях договоров на оказание услуг по транспортированию твердых коммунальных отходов</t>
  </si>
  <si>
    <t xml:space="preserve"> Форма договора на оказание услуг</t>
  </si>
  <si>
    <t>Указывается форма договора, используемая организацией, в виде ссылки на документ, предварительно загруженный в хранилище файлов ФГИС ЕИАС, либо ссылка на официальный сайт в сети "Интернет", на котором размещена информация._x000D_
В случае наличия нескольких форм таких договоров информация по каждой из них указывается в отдельной строке.</t>
  </si>
  <si>
    <t>Добавить описание формы договора</t>
  </si>
  <si>
    <t>наименование НПА</t>
  </si>
  <si>
    <t>контактный телефон службы</t>
  </si>
  <si>
    <t>адрес службы</t>
  </si>
  <si>
    <t>график работы службы</t>
  </si>
  <si>
    <t>c 01:03 до 18:55</t>
  </si>
  <si>
    <t>Информация о размещении данных на сайте регулируемой организации</t>
  </si>
  <si>
    <t>дата размещения информации</t>
  </si>
  <si>
    <t>Дата размещения информации указывается в виде «ДД.ММ.ГГГГ».</t>
  </si>
  <si>
    <t>адрес страницы сайта в сети «Интернет» и ссылка на документ</t>
  </si>
  <si>
    <t>В колонке «Информация» указывается адрес страницы сайта в сети «Интернет», на которой размещена информация._x000D_
В колонке «Ссылка на документ» указывается ссылка на скриншот страницы сайта в сети «Интернет», предварительно загруженный в хранилище файлов ФГИС ЕИАС, на которой размещена информация.</t>
  </si>
  <si>
    <t xml:space="preserve">Указывается ссылка на документ, предварительно загруженный в хранилище файлов ФГИС ЕИАС._x000D_
В случае наличия дополнительных сведений информация по ним указывается в отдельных строках._x000D_
</t>
  </si>
  <si>
    <t>В колонке «Информация» указывается полное наименование и реквизиты НПА._x000D_
В случае наличия нескольких НПА каждое из них указывается в отдельной строке.</t>
  </si>
  <si>
    <t>5.1.1</t>
  </si>
  <si>
    <t>Указывается номер контактного телефона службы, ответственной за прием и обработку заявок о подключении к централизованной системе теплоснабжения. _x000D_
В случае наличия нескольких служб и (или) номеров телефонов, информация по каждому из них указывается в отдельной строке.</t>
  </si>
  <si>
    <t>5.2.1</t>
  </si>
  <si>
    <t>Указывается наименование субъекта Российской Федерации, муниципального района, города, иного населенного пункта, улицы, номер дома, при необходимости указывается корпус, строение, литера или дополнительная территория. Данные указываются согласно наименованиям адресных объектов в ФИАС._x000D_
В случае наличия нескольких служб и (или) адресов, информация по каждому из них указывается в отдельной строке.</t>
  </si>
  <si>
    <t>Указывается график работы службы, ответственной за прием и обработку заявок о подключении к централизованной системе теплоснабжения. _x000D_
В случае наличия нескольких служб и (или) графиков работы, информация по каждому из них указывается в отдельной строке.</t>
  </si>
  <si>
    <t>p1</t>
  </si>
  <si>
    <t>Добавить период</t>
  </si>
  <si>
    <t>p2</t>
  </si>
  <si>
    <t>Период действия тарифов</t>
  </si>
  <si>
    <t>с</t>
  </si>
  <si>
    <t>по</t>
  </si>
  <si>
    <t>p1_0</t>
  </si>
  <si>
    <t>Долгосрочные параметры регулирования указываются в случае выбора любого метода регулирования за исключением метода экономически обоснованных затрат в виде ссылки на документ, предварительно загруженный в хранилище файлов ФГИС ЕИАС.</t>
  </si>
  <si>
    <t>Необходимая валовая выручка на соответствующий период, в том числе с разбивкой по годам</t>
  </si>
  <si>
    <t>p2_0</t>
  </si>
  <si>
    <t>В колонке «Информация» указывается описательная информация, характеризующая размещаемые данные._x000D_
В колонке «Ссылка на документ» указывается либо ссылка на документ, предварительно загруженный в хранилище файлов ФГИС ЕИАС, либо ссылка на официальный сайт в сети «Интернет», на котором размещена информация.</t>
  </si>
  <si>
    <t>Форма 12. Информация об основных потребительских характеристиках товаров, услуг регулируемой организации, цены (тарифы) в сфере теплоснабжения на которые подлежат регулированию, об основных потребительских характеристиках товаров (услуг), поставляемых (оказываемых) единой теплоснабжающей организацией в ценовых зонах теплоснабжения, об основных потребительских характеристиках товаров (услуг), поставляемых (оказываемых) теплоснабжающей организацией в ценовых зонах теплоснабжения и теплосетевой организацией в ценовых зонах теплоснабжения</t>
  </si>
  <si>
    <t>Показатели надежности и качества, установленные в соответствии с законодательством Российской Федерации</t>
  </si>
  <si>
    <t>В колонке «Ссылка на документ» указывается материал в виде ссылки на документ, содержащий информацию об установленных показателях надежности и качества, предварительно загруженный в хранилище данных ФГИС ЕИАС._x000D_
В случае, если показатели надежности и качества не утверждены в колонке «Информация» указывается «Не утверждены»._x000D_
Информация в данной строке не указывается теплоснабжающими организациями, теплосетевыми организациями в ценовых зонах теплоснабжения.</t>
  </si>
  <si>
    <t>Информация в строках 3.1 – 3.3 указывается в случае, если организация имеет статус единой теплоснабжающей организации в ценовых зонах теплоснабжения.</t>
  </si>
  <si>
    <t>Доля числа исполненных в срок договоров о подключении</t>
  </si>
  <si>
    <t>Указывается процент общего количества заключенных договоров о подключении (технологическом присоединении)._x000D_
Информация в данной строке не указывается теплоснабжающими организациями, теплосетевыми организациями в ценовых зонах теплоснабжения.</t>
  </si>
  <si>
    <t>Средняя продолжительность рассмотрения заявлений о подключении</t>
  </si>
  <si>
    <t>Гкал/час</t>
  </si>
  <si>
    <t>Информация в данной строке не указывается теплоснабжающими организациями, теплосетевыми организациями в ценовых зонах теплоснабжения.</t>
  </si>
  <si>
    <t>REGION</t>
  </si>
  <si>
    <t>year_list1</t>
  </si>
  <si>
    <t>year_list</t>
  </si>
  <si>
    <t>logical</t>
  </si>
  <si>
    <t>Месяц_x000D_
(MONTH)</t>
  </si>
  <si>
    <t>Квартал_x000D_
(QUARTER)</t>
  </si>
  <si>
    <t>Месяц_x000D_
(kind_of_publication)</t>
  </si>
  <si>
    <t>НДС_x000D_
/kind_of_NDS/</t>
  </si>
  <si>
    <t>Номер СЦХВ(СЦВО)_x000D_
/SKI_number/</t>
  </si>
  <si>
    <t>Единица измерения объема оказываемых услуг ГВС_x000D_
/kind_of_unit_GVS/</t>
  </si>
  <si>
    <t>Метод регулирования_x000D_
/kind_of_control_method/</t>
  </si>
  <si>
    <t>Сколько раз встретилось</t>
  </si>
  <si>
    <t>Вид деятельности, на которую установлен тариф /kind_of_activity_WARM/</t>
  </si>
  <si>
    <t>Вид теплоносителя_x000D_
(kind_of_heat_transfer)</t>
  </si>
  <si>
    <t>Тип данных_x000D_
(kind_of_data_type)</t>
  </si>
  <si>
    <t>Схема подключения_x000D_
(kind_of_scheme_in)_x000D_
(kind_of_scheme_in2)</t>
  </si>
  <si>
    <t>Группы потребителей_x000D_
(kind_of_cons)</t>
  </si>
  <si>
    <t>Тип прокладки тепловых сетей_x000D_
(kind_of_nets)</t>
  </si>
  <si>
    <t>Диапазаны диаметров тепловых сетей_x000D_
(kind_of_diameters)</t>
  </si>
  <si>
    <t>Подключаемая тепловая нагрузка_x000D_
(kind_of_load)</t>
  </si>
  <si>
    <t>Форма 2, таблица Х</t>
  </si>
  <si>
    <t>виды тарифа_x000D_
/kind_group_rates/</t>
  </si>
  <si>
    <t>Заголовок таблицы</t>
  </si>
  <si>
    <t>name_rates_4</t>
  </si>
  <si>
    <t>name_rates_8</t>
  </si>
  <si>
    <t>Подключаемая тепловая нагрузка_x000D_
(kind_of_load3)</t>
  </si>
  <si>
    <t>Вид теплоносителя_x000D_
(kind_of_heat_transfer2)</t>
  </si>
  <si>
    <t>Вид теплоносителя_x000D_
(kind_of_heat_transfer3)</t>
  </si>
  <si>
    <t>Вид топлива_x000D_
(kind_of_fuel)</t>
  </si>
  <si>
    <t>Способ закупки товаров_x000D_
(kind_of_zak)</t>
  </si>
  <si>
    <t>виды тарифа_x000D_
/kind_group_rates_load/</t>
  </si>
  <si>
    <t>виды тарифа_x000D_
/kind_group_rates_load_filter/</t>
  </si>
  <si>
    <t>виды признаков дифференциации_x000D_
/kind_of_diff/</t>
  </si>
  <si>
    <t>Диапазаны диаметров водопроводных сетей_x000D_
(kind_of_diameters2)</t>
  </si>
  <si>
    <t>List_H</t>
  </si>
  <si>
    <t>List_M</t>
  </si>
  <si>
    <t>kind_of_org_type</t>
  </si>
  <si>
    <t>Виды топлива_x000D_
/kind_of_fuels/</t>
  </si>
  <si>
    <t>YEAR_IP_LIST</t>
  </si>
  <si>
    <t>MONTH_IP_LIST</t>
  </si>
  <si>
    <t>COLDVSNA/HOTVSNA</t>
  </si>
  <si>
    <t>OTKO</t>
  </si>
  <si>
    <t>Алтайский край</t>
  </si>
  <si>
    <t>январь</t>
  </si>
  <si>
    <t>I квартал</t>
  </si>
  <si>
    <t>На официальном сайте организации</t>
  </si>
  <si>
    <t>тыс.куб.м/сутки</t>
  </si>
  <si>
    <t>метод экономически обоснованных расходов (затрат)</t>
  </si>
  <si>
    <t>Передача+Сбыт</t>
  </si>
  <si>
    <t>вода</t>
  </si>
  <si>
    <t>без дифференциации</t>
  </si>
  <si>
    <t>организации-перепродавцы</t>
  </si>
  <si>
    <t>надземная (наземная)</t>
  </si>
  <si>
    <t>50 - 250 мм</t>
  </si>
  <si>
    <t>не превышает 0,1 Гкал/ч</t>
  </si>
  <si>
    <t>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 в соответствии с установленными федеральным органом исполнительной власти в области государственного регулирования тарифов в сфере теплоснабжения предельными (минимальным и (или) максимальным) уровнями указанных тарифов</t>
  </si>
  <si>
    <t>Форма 4.2.1 Информация о величинах тарифов на тепловую энергию, поддержанию резервной тепловой мощности</t>
  </si>
  <si>
    <t>Тариф на теплоноситель, поставляемый потребителям</t>
  </si>
  <si>
    <t>Плата за услуги по поддержанию резервной тепловой мощности при отсутствии потребления тепловой энергии для отдельных категорий (групп) социально значимых потребителей</t>
  </si>
  <si>
    <t>Вода</t>
  </si>
  <si>
    <t>Газ природный по регулируемой цене</t>
  </si>
  <si>
    <t>Конкурс</t>
  </si>
  <si>
    <t>объемы потребления воды абонентами</t>
  </si>
  <si>
    <t>40 мм и менее</t>
  </si>
  <si>
    <t>00</t>
  </si>
  <si>
    <t>газ природный по регулируемой цене</t>
  </si>
  <si>
    <t>тыс м3</t>
  </si>
  <si>
    <t>Январь</t>
  </si>
  <si>
    <t>Амурская область</t>
  </si>
  <si>
    <t>февраль</t>
  </si>
  <si>
    <t>На сайте регулирующего органа</t>
  </si>
  <si>
    <t>УСН</t>
  </si>
  <si>
    <t>метод индексации установленных тарифов</t>
  </si>
  <si>
    <t>Передача</t>
  </si>
  <si>
    <t>пар</t>
  </si>
  <si>
    <t>изменения в раскрытой ранее информации</t>
  </si>
  <si>
    <t>к коллектору источника тепловой энергии</t>
  </si>
  <si>
    <t>бюджетные организации</t>
  </si>
  <si>
    <t>подземная (канальная)</t>
  </si>
  <si>
    <t>251 - 400 мм</t>
  </si>
  <si>
    <t>более 0,1 Гкал/ч и не превышает 1,5 Гкал/ч</t>
  </si>
  <si>
    <t>Тарифы на тепловую энергию (мощность), поставляемую другим теплоснабжающим организациям теплоснабжающими организациями</t>
  </si>
  <si>
    <t>Тариф на теплоноситель, поставляемый теплоснабжающей организацией, владеющей источником (источниками) тепловой энергии, на котором производится теплоноситель</t>
  </si>
  <si>
    <t>Плата за услуги по поддержанию резервной тепловой мощности, оказываемые регулируемой организацией, мощность источников тепловой энергии которой используется для поддержания резервной мощности в соответствии со схемой теплоснабжения</t>
  </si>
  <si>
    <t>Отборный пар, 1,2-2,5 кг/см2</t>
  </si>
  <si>
    <t>Пар</t>
  </si>
  <si>
    <t>Газ природный по нерегулируемой цене</t>
  </si>
  <si>
    <t>Аукцион</t>
  </si>
  <si>
    <t>Тарифы на тепловую энергию (мощность), поставляемую потребителям теплоснабжающими организациями в соответствии с установленными предельными (минимальными и (или) максимальными) уровнями указанных тарифов</t>
  </si>
  <si>
    <t>соответствие качества питьевой воды и горячей воды требованиям, установленным санитарными нормами и правилами</t>
  </si>
  <si>
    <t>от 41 мм до 70 мм включительно</t>
  </si>
  <si>
    <t>01</t>
  </si>
  <si>
    <t>Единая теплоснабжающая организация в ценовой зоне теплоснабжения</t>
  </si>
  <si>
    <t>газ природный по нерегулируемой цене</t>
  </si>
  <si>
    <t>Февраль</t>
  </si>
  <si>
    <t>HEAT_FIN_SRC_LIST</t>
  </si>
  <si>
    <t>VSNA_FIN_SRC_LIST</t>
  </si>
  <si>
    <t>VOTV_FIN_SRC_LIST</t>
  </si>
  <si>
    <t>OTKO_FIN_SRC_LIST</t>
  </si>
  <si>
    <t>HEAT_PT_TARIFF_NAME_LIST</t>
  </si>
  <si>
    <t>COLDVSNA_PT_TARIFF_NAME_LIST</t>
  </si>
  <si>
    <t>HOTVSNA_PT_TARIFF_NAME_LIST</t>
  </si>
  <si>
    <t>VOTV_PT_TARIFF_NAME_LIST</t>
  </si>
  <si>
    <t>Архангельская область</t>
  </si>
  <si>
    <t>март</t>
  </si>
  <si>
    <t>III квартал</t>
  </si>
  <si>
    <t>ЕСХН</t>
  </si>
  <si>
    <t>куб.м/ч</t>
  </si>
  <si>
    <t>метод обеспечения доходности инвестированного капитала</t>
  </si>
  <si>
    <t>производство комбинированная выработка</t>
  </si>
  <si>
    <t>отборный пар, 1.2-2.5 кг/см2</t>
  </si>
  <si>
    <t>к тепловой сети без дополнительного преобразования на тепловых пунктах, эксплуатируемых теплоснабжающей организацией</t>
  </si>
  <si>
    <t>население и приравненные категории</t>
  </si>
  <si>
    <t>подземная (бесканальная)</t>
  </si>
  <si>
    <t>401 - 550 мм</t>
  </si>
  <si>
    <t>превышает 1,5 Гкал/ч при наличии технической возможности подключения</t>
  </si>
  <si>
    <t>Предельный уровнь цены на тепловую энергию (мощность), поставляемую теплоснабжающими организациями потребителям</t>
  </si>
  <si>
    <t>Плата за услуги по поддержанию резервной тепловой мощности, оказываемые регулируемой организацией, мощность тепловых сетей которой используется для поддержания резервной мощности в соответствии со схемой теплоснабжения</t>
  </si>
  <si>
    <t>Отборный пар, 2,5-7 кг/см2</t>
  </si>
  <si>
    <t>Уголь</t>
  </si>
  <si>
    <t>Аукцион в электронной форме</t>
  </si>
  <si>
    <t>иное</t>
  </si>
  <si>
    <t>от 71 мм до 100 мм включительно</t>
  </si>
  <si>
    <t>02</t>
  </si>
  <si>
    <t>Теплоснабжающая организация в ценовой зоне теплоснабжения</t>
  </si>
  <si>
    <t>газ сжиженный</t>
  </si>
  <si>
    <t>кг</t>
  </si>
  <si>
    <t>Март</t>
  </si>
  <si>
    <t>[ Собственные средства ]</t>
  </si>
  <si>
    <t>HEAT_PT_TARIFF_ID</t>
  </si>
  <si>
    <t>HEAT_PT_TARIFF_NAME</t>
  </si>
  <si>
    <t>COLDVSNA_PT_TARIFF_ID</t>
  </si>
  <si>
    <t>COLDVSNA_PT_TARIFF_NAME</t>
  </si>
  <si>
    <t>HOTVSNA_PT_TARIFF_ID</t>
  </si>
  <si>
    <t>HOTVSNA_PT_TARIFF_NAME</t>
  </si>
  <si>
    <t>VOTV_PT_TARIFF_ID</t>
  </si>
  <si>
    <t>VOTV_PT_TARIFF_NAME</t>
  </si>
  <si>
    <t>Астраханская область</t>
  </si>
  <si>
    <t>апрель</t>
  </si>
  <si>
    <t>IV квартал</t>
  </si>
  <si>
    <t>ПСН</t>
  </si>
  <si>
    <t>метод сравнения аналогов</t>
  </si>
  <si>
    <t>производство (некомбинированная выработка)+передача+сбыт</t>
  </si>
  <si>
    <t>отборный пар, 2.5-7 кг/см2</t>
  </si>
  <si>
    <t>к тепловой сети после тепловых пунктов (на тепловых пунктах), эксплуатируемых теплоснабжающей организацией</t>
  </si>
  <si>
    <t>прочие</t>
  </si>
  <si>
    <t>551 - 700 мм</t>
  </si>
  <si>
    <t>превышает 1,5 Гкал/ч при отсутствии технической возможности подключения</t>
  </si>
  <si>
    <t>Форма 4.2.2 Информация о величинах тарифов на теплоноситель, передачу тепловой энергии, теплоносителя</t>
  </si>
  <si>
    <t>не известна</t>
  </si>
  <si>
    <t>Отборный пар, 7-13 кг/см2</t>
  </si>
  <si>
    <t>Мазут</t>
  </si>
  <si>
    <t>Запрос котировок</t>
  </si>
  <si>
    <t>от 101 мм до 150 мм включительно</t>
  </si>
  <si>
    <t>03</t>
  </si>
  <si>
    <t>Теплосетевая организация в ценовой зоне теплоснабжения</t>
  </si>
  <si>
    <t>газовый конденсат</t>
  </si>
  <si>
    <t>тонны</t>
  </si>
  <si>
    <t>Апрель</t>
  </si>
  <si>
    <t xml:space="preserve">  Прибыль направляемая на инвестиции</t>
  </si>
  <si>
    <t xml:space="preserve">  Нормативная прибыль</t>
  </si>
  <si>
    <t>Тариф на горячую воду в закрытой системе горячего водоснабжения (горячее водоснабжение)</t>
  </si>
  <si>
    <t>Тариф на подключение (технологическое присоединение) к централизованной системе водоотведения в индивидуальном порядке</t>
  </si>
  <si>
    <t>Белгородская область</t>
  </si>
  <si>
    <t>май</t>
  </si>
  <si>
    <t>НПД</t>
  </si>
  <si>
    <t>Вид тарифа на передачу тепловой энергии /kind_of_tariff_unit/</t>
  </si>
  <si>
    <t>производство (некомбинированная выработка)+передача</t>
  </si>
  <si>
    <t>отборный пар, 7-13 кг/см2</t>
  </si>
  <si>
    <t>701 мм и выше</t>
  </si>
  <si>
    <t>Форма 4.2.3 Информация о величинах тарифов на горячую воду (в открытых системах)</t>
  </si>
  <si>
    <t>Отборный пар, &gt; 13 кг/см2</t>
  </si>
  <si>
    <t>Дизельное топливо</t>
  </si>
  <si>
    <t>Единственный поставщик</t>
  </si>
  <si>
    <t>от 151 мм до 200 мм включительно</t>
  </si>
  <si>
    <t>04</t>
  </si>
  <si>
    <t>гшз</t>
  </si>
  <si>
    <t>Май</t>
  </si>
  <si>
    <t xml:space="preserve">  [ Амортизационные отчисления ]</t>
  </si>
  <si>
    <t xml:space="preserve">  Капитальные вложения (инвестиции), финансируемые за счет нормативной прибыли, учитываемой в необходимой валовой выручке</t>
  </si>
  <si>
    <t xml:space="preserve">  Амортизационные отчисления</t>
  </si>
  <si>
    <t>Тариф на подключение к централизованной системе водоотведения</t>
  </si>
  <si>
    <t>Брянская область</t>
  </si>
  <si>
    <t>июнь</t>
  </si>
  <si>
    <t>налогообложение казённых учреждений</t>
  </si>
  <si>
    <t>руб./Гкал/ч/мес</t>
  </si>
  <si>
    <t>производство (некомбинированная выработка)+сбыт</t>
  </si>
  <si>
    <t>отборный пар, &gt; 13 кг/см2</t>
  </si>
  <si>
    <t>Острый и редуцированный пар</t>
  </si>
  <si>
    <t>Дрова</t>
  </si>
  <si>
    <t>Иное</t>
  </si>
  <si>
    <t>от 201 мм до 250 мм включительно</t>
  </si>
  <si>
    <t>05</t>
  </si>
  <si>
    <t>QRE_METHOD_LIST</t>
  </si>
  <si>
    <t>мазут</t>
  </si>
  <si>
    <t>Июнь</t>
  </si>
  <si>
    <t xml:space="preserve">      Амортизационные отчисления с выделением результатов переоценки основных средств и нематериальных активов</t>
  </si>
  <si>
    <t>[ Привлеченные средства ]</t>
  </si>
  <si>
    <t>Тариф на подключение к централизованной системе горячего водоснабжения</t>
  </si>
  <si>
    <t>Владимирская область</t>
  </si>
  <si>
    <t>июль</t>
  </si>
  <si>
    <t>смешанное налогообложение</t>
  </si>
  <si>
    <t>руб./Гкал</t>
  </si>
  <si>
    <t>производство (некомбинированная выработка)</t>
  </si>
  <si>
    <t>острый и редуцированный пар</t>
  </si>
  <si>
    <t>Электроэнергия</t>
  </si>
  <si>
    <t>от 250  мм и более</t>
  </si>
  <si>
    <t>06</t>
  </si>
  <si>
    <t>по мероприятиям</t>
  </si>
  <si>
    <t>нефть</t>
  </si>
  <si>
    <t>Июль</t>
  </si>
  <si>
    <t xml:space="preserve">      Прочие амортизационные отчисления</t>
  </si>
  <si>
    <t xml:space="preserve">     Амортизационные отчисления за исключением переоценки основных средств и нематериальных активов</t>
  </si>
  <si>
    <t xml:space="preserve">  Кредиты</t>
  </si>
  <si>
    <t>Тариф на подключение (технологическое присоединение) к централизованной системе холодного водоснабжения в индивидуальном порядке</t>
  </si>
  <si>
    <t>Тариф на подключение к централизованной системе горячего водоснабжения (инд)</t>
  </si>
  <si>
    <t>Волгоградская область</t>
  </si>
  <si>
    <t>август</t>
  </si>
  <si>
    <t>НДС общий_x000D_
/kind_of_NDS_tariff/</t>
  </si>
  <si>
    <t>НДС_x000D_
/kind_of_NDS_tariff/</t>
  </si>
  <si>
    <t>горячая вода в системе централизованного теплоснабжения на отопление</t>
  </si>
  <si>
    <t>Прочее</t>
  </si>
  <si>
    <t>Плата за подключение к системе теплоснабжения</t>
  </si>
  <si>
    <t>07</t>
  </si>
  <si>
    <t>по группам мероприятий</t>
  </si>
  <si>
    <t>дизельное топливо</t>
  </si>
  <si>
    <t>Август</t>
  </si>
  <si>
    <t xml:space="preserve">  Прочие собственные средства</t>
  </si>
  <si>
    <t xml:space="preserve">     Амортизационные отчисления в результате переоценки основных средств и нематериальных активов</t>
  </si>
  <si>
    <t xml:space="preserve">  [ Займы ]</t>
  </si>
  <si>
    <t>Вологодская область</t>
  </si>
  <si>
    <t>сентябрь</t>
  </si>
  <si>
    <t>тариф указан с НДС для плательщиков НДС</t>
  </si>
  <si>
    <t>тариф для организаций не являющихся плательщиками НДС</t>
  </si>
  <si>
    <t>Установленная электрическая мощность. Теплоэлектростанции. Ед.измерения  /kind_of_power_te_unit/</t>
  </si>
  <si>
    <t>цель инвестиционной программы /kind_of_purchase_method/</t>
  </si>
  <si>
    <t>горячая вода в системе централизованного теплоснабжения на горячее водоснабжение</t>
  </si>
  <si>
    <t>Плата за подключение к системе теплоснабжения (индивидуальная)</t>
  </si>
  <si>
    <t>Форма 4.2.5 Информация о плате за подключение к системе теплоснабжения в индивидуальном порядке</t>
  </si>
  <si>
    <t>08</t>
  </si>
  <si>
    <t>в целом на инвестиционную программу</t>
  </si>
  <si>
    <t>уголь бурый</t>
  </si>
  <si>
    <t>Сентябрь</t>
  </si>
  <si>
    <t xml:space="preserve">  За счет платы за технологическое присоединение</t>
  </si>
  <si>
    <t xml:space="preserve">     Прочие амортизационные отчисления</t>
  </si>
  <si>
    <t xml:space="preserve">      Займы, предоставленные Фондом ЖКХ за счет средств ФНБ</t>
  </si>
  <si>
    <t>Воронежская область</t>
  </si>
  <si>
    <t>октябрь</t>
  </si>
  <si>
    <t>тариф указан без НДС для плательщиков НДС</t>
  </si>
  <si>
    <t>тариф не утверждался</t>
  </si>
  <si>
    <t>кВт*ч</t>
  </si>
  <si>
    <t>Торги/аукционы</t>
  </si>
  <si>
    <t>прочее</t>
  </si>
  <si>
    <t>Форма 4.2.4 Информация о величинах тарифов на подключение к системе теплоснабжения</t>
  </si>
  <si>
    <t>09</t>
  </si>
  <si>
    <t>по муниципальным образованиям/территориям</t>
  </si>
  <si>
    <t>уголь каменный</t>
  </si>
  <si>
    <t>Октябрь</t>
  </si>
  <si>
    <t xml:space="preserve">  [ Экономия расходов ]</t>
  </si>
  <si>
    <t xml:space="preserve">      Прочие займы</t>
  </si>
  <si>
    <t>г.Байконур</t>
  </si>
  <si>
    <t>ноябрь</t>
  </si>
  <si>
    <t>МВт</t>
  </si>
  <si>
    <t>Прямые договора без торгов</t>
  </si>
  <si>
    <t>Предельный уровнь цены на тепловую энергию (мощность), поставляемую теплоснабжающими организациями потребителям. Индикативы</t>
  </si>
  <si>
    <t>по централизованным системам</t>
  </si>
  <si>
    <t>торф</t>
  </si>
  <si>
    <t>Ноябрь</t>
  </si>
  <si>
    <t xml:space="preserve">      Экономия расходов в результате реализации мероприятий инвестиционной программы</t>
  </si>
  <si>
    <t xml:space="preserve">  Средства, полученные за счет платы за подключение (технологическое присоединение)</t>
  </si>
  <si>
    <t>[ Бюджетное финансирование ]</t>
  </si>
  <si>
    <t>г. Москва</t>
  </si>
  <si>
    <t>декабрь</t>
  </si>
  <si>
    <t>дрова</t>
  </si>
  <si>
    <t>м3</t>
  </si>
  <si>
    <t>Декабрь</t>
  </si>
  <si>
    <t xml:space="preserve">      Экономия расходов, связанная с сокращением потерь в тепловых сетях, сменой видов и (или) марки основного и (или) резервного топлива на источниках тепловой энергии, реализацией энергосервисного договора (контракта) в размере, определенном по решению регулируемой организации, плату за подключение (технологическое присоединение) к системам централизованного теплоснабжения</t>
  </si>
  <si>
    <t xml:space="preserve">  Федеральный бюджет</t>
  </si>
  <si>
    <t>г.Санкт-Петербург</t>
  </si>
  <si>
    <t>Объём приобретаемой тепловой энергии (мощности), используемой для горячего водоснабжения. Ед.измерения  /kind_of_volume_te_unit/</t>
  </si>
  <si>
    <t>Вид деятельности /kind_of_activity/</t>
  </si>
  <si>
    <t>TITLE_IP_DETAILED_METHOD_LIST</t>
  </si>
  <si>
    <t>опил</t>
  </si>
  <si>
    <t xml:space="preserve">      Экономия расходов, достигнутая регулируемой организацией в результате реализации мероприятий инвестиционной программы за счет амортизационных отчислений</t>
  </si>
  <si>
    <t xml:space="preserve">  Бюджет субъекта РФ</t>
  </si>
  <si>
    <t>г.Севастополь</t>
  </si>
  <si>
    <t>TemplateState</t>
  </si>
  <si>
    <t>НДС общий люди_x000D_
/kind_of_NDS_tariff_people/</t>
  </si>
  <si>
    <t>НДС_x000D_
/kind_of_NDS_tariff_people/</t>
  </si>
  <si>
    <t>производство тепловой энергии (мощности)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МВт и более</t>
  </si>
  <si>
    <t>отходы березовые</t>
  </si>
  <si>
    <t xml:space="preserve">      Экономия расходов, достигнутая регулируемой организацией в результате реализации мероприятий инвестиционной программы за счет капитальных вложений в составе нормативной прибыли</t>
  </si>
  <si>
    <t xml:space="preserve">  Бюджет муниципального образования</t>
  </si>
  <si>
    <t>Донецкая Народная Республика</t>
  </si>
  <si>
    <t>START_FILL</t>
  </si>
  <si>
    <t>тариф с НДС организаций-плательщиков НДС</t>
  </si>
  <si>
    <t>тариф организаций не являющихся плательщиками НДС</t>
  </si>
  <si>
    <t>15</t>
  </si>
  <si>
    <t>производство тепловой энергии (мощности)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менее 25 МВт</t>
  </si>
  <si>
    <t>отходы осиновые</t>
  </si>
  <si>
    <t xml:space="preserve">      Экономия расходов, достигнутая регулируемой организацией в результате реализации мероприятий инвестиционной программы за счет прочих собственных средств</t>
  </si>
  <si>
    <t>[ Прочие источники финансирования ]</t>
  </si>
  <si>
    <t>Еврейская автономная область</t>
  </si>
  <si>
    <t>16</t>
  </si>
  <si>
    <t>производство тепловой энергии (мощности) не в режиме комбинированной выработки электрической и тепловой энергии источниками тепловой энергии</t>
  </si>
  <si>
    <t>по мероприятиям и группам мероприятий</t>
  </si>
  <si>
    <t>печное топливо</t>
  </si>
  <si>
    <t xml:space="preserve">      Экономия расходов, достигнутая регулируемой организацией в результате реализации мероприятий инвестиционной программы за счет за счет займов и кредитов</t>
  </si>
  <si>
    <t xml:space="preserve">  Лизинг</t>
  </si>
  <si>
    <t>COLDVSNA_PT_VED_NAME_LIST</t>
  </si>
  <si>
    <t>HOTVSNA_PT_VED_NAME_LIST</t>
  </si>
  <si>
    <t>VOTV_PT_VED_NAME_LIST</t>
  </si>
  <si>
    <t>TKO_PT_VED_NAME_LIST</t>
  </si>
  <si>
    <t>Забайкальский край</t>
  </si>
  <si>
    <t>Тарифы на тепло для REQUEST.HEAT_x000D_
/kind_of_tariff_RHEAT/</t>
  </si>
  <si>
    <t>17</t>
  </si>
  <si>
    <t>производство теплоносителя</t>
  </si>
  <si>
    <t>пилеты</t>
  </si>
  <si>
    <t xml:space="preserve">      Экономия средств, достигнутая регулируемой организацией в результате снижения расходов</t>
  </si>
  <si>
    <t xml:space="preserve">  Прочие</t>
  </si>
  <si>
    <t>COLDVSNA_PT_VED_ID</t>
  </si>
  <si>
    <t>COLDVSNA_PT_VED_NAME</t>
  </si>
  <si>
    <t>HOTVSNA_PT_VED_ID</t>
  </si>
  <si>
    <t>HOTVSNA_PT_VED_NAME</t>
  </si>
  <si>
    <t>VOTV_PT_VED_ID</t>
  </si>
  <si>
    <t>VOTV_PT_VED_NAME</t>
  </si>
  <si>
    <t>TKO_PT_VED_ID</t>
  </si>
  <si>
    <t>TKO_PT_VED_NAME</t>
  </si>
  <si>
    <t>Запорожская область</t>
  </si>
  <si>
    <t>18</t>
  </si>
  <si>
    <t>передача тепловой энергии и теплоносителя</t>
  </si>
  <si>
    <t>IP_CLAIM_LIST</t>
  </si>
  <si>
    <t>смола</t>
  </si>
  <si>
    <t xml:space="preserve">  Прочие привлеченные средства</t>
  </si>
  <si>
    <t xml:space="preserve">      Экономия расходов в результате реализации энергосервисного договора (контракта) в результате снижения расходов, в размере, определенном по решению регулируемой организации, плату за подключение к централизованным системам водоснабжения</t>
  </si>
  <si>
    <t>Производство тепловой энергии. Некомбинированная выработка</t>
  </si>
  <si>
    <t>Холодное водоснабжение. Питьевая вода</t>
  </si>
  <si>
    <t>Горячее водоснабжение</t>
  </si>
  <si>
    <t>Водоотведение</t>
  </si>
  <si>
    <t>Захоронение твердых коммунальных отходов</t>
  </si>
  <si>
    <t>Ивановская область</t>
  </si>
  <si>
    <t>19</t>
  </si>
  <si>
    <t>сбыт тепловой энергии и теплоносителя</t>
  </si>
  <si>
    <t>уменьшение удельных затрат (повышение КПД)</t>
  </si>
  <si>
    <t>щепа</t>
  </si>
  <si>
    <t>Производство тепловой энергии. Комбинированная выработка с уст. мощностью производства электрической энергии менее 25 МВт</t>
  </si>
  <si>
    <t>Холодное водоснабжение. Техническая вода</t>
  </si>
  <si>
    <t>Транспортировка</t>
  </si>
  <si>
    <t>Обезвреживание твердых коммунальных отходов</t>
  </si>
  <si>
    <t>Иркутская область</t>
  </si>
  <si>
    <t>20</t>
  </si>
  <si>
    <t>подключение к системе теплоснабжения</t>
  </si>
  <si>
    <t>автоматизация (с уменьшением штата)</t>
  </si>
  <si>
    <t>горючий сланец</t>
  </si>
  <si>
    <t>Производство тепловой энергии. Комбинированная выработка с уст. мощностью производства электрической энергии 25 МВт и более</t>
  </si>
  <si>
    <t>Холодное водоснабжение. Подвозная вода</t>
  </si>
  <si>
    <t>Подключение (технологическое присоединение) к централизованной системе горячего водоснабжения</t>
  </si>
  <si>
    <t>Подключение (технологическое присоединение) к централизованной системе водоотведения</t>
  </si>
  <si>
    <t>Обработка твердых коммунальных отходов</t>
  </si>
  <si>
    <t>Кабардино-Балкарская республика</t>
  </si>
  <si>
    <t>поддержание резервной тепловой мощности при отсутствии потребления тепловой энергии</t>
  </si>
  <si>
    <t>уменьшение издержек на производство</t>
  </si>
  <si>
    <t>керосин</t>
  </si>
  <si>
    <t>Производство. Теплоноситель</t>
  </si>
  <si>
    <t>Транспортировка. Питьевая вода</t>
  </si>
  <si>
    <t>Калининградская область</t>
  </si>
  <si>
    <t>21</t>
  </si>
  <si>
    <t>снижение аварийности</t>
  </si>
  <si>
    <t>кислородно-водородная смесь</t>
  </si>
  <si>
    <t>Передача. Тепловая энергия</t>
  </si>
  <si>
    <t>Транспортировка. Техническая вода</t>
  </si>
  <si>
    <t>Энергетическая утилизация</t>
  </si>
  <si>
    <t>Калужская область</t>
  </si>
  <si>
    <t>22</t>
  </si>
  <si>
    <t>улучшение качества</t>
  </si>
  <si>
    <t>электроэнергия (НН)</t>
  </si>
  <si>
    <t>тыс кВт.ч</t>
  </si>
  <si>
    <t>Передача. Теплоноситель</t>
  </si>
  <si>
    <t>Транспортировка. Подвозная вода</t>
  </si>
  <si>
    <t>Транспортирование твердых коммунальных отходов</t>
  </si>
  <si>
    <t>Камчатский край</t>
  </si>
  <si>
    <t>23</t>
  </si>
  <si>
    <t>повышение надёжности и энергетической эффективности</t>
  </si>
  <si>
    <t>электроэнергия (СН1)</t>
  </si>
  <si>
    <t>Сбыт. Тепловая энергия</t>
  </si>
  <si>
    <t>Подключение (технологическое присоединение) к централизованной системе водоснабжения</t>
  </si>
  <si>
    <t>Карачаево-Черкесская республика</t>
  </si>
  <si>
    <t>CROSSES</t>
  </si>
  <si>
    <t>24</t>
  </si>
  <si>
    <t>электроэнергия (СН2)</t>
  </si>
  <si>
    <t>Сбыт. Теплоноситель</t>
  </si>
  <si>
    <t>Кемеровская область</t>
  </si>
  <si>
    <t>25</t>
  </si>
  <si>
    <t>электроэнергия (ВН)</t>
  </si>
  <si>
    <t>Подключение (технологическое присоединение) к системе теплоснабжения</t>
  </si>
  <si>
    <t>Кировская область</t>
  </si>
  <si>
    <t>Текущая дата</t>
  </si>
  <si>
    <t>26</t>
  </si>
  <si>
    <t>PT_GROUP_CONSUMER_LIST</t>
  </si>
  <si>
    <t>мощность</t>
  </si>
  <si>
    <t>тыс кВт</t>
  </si>
  <si>
    <t>Поддержание резервной тепловой мощности при отсутствии потребления тепловой энергии</t>
  </si>
  <si>
    <t>Костромская область</t>
  </si>
  <si>
    <t>Организация</t>
  </si>
  <si>
    <t>25.07.2023 22:51:32</t>
  </si>
  <si>
    <t>27</t>
  </si>
  <si>
    <t>Краснодарский край</t>
  </si>
  <si>
    <t>28</t>
  </si>
  <si>
    <t xml:space="preserve">  Плата концедента на строительство, модернизацию и (или) реконструкцию объекта концессионного соглашения в размере, предусмотренном заключенным концессионным соглашением</t>
  </si>
  <si>
    <t>Красноярский край</t>
  </si>
  <si>
    <t>29</t>
  </si>
  <si>
    <t>население</t>
  </si>
  <si>
    <t xml:space="preserve">  Иные бюджетные средства</t>
  </si>
  <si>
    <t>Курганская область</t>
  </si>
  <si>
    <t>Виды деятельности</t>
  </si>
  <si>
    <t>https://appsrv.regportal-tariff.ru/procwsxls/</t>
  </si>
  <si>
    <t>30</t>
  </si>
  <si>
    <t>Курская область</t>
  </si>
  <si>
    <t>31</t>
  </si>
  <si>
    <t>Ленинградская область</t>
  </si>
  <si>
    <t>32</t>
  </si>
  <si>
    <t>Липецкая область</t>
  </si>
  <si>
    <t>33</t>
  </si>
  <si>
    <t>PT_SCHEME_LIST</t>
  </si>
  <si>
    <t xml:space="preserve">  Доход от взимания платы за нарушение нормативов по объему и (или) составу сточных вод</t>
  </si>
  <si>
    <t>Луганская Народная Республика</t>
  </si>
  <si>
    <t>TEMPLATE_SPHERE</t>
  </si>
  <si>
    <t>34</t>
  </si>
  <si>
    <t xml:space="preserve">  Доход от взимания платы за негативное воздействие на работу централизованной системы водоотведения</t>
  </si>
  <si>
    <t>Магаданская область</t>
  </si>
  <si>
    <t>теплоснабжения</t>
  </si>
  <si>
    <t>теплоснабжение</t>
  </si>
  <si>
    <t>35</t>
  </si>
  <si>
    <t>Московская область</t>
  </si>
  <si>
    <t>холодного водоснабжения</t>
  </si>
  <si>
    <t>холодное водоснабжение</t>
  </si>
  <si>
    <t>36</t>
  </si>
  <si>
    <t>HEAT_FIN_SRC_VLD_LIST</t>
  </si>
  <si>
    <t>VSNA_FIN_SRC_VLD_LIST</t>
  </si>
  <si>
    <t>VOTV_FIN_SRC_VLD_LIST</t>
  </si>
  <si>
    <t>OTKO_FIN_SRC_VLD_LIST</t>
  </si>
  <si>
    <t>Мурманская область</t>
  </si>
  <si>
    <t>водоотведения</t>
  </si>
  <si>
    <t>водоотведение</t>
  </si>
  <si>
    <t>37</t>
  </si>
  <si>
    <t>Прибыль направляемая на инвестиции</t>
  </si>
  <si>
    <t>Нормативная прибыль</t>
  </si>
  <si>
    <t>Ненецкий автономный округ</t>
  </si>
  <si>
    <t>горячего водоснабжения</t>
  </si>
  <si>
    <t>горячее водоснабжение</t>
  </si>
  <si>
    <t>38</t>
  </si>
  <si>
    <t>Амортизационные отчисления с выделением результатов переоценки основных средств и нематериальных активов</t>
  </si>
  <si>
    <t>обращения с твердыми коммунальными отходами</t>
  </si>
  <si>
    <t>TKO</t>
  </si>
  <si>
    <t>39</t>
  </si>
  <si>
    <t>PT_TN_LIST</t>
  </si>
  <si>
    <t>Прочие амортизационные отчисления</t>
  </si>
  <si>
    <t>Новгородская область</t>
  </si>
  <si>
    <t>40</t>
  </si>
  <si>
    <t>Займы, предоставленные Фондом ЖКХ за счет средств ФНБ</t>
  </si>
  <si>
    <t>Новосибирская область</t>
  </si>
  <si>
    <t>41</t>
  </si>
  <si>
    <t>За счет платы за технологическое присоединение</t>
  </si>
  <si>
    <t>Прочие займы</t>
  </si>
  <si>
    <t>Омская область</t>
  </si>
  <si>
    <t>PeriodIsEmpty</t>
  </si>
  <si>
    <t>NameTemplatesInTitle</t>
  </si>
  <si>
    <t>NameTemplatesInListMO</t>
  </si>
  <si>
    <t>42</t>
  </si>
  <si>
    <t>Экономия расходов в результате реализации мероприятий инвестиционной программы</t>
  </si>
  <si>
    <t>Федеральный бюджет</t>
  </si>
  <si>
    <t>Оренбургская область</t>
  </si>
  <si>
    <t>TEMPLATE_GROUP</t>
  </si>
  <si>
    <t>Q</t>
  </si>
  <si>
    <t>CodeTemplate</t>
  </si>
  <si>
    <t>StartDate</t>
  </si>
  <si>
    <t>EndDate</t>
  </si>
  <si>
    <t>43</t>
  </si>
  <si>
    <t>Экономия расходов, связанная с сокращением потерь в тепловых сетях, сменой видов и (или) марки основного и (или) резервного топлива на источниках тепловой энергии, реализацией энергосервисного договора (контракта) в размере, определенном по решению регулируемой организации, плату за подключение (технологическое присоединение) к системам централизованного теплоснабжения</t>
  </si>
  <si>
    <t>Бюджет субъекта РФ</t>
  </si>
  <si>
    <t>Орловская область</t>
  </si>
  <si>
    <t>O</t>
  </si>
  <si>
    <t>44</t>
  </si>
  <si>
    <t>Бюджет муниципального образования</t>
  </si>
  <si>
    <t>Пензенская область</t>
  </si>
  <si>
    <t>45</t>
  </si>
  <si>
    <t>Лизинг</t>
  </si>
  <si>
    <t>Пермский край</t>
  </si>
  <si>
    <t>BALANCE</t>
  </si>
  <si>
    <t>B</t>
  </si>
  <si>
    <t>Информация о показателях финансово-хозяйственной деятельности, об основных потребительских характеристиках регулируемых товаров и услуг, об инвестиционных программах</t>
  </si>
  <si>
    <t>46</t>
  </si>
  <si>
    <t>Прочие</t>
  </si>
  <si>
    <t>Приморский край</t>
  </si>
  <si>
    <t>TERMS</t>
  </si>
  <si>
    <t>T</t>
  </si>
  <si>
    <t>47</t>
  </si>
  <si>
    <t>Псковская область</t>
  </si>
  <si>
    <t>INVEST</t>
  </si>
  <si>
    <t>Республика Адыгея</t>
  </si>
  <si>
    <t>REQUEST</t>
  </si>
  <si>
    <t>R</t>
  </si>
  <si>
    <t>49</t>
  </si>
  <si>
    <t>Экономия расходов в результате реализации энергосервисного договора (контракта) в результате снижения расходов, в размере, определенном по решению регулируемой организации, плату за подключение к централизованным системам водоснабжения</t>
  </si>
  <si>
    <t>Республика Алтай</t>
  </si>
  <si>
    <t>PRICE</t>
  </si>
  <si>
    <t>P</t>
  </si>
  <si>
    <t>50</t>
  </si>
  <si>
    <t>Республика Башкортостан</t>
  </si>
  <si>
    <t>ROIV</t>
  </si>
  <si>
    <t>Показатели, подлежащие раскрытию органами регулирования</t>
  </si>
  <si>
    <t>51</t>
  </si>
  <si>
    <t>Республика Бурятия</t>
  </si>
  <si>
    <t>52</t>
  </si>
  <si>
    <t>PT_NETS_LIST</t>
  </si>
  <si>
    <t>Республика Дагестан</t>
  </si>
  <si>
    <t>53</t>
  </si>
  <si>
    <t>Республика Ингушетия</t>
  </si>
  <si>
    <t>TERRITORY_ID</t>
  </si>
  <si>
    <t>начинать только с 2, остальное по умолчанию</t>
  </si>
  <si>
    <t>54</t>
  </si>
  <si>
    <t>Республика Калмыкия</t>
  </si>
  <si>
    <t>DIFFERENTIATION_ID</t>
  </si>
  <si>
    <t>55</t>
  </si>
  <si>
    <t>Республика Карелия</t>
  </si>
  <si>
    <t>IP_ID</t>
  </si>
  <si>
    <t>56</t>
  </si>
  <si>
    <t>Республика Коми</t>
  </si>
  <si>
    <t>начинать только с 30, остальное по умолчанию</t>
  </si>
  <si>
    <t>57</t>
  </si>
  <si>
    <t>PT_DIAMETERS_LIST</t>
  </si>
  <si>
    <t>Республика Крым</t>
  </si>
  <si>
    <t>VDET_ID</t>
  </si>
  <si>
    <t>58</t>
  </si>
  <si>
    <t>Республика Марий Эл</t>
  </si>
  <si>
    <t>NTAR_ID</t>
  </si>
  <si>
    <t>59</t>
  </si>
  <si>
    <t>Республика Мордовия</t>
  </si>
  <si>
    <t>Республика Саха (Якутия)</t>
  </si>
  <si>
    <t>CS_ID</t>
  </si>
  <si>
    <t>Республика Северная Осетия-Алания</t>
  </si>
  <si>
    <t>IST_TE_ID</t>
  </si>
  <si>
    <t>Республика Татарстан</t>
  </si>
  <si>
    <t>Республика Тыва</t>
  </si>
  <si>
    <t>PT_LOAD_LIST</t>
  </si>
  <si>
    <t>Республика Хакасия</t>
  </si>
  <si>
    <t>Ростовская область</t>
  </si>
  <si>
    <t>HEAT_IP_EVENT_GROUP_LIST</t>
  </si>
  <si>
    <t>VSNA_IP_EVENT_GROUP_LIST</t>
  </si>
  <si>
    <t>VOTV_IP_EVENT_GROUP_LIST</t>
  </si>
  <si>
    <t>OTKO_IP_EVENT_GROUP_LIST</t>
  </si>
  <si>
    <t>Рязанская область</t>
  </si>
  <si>
    <t>Строительство, реконструкция или модернизация объектов теплоснабжения в целях подключения потребителей с указанием объектов теплоснабжения, строительство которых финансируется за счет платы за подключение</t>
  </si>
  <si>
    <t>Строительство, реконструкция или модернизация объектов водоснабжения в целях подключения потребителей с указанием объектов водоснабжения, строительство которых финансируется за счет платы за подключение</t>
  </si>
  <si>
    <t>Строительство, реконструкция или модернизация объектов водоотведения и очистки сточных вод в целях подключения потребителей с указанием объектов водоотведения и очистки сточных вод, строительство которых финансируется за счет платы за подключение</t>
  </si>
  <si>
    <t>Мероприятия инвестиционной программы в части накопления твердых коммунальных отходов</t>
  </si>
  <si>
    <t>Самарская область</t>
  </si>
  <si>
    <t>Строительство новых объектов теплоснабжения, не связанных с подключением (технологическим присоединением) новых потребителей, в том числе строительство новых тепловых сетей</t>
  </si>
  <si>
    <t>Строительство новых объектов водоснабжения, не связанных с подключением (технологическим присоединением) новых потребителей, в том числе строительство новых сетей водоснабжения</t>
  </si>
  <si>
    <t>Строительство новых объектов водоотведения и очистки сточных вод, не связанных с подключением (технологическим присоединением) новых потребителей, в том числе строительство новых сетей водоотведения и очистки сточных вод</t>
  </si>
  <si>
    <t>Мероприятия инвестиционной программы в части обработки твердых коммунальных отходов</t>
  </si>
  <si>
    <t>Саратовская область</t>
  </si>
  <si>
    <t>Реконструкция или модернизация существующих объектов теплоснабжения в целях снижения уровня износа существующих объектов теплоснабжения</t>
  </si>
  <si>
    <t>Реконструкция или модернизация существующих объектов водоснабжения в целях снижения уровня износа существующих объектов водоснабжения</t>
  </si>
  <si>
    <t>Реконструкция или модернизация существующих объектов водоотведения и очистки сточных вод в целях снижения уровня износа существующих объектов водоотведения и очистки сточных вод</t>
  </si>
  <si>
    <t>Мероприятия инвестиционной программы в части утилизации твердых коммунальных отходов</t>
  </si>
  <si>
    <t>Сахалинская область</t>
  </si>
  <si>
    <t>Мероприятия, направленные на повышение экологической эффективности</t>
  </si>
  <si>
    <t>Мероприятия инвестиционной программы в части обезвреживания твердых коммунальных отходов</t>
  </si>
  <si>
    <t>Свердловская область</t>
  </si>
  <si>
    <t>Вывод из эксплуатации, консервации и демонтаж объектов теплоснабжения</t>
  </si>
  <si>
    <t>Вывод из эксплуатации, консервация и демонтаж объектов водоснабжения</t>
  </si>
  <si>
    <t>Вывод из эксплуатации, консервация и демонтаж объектов водоотведения и очистки сточных вод</t>
  </si>
  <si>
    <t>Мероприятия инвестиционной программы в части хранения твердых коммунальных отходов</t>
  </si>
  <si>
    <t>Смоленская область</t>
  </si>
  <si>
    <t>Мероприятия, направленные на повышение энергоэффективности в сфере теплоснабжения</t>
  </si>
  <si>
    <t>Мероприятия, направленные на повышение энергоэффективности в сфере водоснабжения</t>
  </si>
  <si>
    <t>Мероприятия, направленные на повышение энергоэффективности в сфере водоотведения и очистки сточных вод</t>
  </si>
  <si>
    <t>Мероприятия инвестиционной программы в части захоронения твердых коммунальных отходов</t>
  </si>
  <si>
    <t>Ставропольский край</t>
  </si>
  <si>
    <t>PT_DIAMETERS_2_LIST</t>
  </si>
  <si>
    <t>Мероприятия по подготовке проектной документации</t>
  </si>
  <si>
    <t>Тамбовская область</t>
  </si>
  <si>
    <t>Мероприятия, предусматривающие капитальные вложения в объекты основных средств и нематериальные активы регулируемой организации, обусловленные необходимостью соблюдения регулируемыми организациями обязательных требований, установленных законодательством Российской Федерации и связанных с осуществлением деятельности в сфере теплоснабжения, включая мероприятия по обеспечению безопасности и антитеррористической защищенности объектов топливно-энергетического комплекса, безопасности критической информационной инфраструктуры</t>
  </si>
  <si>
    <t>Мероприятия, предусматривающие капитальные вложения в объекты основных средств и нематериальные активы регулируемой организации, обусловленные необходимостью соблюдения регулируемыми организациями обязательных требований, установленных законодательством Российской Федерации и связанных с обеспечением деятельности в сфере горячего водоснабжения, холодного водоснабжения с использованием централизованных систем водоснабжения</t>
  </si>
  <si>
    <t xml:space="preserve">Мероприятия, предусматривающие капитальные вложения в объекты основных средств и нематериальные активы регулируемой организации, обусловленные необходимостью соблюдения регулируемыми организациями обязательных требований, установленных законодательством Российской Федерации и связанных с обеспечением деятельности в сфере водоотведения с использованием централизованных систем водоотведения_x000D_
</t>
  </si>
  <si>
    <t>Тверская область</t>
  </si>
  <si>
    <t>Томская область</t>
  </si>
  <si>
    <t>Тульская область</t>
  </si>
  <si>
    <t>HEAT_IP_EVENT_SUBGROUP_1_LIST</t>
  </si>
  <si>
    <t>VSNA_IP_EVENT_SUBGROUP_1_LIST</t>
  </si>
  <si>
    <t>VOTV_IP_EVENT_SUBGROUP_1_LIST</t>
  </si>
  <si>
    <t>Тюменская область</t>
  </si>
  <si>
    <t>строительство новых тепловых сетей в целях подключения потребителей</t>
  </si>
  <si>
    <t>строительство новых сетей водоснабжения в целях подключения потребителей</t>
  </si>
  <si>
    <t>строительство новых сетей водоотведения и очистки сточных вод в целях подключения потребителей</t>
  </si>
  <si>
    <t>Удмуртская республика</t>
  </si>
  <si>
    <t>строительство иных объектов теплоснабжения за исключением тепловых сетей в целях подключения потребителей</t>
  </si>
  <si>
    <t>строительство иных объектов водоснабжения, за исключением сетей водоснабжения в целях подключения потребителей</t>
  </si>
  <si>
    <t>строительство иных объектов водоотведения и очистки сточных вод, за исключением сетей водоотведения и очистки сточных вод в целях подключения потребителей</t>
  </si>
  <si>
    <t>Ульяновская область</t>
  </si>
  <si>
    <t>увеличение пропускной способности существующих тепловых сетей в целях подключения потребителей</t>
  </si>
  <si>
    <t>увеличение пропускной способности существующих сетей водоснабжения в целях подключения потребителей</t>
  </si>
  <si>
    <t>увеличение пропускной способности существующих сетей водоотведения и очистки сточных вод в целях подключения потребителей</t>
  </si>
  <si>
    <t>Хабаровский край</t>
  </si>
  <si>
    <t>увеличение мощности и производительности существующих объектов теплоснабжения за исключением тепловых сетей в целях подключения потребителей</t>
  </si>
  <si>
    <t>увеличение мощности и производительности существующих объектов водоснабжения, за исключением сетей водоснабжения в целях подключения потребителей</t>
  </si>
  <si>
    <t>увеличение мощности и производительности существующих объектов водоотведения и очистки сточных вод за исключением сетей водоотведения и очистки сточных вод, в целях подключения потребителей</t>
  </si>
  <si>
    <t>Ханты-Мансийский автономный округ</t>
  </si>
  <si>
    <t>TYPE_TKO_LIST</t>
  </si>
  <si>
    <t>Херсонская область</t>
  </si>
  <si>
    <t>несортированные</t>
  </si>
  <si>
    <t>Челябинская область</t>
  </si>
  <si>
    <t>сортированные</t>
  </si>
  <si>
    <t>HEAT_IP_EVENT_SUBGROUP_3_LIST</t>
  </si>
  <si>
    <t>VSNA_IP_EVENT_SUBGROUP_3_LIST</t>
  </si>
  <si>
    <t>VOTV_IP_EVENT_SUBGROUP_3_LIST</t>
  </si>
  <si>
    <t>Чеченская республика</t>
  </si>
  <si>
    <t>крупногабаритные</t>
  </si>
  <si>
    <t>реконструкция или модернизация существующих тепловых сетей</t>
  </si>
  <si>
    <t>реконструкция или модернизация существующих сетей водоснабжения</t>
  </si>
  <si>
    <t>реконструкция или модернизация существующих сетей водоотведения и очистки сточных вод</t>
  </si>
  <si>
    <t>Чувашская республика</t>
  </si>
  <si>
    <t>реконструкция или модернизация существующих объектов теплоснабжения, за исключением тепловых сетей</t>
  </si>
  <si>
    <t>реконструкция или модернизация существующих объектов водоснабжения, за исключением сетей водоснабжения</t>
  </si>
  <si>
    <t>реконструкция или модернизация существующих объектов водоотведения и очистки сточных вод, за исключением сетей водоотведения и очистки сточных вод</t>
  </si>
  <si>
    <t>Чукотский автономный округ</t>
  </si>
  <si>
    <t>CLASS_TKO_LIST</t>
  </si>
  <si>
    <t>Ямало-Ненецкий автономный округ</t>
  </si>
  <si>
    <t>Ярославская область</t>
  </si>
  <si>
    <t>HEAT_IP_EVENT_SUBGROUP_5_LIST</t>
  </si>
  <si>
    <t>VSNA_IP_EVENT_SUBGROUP_5_LIST</t>
  </si>
  <si>
    <t>VOTV_IP_EVENT_SUBGROUP_5_LIST</t>
  </si>
  <si>
    <t>III</t>
  </si>
  <si>
    <t>вывод из эксплуатации, консервация и демонтаж тепловых сетей</t>
  </si>
  <si>
    <t>вывод из эксплуатации, консервация и демонтаж сетей водоснабжения</t>
  </si>
  <si>
    <t>вывод из эксплуатации, консервация и демонтаж сетей водоотведения и очистки сточных вод</t>
  </si>
  <si>
    <t>IV</t>
  </si>
  <si>
    <t>вывод из эксплуатации, консервация и демонтаж иных объектов теплоснабжения, за исключением тепловых сетей</t>
  </si>
  <si>
    <t>вывод из эксплуатации, консервация и демонтаж иных объектов водоснабжения, за исключением сетей водоснабжения</t>
  </si>
  <si>
    <t>вывод из эксплуатации, консервация и демонтаж иных объектов водоотведения и очистки сточных вод, за исключением сетей водоотведения и очистки сточных вод</t>
  </si>
  <si>
    <t>V</t>
  </si>
  <si>
    <t>ROIV_INFO_LIST_HEAT</t>
  </si>
  <si>
    <t>HEAT_IP_EVENT_CI_STAGE_LIST</t>
  </si>
  <si>
    <t>VSNA_IP_EVENT_CI_STAGE_LIST</t>
  </si>
  <si>
    <t>VOTV_IP_EVENT_CI_STAGE_LIST</t>
  </si>
  <si>
    <t>OTKO_IP_EVENT_CI_STAGE_LIST</t>
  </si>
  <si>
    <t>информация об органе регулирования и перечень организаций</t>
  </si>
  <si>
    <t>в течение 30 дней со дня изменения такой информации</t>
  </si>
  <si>
    <t>производство тепловой энергии</t>
  </si>
  <si>
    <t>на забор и подъём воды</t>
  </si>
  <si>
    <t>на транспортировку сточных вод</t>
  </si>
  <si>
    <t>сбор</t>
  </si>
  <si>
    <t>доклад о результатах правоприменительной практики</t>
  </si>
  <si>
    <t>не позднее 3 дней со дня утверждения доклада</t>
  </si>
  <si>
    <t>передача теплоэнергии по региональным тепловым сетям</t>
  </si>
  <si>
    <t>на водоподготовку</t>
  </si>
  <si>
    <t>очистка сточных вод</t>
  </si>
  <si>
    <t>накопление</t>
  </si>
  <si>
    <t>дата, время и место проведения заседания об установлении тарифов</t>
  </si>
  <si>
    <t>прочие объекты и мероприятия, относимые к регулируемому виду деятельности</t>
  </si>
  <si>
    <t>на транспортировку воды</t>
  </si>
  <si>
    <t>обращение с осадком сточных вод</t>
  </si>
  <si>
    <t>транспортирование</t>
  </si>
  <si>
    <t>информация о принятых решениях об установлении тарифов</t>
  </si>
  <si>
    <t>обработка</t>
  </si>
  <si>
    <t>информация о принятых решениях об утверждении предельного уровня цены на тепловую энергию (мощность)</t>
  </si>
  <si>
    <t>в течение 10 дней со дня принятия соответствующего решения</t>
  </si>
  <si>
    <t>утилизация</t>
  </si>
  <si>
    <t>протокол заседания правления</t>
  </si>
  <si>
    <t>обезвреживание</t>
  </si>
  <si>
    <t>информация о привлечении к ответственности</t>
  </si>
  <si>
    <t>до 30 апреля года, следующего за отчётным годом</t>
  </si>
  <si>
    <t>размещение отходов</t>
  </si>
  <si>
    <t>энергетическая утилизация</t>
  </si>
  <si>
    <t>UNIT_CONNECT_LIST</t>
  </si>
  <si>
    <t>тыс.руб./Гкал/ч</t>
  </si>
  <si>
    <t>тыс.руб.</t>
  </si>
  <si>
    <t>WARM_IP_EVENT_TYPE_LIST</t>
  </si>
  <si>
    <t>VSNA_IP_EVENT_TYPE_LIST</t>
  </si>
  <si>
    <t>VOTV_IP_EVENT_TYPE_LIST</t>
  </si>
  <si>
    <t>OTKO_IP_EVENT_TYPE_LIST</t>
  </si>
  <si>
    <t>Производство тепловой энергии</t>
  </si>
  <si>
    <t>Водоснабжение</t>
  </si>
  <si>
    <t>Обращение с твердыми коммунальными отходами</t>
  </si>
  <si>
    <t>Прочие объекты и мероприятия, относимые к регулируемому виду деятельности</t>
  </si>
  <si>
    <t>ROIV_INFO_LIST_NO_HEAT</t>
  </si>
  <si>
    <t>HEAT_PT_SCHEME</t>
  </si>
  <si>
    <t>Фамилия, имя и отчество (при наличии) руководителя:</t>
  </si>
  <si>
    <t>фамилия</t>
  </si>
  <si>
    <t>Указывается фамилия руководителя в соответствии с паспортными данными физического лица.</t>
  </si>
  <si>
    <t>имя</t>
  </si>
  <si>
    <t>Указывается имя руководителя в соответствии с паспортными данными физического лица.</t>
  </si>
  <si>
    <t>отчество (при наличии)</t>
  </si>
  <si>
    <t>Указывается отчество руководителя в соответствии с паспортными данными физического лица (при наличии).</t>
  </si>
  <si>
    <t xml:space="preserve">Почтовый адрес </t>
  </si>
  <si>
    <t>Указывается наименование субъекта Российской Федерации, муниципального района, города, иного населенного пункта, улицы, номер дома, при необходимости указывается корпус, строение, литера или дополнительная территория._x000D_
Данные указываются согласно наименованиям адресных объектов в ФИАС.</t>
  </si>
  <si>
    <t xml:space="preserve">Адрес места нахождения </t>
  </si>
  <si>
    <t>Справочные телефоны</t>
  </si>
  <si>
    <t>Указывается номер контактного телефона. В случае наличия нескольких номеров телефонов, информация по каждому из них указывается в отдельной строке.</t>
  </si>
  <si>
    <t>Адрес официального сайта органа регулирования тарифов в сети "Интернет"</t>
  </si>
  <si>
    <t>Указывается адрес официального сайта в сети "Интернет". В случае отсутствия официального сайта в сети "Интернет" указывается "Отсутствует".</t>
  </si>
  <si>
    <t>Адрес электронной почты</t>
  </si>
  <si>
    <t>Указывается при наличии.</t>
  </si>
  <si>
    <t>Наименование организации</t>
  </si>
  <si>
    <t>ОГРН (ОГРНИП)</t>
  </si>
  <si>
    <t>Добавить организацию</t>
  </si>
  <si>
    <t>дата</t>
  </si>
  <si>
    <t>время</t>
  </si>
  <si>
    <t>место</t>
  </si>
  <si>
    <t>Добавить заседание</t>
  </si>
  <si>
    <t>Наименование органа тарифного регулирования</t>
  </si>
  <si>
    <t>Заседание правления (коллегии) органа тарифного регулирования, на котором планируется рассмотрение дел об об утверждении предельного уровня цены на тепловую энергию (мощность)</t>
  </si>
  <si>
    <t>Принятые органом тарифного регулирования решения об утверждении предельного уровня цены на тепловую энергию (мощность), принимаемые в соответствии с Федеральным законом от 27 июля 2010 г. N 190-ФЗ "О теплоснабжении"</t>
  </si>
  <si>
    <t>Добавить должностное лицо</t>
  </si>
  <si>
    <t>Данные об организации, в отношении которой рассмотрено дело об административном правонарушении (общая информация о регулируемой организации и наименование должности)</t>
  </si>
  <si>
    <t xml:space="preserve">Наименование должности лица, в отношении которого рассмотрено дело об административном правонарушении </t>
  </si>
  <si>
    <t>Краткое описание нарушения</t>
  </si>
  <si>
    <t>Результат рассмотрения дела об административном правонарушении</t>
  </si>
  <si>
    <t>Наименование регулируемой организации</t>
  </si>
  <si>
    <t>В поле "Субъект Российской Федерации" указывается наименование субъекта Российской Федерации._x000D_
В поле "Наименование организации" указывается наименование юридического лица согласно уставу организации_x000D_
В поле "ИНН" указывается идентификационный номер налогоплательщика._x000D_
В поле "Краткое описание нарушения" указывается краткое описание нарушения с указанием статьи Кодекса Российской Федерации об административных правонарушениях._x000D_
В поле "Результат рассмотрения дела об административном правонарушении" указывается результат рассмотрения дела об административном правонарушении (с указанием вида административного наказания).</t>
  </si>
  <si>
    <r>
      <t xml:space="preserve">Информация о предоставлении электронного документа в исполнительный орган субъекта Российской Федерации в области государственного регулирования цен (тарифов) </t>
    </r>
    <r>
      <rPr>
        <vertAlign val="superscript"/>
        <sz val="9"/>
        <rFont val="Tahoma"/>
        <family val="2"/>
        <charset val="204"/>
      </rPr>
      <t>2</t>
    </r>
  </si>
  <si>
    <t>Данные электронного документа, подписанного усиленной квалифицированной электронной подписью уполномоченного представителя регулируемой организации</t>
  </si>
  <si>
    <t>Название документа</t>
  </si>
  <si>
    <t>Исходящий номер</t>
  </si>
  <si>
    <t>Дата отправления</t>
  </si>
  <si>
    <t>В колонке "Дата отправления" дата указывается в виде «ДД.ММ.ГГГГ»._x000D_
В колонке «Ссылка на документ» указывается ссылка на электронный документ, подписанный усиленной квалифицированной электронной подписью уполномоченного представителя регулируемой организации, предварительно загруженный в хранилище файлов ФГИС ЕИАС.</t>
  </si>
  <si>
    <r>
      <rPr>
        <vertAlign val="superscript"/>
        <sz val="9"/>
        <rFont val="Tahoma"/>
        <family val="2"/>
        <charset val="204"/>
      </rPr>
      <t>2</t>
    </r>
    <r>
      <rPr>
        <sz val="9"/>
        <rFont val="Tahoma"/>
        <family val="2"/>
        <charset val="204"/>
      </rPr>
      <t xml:space="preserve"> Размещается информация по каждой из форм раскрытия, данные в которой относятся к муниципальному образованию, в котором отсутствует доступ в сеть «Интернет».</t>
    </r>
  </si>
  <si>
    <t>Сведения об изменениях в первоначально опубликованной информации*</t>
  </si>
  <si>
    <t>Сведения</t>
  </si>
  <si>
    <t>Добавить</t>
  </si>
  <si>
    <t>* Лист заполняется в случае, если на Титульном листе в поле "Тип отчета" выбрано значение «Изменения в раскрытой ранее информации».</t>
  </si>
  <si>
    <t>Комментарии</t>
  </si>
  <si>
    <t>Результат проверки</t>
  </si>
  <si>
    <t>Ссылка</t>
  </si>
  <si>
    <t>Причина</t>
  </si>
  <si>
    <t>Статус</t>
  </si>
  <si>
    <t>et_CHANGE_INFO</t>
  </si>
  <si>
    <t>et_Comm</t>
  </si>
  <si>
    <t>et_TERRITORY_AREA</t>
  </si>
  <si>
    <t>et_TERRITORY_MO</t>
  </si>
  <si>
    <t>et_DIFFERENTIATION_VD</t>
  </si>
  <si>
    <t>et_DIFFERENTIATION_AREA</t>
  </si>
  <si>
    <t>et_DIFFERENTIATION_SYSTEM</t>
  </si>
  <si>
    <t>et_ORG_INFO_1</t>
  </si>
  <si>
    <t>et_ORG_INFO_2</t>
  </si>
  <si>
    <t>et_ORG_INFO_3</t>
  </si>
  <si>
    <t>et_ORG_TERRITORY_MO</t>
  </si>
  <si>
    <t>et_ORG_VD</t>
  </si>
  <si>
    <t>et_ED</t>
  </si>
  <si>
    <t>et_TERMS</t>
  </si>
  <si>
    <t>et_IP_MAIN</t>
  </si>
  <si>
    <t>ip_3</t>
  </si>
  <si>
    <t>Добавить реквизиты</t>
  </si>
  <si>
    <t>et_IP_MAIN_PROPERTY</t>
  </si>
  <si>
    <t>et_IP_DETAILED</t>
  </si>
  <si>
    <t>Добавить мероприятие</t>
  </si>
  <si>
    <t>et_IP_DETAILED_OBJECT</t>
  </si>
  <si>
    <t>Добавить источник финансирования</t>
  </si>
  <si>
    <t>et_IP_DETAILED_IST_FIN</t>
  </si>
  <si>
    <t>et_IP_DETAILED_EVENT</t>
  </si>
  <si>
    <t>Добавить объект инфраструктуры</t>
  </si>
  <si>
    <t>et_QRE</t>
  </si>
  <si>
    <t>Добавить цель</t>
  </si>
  <si>
    <t>et_B_FHD20_1_NOT_HEAT</t>
  </si>
  <si>
    <t>Добавить поставщика</t>
  </si>
  <si>
    <t>et_B_FHD20_1_HEAT</t>
  </si>
  <si>
    <t>et_B_FHD20_2, _3, _4</t>
  </si>
  <si>
    <t>Итого по поставщику, в том числе</t>
  </si>
  <si>
    <t>Добавить товар/услугу</t>
  </si>
  <si>
    <t>Добавить способ</t>
  </si>
  <si>
    <t>et_DIFFERENTIATION_TARIFF(_etc)</t>
  </si>
  <si>
    <t>et_DIFFERENTIATION_TARIFF_NOT_HEAT(_etc)</t>
  </si>
  <si>
    <t>et_DIFFERENTIATION_TKO(_etc)</t>
  </si>
  <si>
    <t>Добавить класс ТКО</t>
  </si>
  <si>
    <t>Добавить вид ТКО</t>
  </si>
  <si>
    <t>Добавить технологическую особенность</t>
  </si>
  <si>
    <t>Имя листа</t>
  </si>
  <si>
    <t>Наименование, номер формы</t>
  </si>
  <si>
    <t>ТП</t>
  </si>
  <si>
    <t>Форма 14. Информация о наличии (об отсутствии) технической возможности подключения (технологического присоединения) к системе теплоснабжения, а также о принятии и ходе рассмотрения заявок на заключение договора о подключении (технологическом присоединении) к системе теплоснабжения</t>
  </si>
  <si>
    <t>Общая информация об организации</t>
  </si>
  <si>
    <t>Форма 1. Информация о единых теплоснабжающих организациях в системе теплоснабжения, теплоснабжающих организациях, которым не присвоен статус единой теплоснабжающей организации, и теплосетевых организациях, функционирующих в поселениях и городских округах, не отнесенных к ценовым зонам теплоснабжения, и в поселениях и городских округах, отнесенных к ценовым зонам теплоснабжения в соответствии с Федеральным законом от 27 июля 2010 г. N 190-ФЗ "О теплоснабжении", до окончания переходного периода в ценовых зонах теплоснабжения (далее - регулируемые организации); о единых теплоснабжающих организациях, теплоснабжающих организациях, которым не присвоен статус единой теплоснабжающей организации, и теплосетевых организациях, функционирующих в поселениях и городских округах, отнесенных к ценовым зонам теплоснабжения в соответствии с Федеральным законом от 27 июля 2010 г. N 190-ФЗ "О теплоснабжении", после окончания переходного периода в ценовых зонах теплоснабжения (далее соответственно - единые теплоснабжающие организации в ценовых зонах теплоснабжения, теплоснабжающие организации в ценовых зонах теплоснабжения и теплосетевые организации в ценовых зонах теплоснабжения) (общая информация)</t>
  </si>
  <si>
    <t>Форма 1. Информация об организации (общая информация)</t>
  </si>
  <si>
    <t>Договоры</t>
  </si>
  <si>
    <t>Форма 15. Информация об условиях, на которых осуществляется поставка товаров (оказание услуг) в сфере теплоснабжения, цены (тарифы) на которые подлежат регулированию, и (или) условиях договоров о подключении (технологическом присоединении) к системе теплоснабжения, информация об условиях, на которых осуществляется поставка товаров (оказание услуг) по ценам, определяемым по соглашению сторон в соответствии с Федеральным законом от 27 июля 2010 г. N 190-ФЗ "О теплоснабжении", и (или) условиях договоров о подключении (технологическом присоединении) к системе теплоснабжения</t>
  </si>
  <si>
    <t>Форма 8. Информация об условиях, на которых осуществляется оказание услуг в области обращения с твердыми коммунальными отходами</t>
  </si>
  <si>
    <t>Показатели ФХД</t>
  </si>
  <si>
    <t>Показатели ФХД &gt;20%</t>
  </si>
  <si>
    <t>Форма 11. Информация о расходах на капитальный и текущий ремонт основных средств</t>
  </si>
  <si>
    <t>Форма 5. Информация о расходах на капитальный и текущий ремонт основных средств, расходах на услуги производственного характера, оказываемые по договорам с организациями на проведение ремонтных работ в рамках технологического процесса</t>
  </si>
  <si>
    <t>Показатели КНЭ</t>
  </si>
  <si>
    <t>Форма 6. Информация об основных потребительских характеристиках товаров (услуг), тарифы на которые подлежат регулированию, и их соответствии установленным требованиям</t>
  </si>
  <si>
    <t>PRICE_x000D_
_x000D_
Т-ТЭ | &gt;=25МВт_x000D_
Т-ТЭ | ТСО_x000D_
Резерв мощности</t>
  </si>
  <si>
    <t>Форма 3. Информация об установленных тарифах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 об установленных тарифах на тепловую энергию (мощность), поставляемую теплоснабжающими организациями потребителям, другим теплоснабжающим организациям, об установленной плате за услуги по поддержанию резервной тепловой мощности при отсутствии потребления тепловой энергии</t>
  </si>
  <si>
    <t>PRICE_x000D_
_x000D_
Т-ТН_x000D_
Т-передача ТЭ_x000D_
Т-передача ТН</t>
  </si>
  <si>
    <t>Форма 4. Информация об установленных тарифах на теплоноситель, поставляемый теплоснабжающими организациями потребителям, другим теплоснабжающим организациям, об установленных тарифах на услуги по передаче тепловой энергии, теплоносителя, о тарифах на теплоноситель в виде воды, поставляемый единой теплоснабжающей организацией в ценовых зонах теплоснабжения потребителям и теплоснабжающими организациями в ценовых зонах 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t>
  </si>
  <si>
    <t>PRICE_x000D_
_x000D_
Т-гор.вода</t>
  </si>
  <si>
    <t>Форма 5. Информация об установленных тарифах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 о тарифах на горячую воду, поставляемую единой теплоснабжающей организацией в ценовых зонах теплоснабжения потребителям с использованием открытых систем теплоснабжения (горячего водоснабжения), установленных в виде формулы двухкомпонентного тарифа с использованием компонента на теплоноситель и компонента на тепловую энергию, в том числе о числовых значениях компонентов указанного тарифа</t>
  </si>
  <si>
    <t>PRICE_x000D_
_x000D_
Т-подкл</t>
  </si>
  <si>
    <t>Форма 6. Информация об установленной плате за подключение (технологическое присоединение) к системе теплоснабжения, о плате за подключение (технологическое присоединение) к системе теплоснабжения, применяемой в случае, установленном частью 9 статьи 23 4 Федерального закона от 27 июля 2010 г. N 190-ФЗ "О теплоснабжении"</t>
  </si>
  <si>
    <t>REQUEST_x000D_
_x000D_
Т-ТЭ | &gt;=25МВт_x000D_
Т-ТЭ | ТСО_x000D_
Резерв мощности</t>
  </si>
  <si>
    <t>Форма 19. Информация о предложении регулируемой организации о расчетной величине тарифов в сфере теплоснабжения на очередной расчетный период регулирования</t>
  </si>
  <si>
    <t>REQUEST_x000D_
_x000D_
Т-ТН_x000D_
Т-передача ТЭ_x000D_
Т-передача ТН</t>
  </si>
  <si>
    <t>Форма 20. Информация о предложении регулируемой организации о расчетной величине тарифов на теплоноситель, поставляемый теплоснабжающими организациями потребителям, другим теплоснабжающим организациям, тарифов на услуги по передаче тепловой энергии, теплоносителя, о расчетной величине тарифов на теплоноситель в виде воды, поставляемый другим теплоснабжающим организациям в ценовых зонах теплоснабжения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t>
  </si>
  <si>
    <t>REQUEST_x000D_
_x000D_
Т-гор.вода</t>
  </si>
  <si>
    <t>Форма 21. Информация о предложении регулируемой организации о расчетной величине тарифов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 о расчетной величине тарифов на горячую воду, поставляемую единой теплоснабжающей организацией в ценовых зонах теплоснабжения потребителям с использованием открытых систем теплоснабжения (горячего водоснабжения), установленных в виде формулы двухкомпонентного тарифа с использованием компонента на теплоноситель и компонента на тепловую энергию, в том числе о числовых значениях компонентов указанного тарифа</t>
  </si>
  <si>
    <t>REQUEST_x000D_
_x000D_
Т-подкл</t>
  </si>
  <si>
    <t>Форма 22. Информация о предложении регулируемой организации о расчетной величине платы за подключение (технологическое присоединение) к системе теплоснабжения, о расчетной величине платы за подключение (технологическое присоединение) к системе теплоснабжения, применяемой в случае, установленном частью 9 статьи 23 4 Федерального закона от 27 июля 2010 г. N 190-ФЗ "О теплоснабжении"</t>
  </si>
  <si>
    <t>PRICE_x000D_
_x000D_
ХВС. Т-пит_x000D_
ХВС. Т-тех_x000D_
ХВС. Т-транс_x000D_
ХВС. Т-подвоз</t>
  </si>
  <si>
    <t>Форма 2. Информация_x000D_
о тарифах в сфере холодного водоснабжения на товары (услуги) организации холодного водоснабжения, подлежащих регулированию</t>
  </si>
  <si>
    <t>PRICE_x000D_
_x000D_
ХВС. Т-подкл</t>
  </si>
  <si>
    <t>Форма 3. Информация об установленных тарифах на подключение (технологическое присоединение) к централизованной системе холодного водоснабжения</t>
  </si>
  <si>
    <t>REQUEST_x000D_
_x000D_
ХВС. Т-пит_x000D_
ХВС. Т-тех_x000D_
ХВС. Т-транс_x000D_
ХВС. Т-подвоз</t>
  </si>
  <si>
    <t>Форма 13. Информация о предложении организации холодного водоснабжения об установлении расчетной величины тарифов в сфере холодного водоснабжения</t>
  </si>
  <si>
    <t>REQUEST_x000D_
_x000D_
ХВС. Т-подкл</t>
  </si>
  <si>
    <t>Форма 14. Информация о предложении организации холодного водоснабжения расчетной величины тарифов на подключение (технологическое присоединение) к централизованной системе холодного водоснабжения</t>
  </si>
  <si>
    <t>PRICE_x000D_
_x000D_
ГВС. Т-гор.вода_x000D_
ГВС. Т-транс</t>
  </si>
  <si>
    <t>Форма 2. Информация о тарифах в сфере горячего водоснабжения на товары (услуги) организации горячего водоснабжения, подлежащих регулированию</t>
  </si>
  <si>
    <t>PRICE_x000D_
_x000D_
ГВС. Т-подкл</t>
  </si>
  <si>
    <t>Форма 3. Информация об установленных тарифах на подключение (технологическое присоединение) к централизованной системе горячего водоснабжения</t>
  </si>
  <si>
    <t>REQUEST_x000D_
_x000D_
ГВС. Т-гор.вода_x000D_
ГВС. Т-транс</t>
  </si>
  <si>
    <t>Форма 13. Информация о предложении организации горячего водоснабжения об установлении расчетной величины тарифов в сфере горячего водоснабжения на очередной период регулирования</t>
  </si>
  <si>
    <t>REQUEST_x000D_
_x000D_
ГВС. Т-подкл</t>
  </si>
  <si>
    <t>Форма 14. Информация о предложении организации горячего водоснабжения расчетной величины тарифов на подключение (технологическое присоединение) к централизованной системе горячего водоснабжения</t>
  </si>
  <si>
    <t>PRICE_x000D_
_x000D_
ВО. Т-во_x000D_
ВО. Т-транс</t>
  </si>
  <si>
    <t>Форма 2. Информация о тарифах в сфере водоотведения на товары (услуги) организации водоотведения, подлежащих регулированию</t>
  </si>
  <si>
    <t>PRICE_x000D_
_x000D_
ВО. Т-подкл</t>
  </si>
  <si>
    <t>Форма 3.  Информация об установленных тарифах на подключение (технологическое присоединение) к централизованной системе водоотведения</t>
  </si>
  <si>
    <t>REQUEST_x000D_
_x000D_
ВО. Т-во_x000D_
ВО. Т-транс</t>
  </si>
  <si>
    <t>Форма 13. Информация о предложении организации водоотведения об установлении расчетной величины тарифов в сфере водоотведения на очередной период регулирования</t>
  </si>
  <si>
    <t>REQUEST_x000D_
_x000D_
ВО. Т-подкл</t>
  </si>
  <si>
    <t>Форма 14. Информация о предложении организации водоотведения расчетной величины тарифов на подключение к централизованной системе водоотведения</t>
  </si>
  <si>
    <t>Сведения о закупках</t>
  </si>
  <si>
    <t>Форма 17. Информация о способах приобретения, стоимости и об объемах товаров, необходимых регулируемой организации для производства товаров (оказания услуг) в сфере теплоснабжения, цены (тарифы) на которые подлежат регулированию, о способах приобретения, стоимости и об объемах товаров, необходимых для производства товаров и (или) оказания услуг единой теплоснабжающей организацией в ценовых зонах теплоснабжения, о способах приобретения, стоимости и об объемах товаров, необходимых для производства товаров и (или) оказания услуг теплоснабжающей организацией в ценовых зонах теплоснабжения и теплосетевой организацией в ценовых зонах теплоснабжения</t>
  </si>
  <si>
    <t>Форма 9.  Информация о способах приобретения, стоимости и об объемах товаров, работ и услуг, необходимых организации для осуществления регулируемых видов деятельности</t>
  </si>
  <si>
    <t>Порядок ТП</t>
  </si>
  <si>
    <t>Форма 16. Информация о порядке выполнения технологических, технических и других мероприятий, связанных с подключением (технологическим присоединением) к системе теплоснабжения</t>
  </si>
  <si>
    <t>Общая информация по ВД</t>
  </si>
  <si>
    <t>Форма 2. Общая информация об объектах теплоснабжения регулируемой организации, единой теплоснабжающей организации в ценовых зонах теплоснабжения, теплоснабжающей организации в ценовых зонах теплоснабжения и теплосетевой организации в ценовых зонах теплоснабжения</t>
  </si>
  <si>
    <t>ИП_x000D_
ИП. Детализация_x000D_
ИП. Финансовый план_x000D_
ИП. КНЭ</t>
  </si>
  <si>
    <t>Форма 13. Информация об инвестиционных программах регулируемой организации и отчетах об их исполнении, об инвестиционных программах единой теплоснабжающей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 об инвестиционных программах теплоснабжающей организации в ценовых зонах теплоснабжения и теплосетевой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t>
  </si>
  <si>
    <t>Форма 7. Информация об инвестиционных программах и отчетах об их реализации (в части регулируемых видов деятельности)</t>
  </si>
  <si>
    <t>пункт НПА</t>
  </si>
  <si>
    <t>подпункт НПА</t>
  </si>
  <si>
    <t>состав пункта</t>
  </si>
  <si>
    <t>описание парметров</t>
  </si>
  <si>
    <t>номер пункта</t>
  </si>
  <si>
    <t>описание параметров</t>
  </si>
  <si>
    <t>описание к листу Общая информация об организации</t>
  </si>
  <si>
    <t>В случае если регулируемыми организациями, единой теплоснабжающей организацией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 оказываются услуги по теплоснабжению по нескольким технологически не связанным между собой централизованным системам теплоснабжения, и если в отношении указанных систем устанавливаются различные тарифы в сфере теплоснабжения, то информация раскрывается отдельно по каждой централизованной системе теплоснабжения.</t>
  </si>
  <si>
    <t>В случае если регулируемыми организациями оказываются услуги по холодному водоснабжению по нескольким технологически не связанным между собой централизованным системам холодного водоснабжения, и если в отношении указанных систем устанавливаются различные тарифы в сфере холодного водоснабжения, то информация раскрывается отдельно по каждой централизованной системе холодного водоснабжения.</t>
  </si>
  <si>
    <t>В случае если регулируемыми организациями оказываются услуги по горячему водоснабжению по нескольким технологически не связанным между собой централизованным системам горячего водоснабжения, и если в отношении указанных систем устанавливаются различные тарифы в сфере горячего водоснабжения, то информация раскрывается отдельно по каждой централизованной системе горячего водоснабжения.</t>
  </si>
  <si>
    <t>В случае если регулируемыми организациями оказываются услуги по водоотведению по нескольким технологически не связанным между собой централизованным системам водоотведения, и если в отношении указанных систем устанавливаются различные тарифы в сфере водоотведения, то информация раскрывается отдельно по каждой централизованной системе водоотведения.</t>
  </si>
  <si>
    <t>66</t>
  </si>
  <si>
    <t>а</t>
  </si>
  <si>
    <t>Количество поданных заявок</t>
  </si>
  <si>
    <t xml:space="preserve">Количество поданных заявлений </t>
  </si>
  <si>
    <t>Указывается количество поданных заявок на подключение (технологическое присоединение) к системе теплоснабжения в течение отчетного квартала.</t>
  </si>
  <si>
    <t>б</t>
  </si>
  <si>
    <t>Количество рассмотренных заявок</t>
  </si>
  <si>
    <t xml:space="preserve">Количество исполненных заявлений </t>
  </si>
  <si>
    <t>Указывается количество исполненных заявок на подключение (технологическое присоединение) к системе теплоснабжения в течение отчетного квартала.</t>
  </si>
  <si>
    <t>в</t>
  </si>
  <si>
    <t>Количество заявок на заключение договора о подключении (технологическом присоединении) к системе теплоснабжения, по которым регулируемой организацией отказано в заключении договора о подключении (технологическом присоединении) к системе теплоснабжения</t>
  </si>
  <si>
    <t>Количество заявлений о заключении договоров о подключении (технологическом присоединении), по которым отказано в заключении договора о подключении (технологическом присоединении)</t>
  </si>
  <si>
    <t>Указывается количество заявок с решением об отказе в течение отчетного квартала.</t>
  </si>
  <si>
    <t>Причины отказа в заключении договора о подключении (технологическом присоединении) к системе теплоснабжения</t>
  </si>
  <si>
    <t>Указывается текстовое описание причин принятия решений._x000D_
Не заполняется в случае, если решения об отказе в течение отчетного периода не принимались.</t>
  </si>
  <si>
    <t>г</t>
  </si>
  <si>
    <t>Резерв мощности источников тепловой энергии, входящих в систему теплоснабжения, в течение одного квартала, в том числе:</t>
  </si>
  <si>
    <t xml:space="preserve">Указывается резерв мощности для системы теплоснабжения, тариф для которой не является отличным от тарифов других систем теплоснабжения регулируемой организации._x000D_
При использовании регулируемой организацией нескольких систем теплоснабжения информация о резерве мощности источников тепловой энергии таких систем раскрывается в отношении каждой системы теплоснабжения в отдельных строках. </t>
  </si>
  <si>
    <t>Выручка от регулируемого вида деятельности с распределением по видам деятельности</t>
  </si>
  <si>
    <t>Выручка от регулируемых видов деятельности в сфере холодного водоснабжения</t>
  </si>
  <si>
    <t>Выручка от регулируемых видов деятельности в сфере горячего водоснабжения</t>
  </si>
  <si>
    <t>Выручка от регулируемых видов деятельности в сфере водоотведения</t>
  </si>
  <si>
    <t>Указывается выручка от регулируемого вида деятельности с распределением по видам деятельности.</t>
  </si>
  <si>
    <t>Указывается выручка с распределением по видам деятельности.</t>
  </si>
  <si>
    <t>Себестоимость производимых товаров (оказываемых услуг) по регулируемому виду деятельности, включая:</t>
  </si>
  <si>
    <t>Себестоимость производимых товаров (оказываемых услуг) по регулируемым видам деятельности в сфере холодного водоснабжения, включая:</t>
  </si>
  <si>
    <t>Себестоимость производимых товаров (оказываемых услуг) по регулируемым видам деятельности в сфере горячего водоснабжения, включая:</t>
  </si>
  <si>
    <t>Себестоимость производимых товаров (оказываемых услуг) по регулируемым видам деятельности в сфере водоотведения, включая:</t>
  </si>
  <si>
    <t>Указывается суммарная себестоимость производимых товаров.</t>
  </si>
  <si>
    <t>Расходы на приобретаемую тепловую энергию (мощность), теплоноситель</t>
  </si>
  <si>
    <t>Расходы на оплату холодной воды, приобретаемой у других организаций для последующей подачи потребителям</t>
  </si>
  <si>
    <t>Расходы на приобретаемую тепловую энергию (мощность), используемую для горячего водоснабжения</t>
  </si>
  <si>
    <t>Расходы на оплату услуг по приему, транспортировке и очистке сточных вод другими организациями</t>
  </si>
  <si>
    <t>Расходы на топливо с указанием по каждому виду топлива стоимости (за единицу объема), объема и способа его приобретения, стоимости его доставки</t>
  </si>
  <si>
    <t>Указываются суммарные расходы на приобретение топлива всех видов.</t>
  </si>
  <si>
    <t>Расходы на тепловую энергию, производимую с применением собственных источников и используемую для горячего водоснабжения</t>
  </si>
  <si>
    <t>Расходы на приобретаемую холодную воду, используемую для горячего водоснабжения</t>
  </si>
  <si>
    <t>Расходы на холодную воду, получаемую с применением собственных источников водозабора (скважин) и используемую для горячего водоснабжения</t>
  </si>
  <si>
    <t>Расходы на приобретаемую электрическую энергию (мощность), используемую в технологическом процессе</t>
  </si>
  <si>
    <t>2.5.1</t>
  </si>
  <si>
    <t>Средневзвешенная стоимость 1 кВт.ч (с учетом мощности)</t>
  </si>
  <si>
    <t>2.5.2</t>
  </si>
  <si>
    <t>Объём приобретения электрической энергии</t>
  </si>
  <si>
    <t>Расходы на приобретение холодной воды, используемой в технологическом процессе</t>
  </si>
  <si>
    <t>Расходы на химические реагенты, используемые в технологическом процессе</t>
  </si>
  <si>
    <t>Расходы на оплату труда и страховые взносы на обязательное социальное страхование, выплачиваемые из фонда оплаты труда основного производственного персонала, в том числе:</t>
  </si>
  <si>
    <t>Указывается общая сумма расходов на оплату труда и отчислений на социальные нужды основного производственного персонала.</t>
  </si>
  <si>
    <t>9.1</t>
  </si>
  <si>
    <t>2.6.1</t>
  </si>
  <si>
    <t>Расходы на оплату труда основного производственного персонала</t>
  </si>
  <si>
    <t>9.2</t>
  </si>
  <si>
    <t>2.6.2</t>
  </si>
  <si>
    <t>Страховые взносы на обязательное социальное страхование, выплачиваемые из фонда оплаты труда основного производственного персонала</t>
  </si>
  <si>
    <t>Расходы на оплату труда и страховые взносы на обязательное социальное страхование, выплачиваемые из фонда оплаты труда административно-управленческого персонала, в том числе:</t>
  </si>
  <si>
    <t>Расходы на оплату труда и страховые взносы на обязательное социальное страхование, выплачиваемые из фонда оплаты труда административно-управленческого персонала</t>
  </si>
  <si>
    <t>Указывается общая сумма расходов на оплату труда и отчислений на социальные нужды административно-управленческого персонала.</t>
  </si>
  <si>
    <t>10.1</t>
  </si>
  <si>
    <t>2.7.1</t>
  </si>
  <si>
    <t>Расходы на оплату труда административно-управленческого персонала</t>
  </si>
  <si>
    <t>Расходы на оплату труда административно-управленческого персонала, в том числе:</t>
  </si>
  <si>
    <t>10.2</t>
  </si>
  <si>
    <t>2.7.2</t>
  </si>
  <si>
    <t>Страховые взносы на обязательное социальное страхование, выплачиваемые из фонда оплаты труда административно-управленческого персонала</t>
  </si>
  <si>
    <t>Расходы на амортизацию основных средств и нематериальных активов</t>
  </si>
  <si>
    <t>11.1</t>
  </si>
  <si>
    <t>2.8.1</t>
  </si>
  <si>
    <t>Расходы на амортизацию основных средств</t>
  </si>
  <si>
    <t>11.2</t>
  </si>
  <si>
    <t>2.8.2</t>
  </si>
  <si>
    <t>Расходы на амортизацию нематериальных активов</t>
  </si>
  <si>
    <t>Расходы на аренду имущества, используемого для осуществления регулируемого вида деятельности</t>
  </si>
  <si>
    <t>Расходы на аренду имущества, используемого для осуществления регулируемых видов деятельности в сфере холодного водоснабжения</t>
  </si>
  <si>
    <t>Расходы на аренду имущества, используемого для осуществления регулируемых видов деятельности в сфере горячего водоснабжения</t>
  </si>
  <si>
    <t>Расходы на аренду имущества, используемого для осуществления регулируемых видов деятельности в сфере водоотведения</t>
  </si>
  <si>
    <t>2.10</t>
  </si>
  <si>
    <t>Общепроизводственные расходы, в том числе:</t>
  </si>
  <si>
    <t>Указывается общая сумма общепроизводственных расходов.</t>
  </si>
  <si>
    <t>13.1</t>
  </si>
  <si>
    <t>2.10.1</t>
  </si>
  <si>
    <t>Расходы на текущий ремонт</t>
  </si>
  <si>
    <t>Указываются расходы на текущий ремонт, отнесенные к общепроизводственным расходам.</t>
  </si>
  <si>
    <t>13.2</t>
  </si>
  <si>
    <t>2.10.2</t>
  </si>
  <si>
    <t>Расходы на капитальный ремонт</t>
  </si>
  <si>
    <t>Указываются расходы на капитальный ремонт, отнесенные к общепроизводственным расходам.</t>
  </si>
  <si>
    <t>2.11</t>
  </si>
  <si>
    <t>Общехозяйственные расходы, в том числе:</t>
  </si>
  <si>
    <t>Указывается общая сумма общехозяйственных расходов.</t>
  </si>
  <si>
    <t>14.1</t>
  </si>
  <si>
    <t>2.11.1</t>
  </si>
  <si>
    <t>2.9.1</t>
  </si>
  <si>
    <t>Указываются расходы на текущий ремонт, отнесенные к общехозяйственным расходам.</t>
  </si>
  <si>
    <t>14.2</t>
  </si>
  <si>
    <t>2.11.2</t>
  </si>
  <si>
    <t>2.9.2</t>
  </si>
  <si>
    <t>Указываются расходы на капитальный ремонт, отнесенные к общехозяйственным расходам.</t>
  </si>
  <si>
    <t>2.12</t>
  </si>
  <si>
    <t>Расходы на капитальный и текущий ремонт основных средств</t>
  </si>
  <si>
    <t>Указывается информация об объемах товаров и услуг, их стоимости и о способах приобретения у тех организаций, сумма оплаты услуг которых превышает 20 процентов суммы расходов по указанной статье расходов</t>
  </si>
  <si>
    <t>В том числе информацию об объемах товаров и услуг, их стоимости и о способах приобретения у тех организаций, сумма оплаты услуг которых превышает 20 процентов суммы расходов по указанной статье расходов</t>
  </si>
  <si>
    <t>15.1</t>
  </si>
  <si>
    <t>2.12.1</t>
  </si>
  <si>
    <t>Информация об объемах товаров и услуг, их стоимости и способах приобретения у тех организаций, сумма оплаты услуг которых превышает 20 процентов суммы расходов по указанной статье расходов</t>
  </si>
  <si>
    <t>2.13</t>
  </si>
  <si>
    <t xml:space="preserve">Расходы на услуги производственного характера, оказываемые по договорам с организациями на проведение регламентных работ в рамках технологического процесса </t>
  </si>
  <si>
    <t>Расходы на услуги производственного характера, оказываемые по договорам с организациями на проведение регламентных работ в рамках технологического процесса</t>
  </si>
  <si>
    <t>16.1</t>
  </si>
  <si>
    <t>2.13.1</t>
  </si>
  <si>
    <t>2.14</t>
  </si>
  <si>
    <t>Прочие расходы, которые подлежат отнесению на регулируемые виды деятельности в соответствии с законодательством Российской Федерации</t>
  </si>
  <si>
    <t>Прочие расходы, которые подлежат отнесению на регулируемые виды деятельности в сфере холодного водоснабжения в соответствии с Основами ценообразования в сфере водоснабжения и водоотведения, утвержденными постановлением Правительства Российской Федерации от 13 мая 2013 г. N 406 "О государственном регулировании тарифов в сфере водоснабжения и водоотведения" (далее - Основы ценообразования в сфере водоснабжения и водоотведения)</t>
  </si>
  <si>
    <t>Прочие расходы, которые отнесены на регулируемые виды деятельности в сфере горячего водоснабжения, в соответствии с Основами ценообразования в сфере водоснабжения и водоотведения</t>
  </si>
  <si>
    <t>Прочие расходы, которые подлежат отнесению на регулируемые виды деятельности в сфере водоотведения в соответствии с Основами ценообразования в сфере водоснабжения и водоотведения</t>
  </si>
  <si>
    <t>Указывается общая сумма прочих расходов, которые подлежат отнесению на регулируемые виды деятельности в соответствии с законодательством в сфере теплоснабжения.</t>
  </si>
  <si>
    <t>Указывается общая сумма прочих расходов, которые подлежат отнесению на регулируемые виды деятельности в соответствии с основами ценообразования в сфере водоснабжения и водоотведения.</t>
  </si>
  <si>
    <t>д</t>
  </si>
  <si>
    <t>Валовая прибыль (убытки) от реализации товаров и оказания услуг по регулируемому виду деятельности</t>
  </si>
  <si>
    <t>Чистая прибыль, полученная от регулируемого вида деятельности, в том числе:</t>
  </si>
  <si>
    <t>Чистая прибыль, полученная от регулируемого вида деятельности в сфере холодного водоснабжения, в том числе:</t>
  </si>
  <si>
    <t>Чистая прибыль, полученная от регулируемого вида деятельности в сфере горячего водоснабжения, в том числе:</t>
  </si>
  <si>
    <t>Чистая прибыль, полученная от регулируемого вида деятельности в сфере водоотведения, в том числе:</t>
  </si>
  <si>
    <t>Размер расходования чистой прибыли на финансирование мероприятий, предусмотренных инвестиционной программой регулируемой организации</t>
  </si>
  <si>
    <t>Изменение стоимости основных фондов за счет их ввода в эксплуатацию (вывода из эксплуатации)</t>
  </si>
  <si>
    <t>Указываются общее изменение стоимости основных фондов за счет их ввода в эксплуатацию и вывода из эксплуатации.</t>
  </si>
  <si>
    <t>Изменение стоимости основных фондов за счет их ввода в эксплуатацию</t>
  </si>
  <si>
    <t>5.1.2</t>
  </si>
  <si>
    <t>Изменение стоимости основных фондов за счет их вывода в эксплуатацию</t>
  </si>
  <si>
    <t>Изменение стоимости основных фондов за счет их переоценки</t>
  </si>
  <si>
    <t>Валовая прибыль (убытки) от продажи товаров и услуг по регулируемым видам деятельности в сфере холодного водоснабжения</t>
  </si>
  <si>
    <t>Валовая прибыль (убытки) от продажи товаров и услуг по регулируемым видам деятельности в сфере горячего водоснабжения</t>
  </si>
  <si>
    <t>Валовая прибыль (убытки) от продажи товаров и услуг по регулируемым видам деятельности в сфере водоотведения</t>
  </si>
  <si>
    <t>е</t>
  </si>
  <si>
    <t>Указывается ссылка на документ, предварительно загруженный в хранилище файлов ФГИС ЕИАС._x000D_
Регулируемыми организациями информация раскрывается в случае, если выручка от регулируемых видов деятельности превышает 80 процентов совокупной выручки за отчетный год.</t>
  </si>
  <si>
    <t>Указывается ссылка на документ, предварительно загруженный в хранилище файлов ФГИС ЕИАС._x000D_
Раскрывается регулируемой организацией, выручка от регулируемых видов деятельности в сфере водоснабжения и (или) водоотведения которой превышает 80 процентов совокупной выручки за отчетный год.</t>
  </si>
  <si>
    <t>Указывается ссылка на документ, предварительно загруженный в хранилище файлов ФГИС ЕИАС._x000D_
Раскрывается регулируемой организацией, выручка от регулируемых видов деятельности в сфере водоотведения и (или) водоотведения которой превышает 80 процентов совокупной выручки за отчетный год.</t>
  </si>
  <si>
    <t>ж</t>
  </si>
  <si>
    <t>Объём поднятой воды</t>
  </si>
  <si>
    <t>з</t>
  </si>
  <si>
    <t>Объём покупной воды</t>
  </si>
  <si>
    <t>и</t>
  </si>
  <si>
    <t>Объём воды, пропущенной через очистные сооружения</t>
  </si>
  <si>
    <t>к</t>
  </si>
  <si>
    <t>Объём отпущенной потребителям воды, в том числе:</t>
  </si>
  <si>
    <t>Указывается общий объем отпущенной потребителям воды.</t>
  </si>
  <si>
    <t>Объём отпущенной потребителям воды, определенный по приборам учета</t>
  </si>
  <si>
    <t>Объём отпущенной потребителям воды, определенный расчетным способом</t>
  </si>
  <si>
    <t>10.2.1</t>
  </si>
  <si>
    <t>Объём отпущенной потребителям воды, определенный по нормативам потребления коммунальных услуг</t>
  </si>
  <si>
    <t>10.2.2</t>
  </si>
  <si>
    <t xml:space="preserve">Объём отпущенной потребителям воды, определенный по нормативам потребления коммунальных ресурсов </t>
  </si>
  <si>
    <t>л</t>
  </si>
  <si>
    <t>Потери воды в сетях</t>
  </si>
  <si>
    <t>Объём приобретаемой холодной воды, используемой для горячего водоснабжения</t>
  </si>
  <si>
    <t>Объём холодной воды, получаемой с применением собственных источников водозабора (скважин) и используемой для горячего водоснабжения</t>
  </si>
  <si>
    <t>Объём приобретаемой тепловой энергии (мощности), используемой для горячего водоснабжения</t>
  </si>
  <si>
    <t>Объём тепловой энергии, производимой с применением собственных источников и используемой для горячего водоснабжения</t>
  </si>
  <si>
    <t>Потери горячей воды в сетях (процентов)</t>
  </si>
  <si>
    <t>Объём сточных вод, принятых от потребителей</t>
  </si>
  <si>
    <t>Объём сточных вод, принятых от других регулируемых организаций, осуществляющих водоотведение и (или) очистку сточных вод</t>
  </si>
  <si>
    <t>Объём сточных вод, пропущенных через очистные сооружения</t>
  </si>
  <si>
    <t>Указывается суммарная установленная тепловая мощность объектов основных фондов, используемых для осуществления теплоснабжения._x000D_
Регулируемыми организациями указывается информация по объектам, используемым для осуществления регулируемых видов деятельности.</t>
  </si>
  <si>
    <t>Тепловая нагрузка по договорам, заключенным в рамках осуществления регулируемых видов деятельности</t>
  </si>
  <si>
    <t>Регулируемыми организациями указывается информация по договорам, заключенным в рамках осуществления регулируемых видов деятельности</t>
  </si>
  <si>
    <t>Объем вырабатываемой регулируемой организацией тепловой энергии в рамках осуществления регулируемых видов деятельности</t>
  </si>
  <si>
    <t>Регулируемыми организациями указывается информация тепловой энергии, выработанной в рамках осуществления регулируемых видов деятельности.</t>
  </si>
  <si>
    <t>Объем приобретаемой регулируемой организацией тепловой энергии в рамках осуществления регулируемых видов деятельности</t>
  </si>
  <si>
    <t>Информация указывается только едиными теплоснабжающими организациями.</t>
  </si>
  <si>
    <t>Объем тепловой энергии, отпускаемой потребителям по договорам, заключенным в рамках осуществления регулируемых видов деятельности, определенном в том числе</t>
  </si>
  <si>
    <t>Указывается общий объем тепловой энергии, отпускаемой потребителям._x000D_
Регулируемыми организациями указывается информация, включая отдельно сведения об определенном по приборам учета объеме тепловой энергии, отпускаемой потребителям по договорам, максимальный объем потребления тепловой энергии объектов которых составляет менее чем 0,2 Гкал/ч</t>
  </si>
  <si>
    <t xml:space="preserve">По приборам учёта </t>
  </si>
  <si>
    <t>10.1.1</t>
  </si>
  <si>
    <t>Определенный по приборам учета объем тепловой энергии, отпускаемой по договорам потребителям, максимальный объем потребления тепловой энергии объектов которых составляет менее чем 0,2 Гкал</t>
  </si>
  <si>
    <t>Расчётным путём</t>
  </si>
  <si>
    <t>10.3</t>
  </si>
  <si>
    <t>По нормативам потребления коммунальных услуг и нормативам потребления коммунальных ресурсов</t>
  </si>
  <si>
    <t>м</t>
  </si>
  <si>
    <t>Нормативы технологических потерь при передаче тепловой энергии, теплоносителя по тепловым сетям, утвержденные уполномоченным органом</t>
  </si>
  <si>
    <t>н</t>
  </si>
  <si>
    <t>о</t>
  </si>
  <si>
    <t>п</t>
  </si>
  <si>
    <t>Удельный расход электрической энергии на подачу воды в сеть</t>
  </si>
  <si>
    <t>Расход воды на собственные нужды, в том числе:</t>
  </si>
  <si>
    <t>Указывается доля общего расхода воды на собственные нужны от объема отпуска воды потребителям.</t>
  </si>
  <si>
    <t>Расход воды на хозяйственно-бытовые нужды</t>
  </si>
  <si>
    <t>Указывается доля расхода воды на хозяйственно-бытовые нужны от объема отпуска воды потребителям.</t>
  </si>
  <si>
    <t>Показатель использования производственных объектов (по объему перекачки), в том числе:</t>
  </si>
  <si>
    <t>Указывается суммарный показатель использования по всем производственным объектам как процент объема перекачки по отношению к пиковому дню отчетного года.</t>
  </si>
  <si>
    <t>р</t>
  </si>
  <si>
    <t>Норматив удельного расхода условного топлива при производстве тепловой энергии источниками тепловой энергии, используемыми для осуществления регулируемых видов деятельности, в целом по регулируемой организации или с распределением по источникам тепловой энергии (в зависимости от показателя (показателей), утвержденного уполномоченным органом)</t>
  </si>
  <si>
    <t>Фактический удельный расход условного топлива при производстве тепловой энергии источниками тепловой энергии, используемыми для осуществления регулируемых видов деятельности, в целом по регулируемой организации или с распределением по источникам тепловой энергии (в зависимости от показателя (показателей), утвержденного уполномоченным органом)</t>
  </si>
  <si>
    <t>Регулируемыми организациями указывается информация с распределением по источникам тепловой энергии, используемым для осуществления регулируемых видов деятельности.</t>
  </si>
  <si>
    <t>т</t>
  </si>
  <si>
    <t>Удельный расход электрической энергии на производство (передачу) тепловой энергии на единицу тепловой энергии, отпускаемой потребителям по договорам, заключенным в рамках осуществления регулируемых видов деятельности</t>
  </si>
  <si>
    <t>Регулируемыми организациями указывается информация с по договорам, заключенным в рамках осуществления регулируемой деятельности.</t>
  </si>
  <si>
    <t>у</t>
  </si>
  <si>
    <t>Удельный расход холодной воды на производство (передачу) тепловой энергии на единицу тепловой энергии, отпускаемой потребителям по договорам, заключенным в рамках осуществления регулируемых видов деятельности</t>
  </si>
  <si>
    <t>ф</t>
  </si>
  <si>
    <t>Информация о показателях технико-экономического состояния систем теплоснабжения (за исключением теплопотребляющих установок потребителей тепловой энергии, теплоносителя, а также источников тепловой энергии, функционирующих в режиме комбинированной выработки электрической и тепловой энергии), в т.ч.:</t>
  </si>
  <si>
    <t>19.1</t>
  </si>
  <si>
    <t>Информация о показателях физического износа объектов теплоснабжения</t>
  </si>
  <si>
    <t>19.2</t>
  </si>
  <si>
    <t>Информация о показателях энергетической эффективности объектов теплоснабжения</t>
  </si>
  <si>
    <t>27/44</t>
  </si>
  <si>
    <t>68</t>
  </si>
  <si>
    <t>Сведения об условиях публичных договоров регулируемых организаций,  сведения об условиях публичных договоров, заключаемых единой теплоснабжающей организацией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 в том числе</t>
  </si>
  <si>
    <t>Сведения об условиях публичных договоров на оказание регулируемых услуг в области обращения с твердыми коммунальными отходами</t>
  </si>
  <si>
    <t>Форма 4. Информация об установленных тарифах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 об установленных тарифах на тепловую энергию (мощность), поставляемую теплоснабжающими организациями потребителям, другим теплоснабжающим организациям, об установленной плате за услуги по поддержанию резервной тепловой мощности при отсутствии потребления тепловой энергии  &lt;1&gt;</t>
  </si>
  <si>
    <t>Период действия тарифа</t>
  </si>
  <si>
    <t>Добавить наименование системы теплоснабжения</t>
  </si>
  <si>
    <t>pt_vtar_3</t>
  </si>
  <si>
    <t xml:space="preserve">Для каждого вида тарифа в сфере теплоснабжения форма заполняется отдельно. При размещении информации по данной форме дополнительно указываются: наименование органа регулирования тарифов, принявшего решение об утверждении тарифа, дата и номер документа об утверждении тарифа, источник официального опубликования решения._x000D_
</t>
  </si>
  <si>
    <t>По данной форме раскрывается в том числе информация об индикативном предельном уровне цены на тепловую энергию (мощность), которые определены в соответствии с Правилами определения в ценовых зонах теплоснабжения предельного уровня цены на тепловую энергию (мощность), включая правила индексации предельного уровня цены на тепловую энергию (мощность), утвержденными постановлением Правительства Российской Федерации от 15 декабря 2017 г. № 1562 "Об определении в ценовых зонах теплоснабжения предельного уровня цены на тепловую энергию (мощность), включая индексацию предельного уровня цены на тепловую энергию (мощность), и технико-экономических параметров работы котельных и тепловых сетей, используемых для расчета предельного уровня цены на тепловую энергию (мощность)", о графике поэтапного равномерного доведения предельного уровня цены на тепловую энергию (мощность) до уровня, определяемого в соответствии с указанными Правилами., а также  информация о тарифах на товары (услуги) в сфере теплоснабжения в случаях, указанных в частях 12.1 – 12.4 статьи 10 Федерального закона от 27.07.2010 № 190-ФЗ «О теплоснабжении» (далее – Федеральный закон № 190-ФЗ), теплоснабжающей организации, теплосетевой организации в ценовых зонах теплоснабжения.</t>
  </si>
  <si>
    <t>Цвет</t>
  </si>
  <si>
    <t>Раздел</t>
  </si>
  <si>
    <t>доп.листы</t>
  </si>
  <si>
    <t>готовность</t>
  </si>
  <si>
    <t>ИП</t>
  </si>
  <si>
    <t>REGION_ID</t>
  </si>
  <si>
    <t>REGION_NAME</t>
  </si>
  <si>
    <t>RST_ORG_ID</t>
  </si>
  <si>
    <t>ORG_NAME</t>
  </si>
  <si>
    <t>INN_NAME</t>
  </si>
  <si>
    <t>KPP_NAME</t>
  </si>
  <si>
    <t>ORG_START_DATE</t>
  </si>
  <si>
    <t>ORG_END_DATE</t>
  </si>
  <si>
    <t>SPHERE</t>
  </si>
  <si>
    <t>2634</t>
  </si>
  <si>
    <t>26358438</t>
  </si>
  <si>
    <t>"Волготрансгаз" , Арзамасское ЛПУМГ</t>
  </si>
  <si>
    <t>5260080007</t>
  </si>
  <si>
    <t>520202001</t>
  </si>
  <si>
    <t>31705104</t>
  </si>
  <si>
    <t>АНО "Парк мастеров Нижполиграф"</t>
  </si>
  <si>
    <t>5260471963</t>
  </si>
  <si>
    <t>526001001</t>
  </si>
  <si>
    <t>08-06-2020 00:00:00</t>
  </si>
  <si>
    <t>26358477</t>
  </si>
  <si>
    <t>АО "170 РЗ СОП"</t>
  </si>
  <si>
    <t>5262240714</t>
  </si>
  <si>
    <t>26358403</t>
  </si>
  <si>
    <t>АО "78 ДОК Н.М."</t>
  </si>
  <si>
    <t>5257052472</t>
  </si>
  <si>
    <t>525701001</t>
  </si>
  <si>
    <t>26358280</t>
  </si>
  <si>
    <t>АО "АМЗ"</t>
  </si>
  <si>
    <t>5243001767</t>
  </si>
  <si>
    <t>525350001</t>
  </si>
  <si>
    <t>18-03-1993 00:00:00</t>
  </si>
  <si>
    <t>26358279</t>
  </si>
  <si>
    <t>АО "АПЗ"</t>
  </si>
  <si>
    <t>5243001742</t>
  </si>
  <si>
    <t>524301001</t>
  </si>
  <si>
    <t>26358424</t>
  </si>
  <si>
    <t>АО "Автоиспытания"</t>
  </si>
  <si>
    <t>5260000700</t>
  </si>
  <si>
    <t>26358277</t>
  </si>
  <si>
    <t>АО "Арзамасская войлочная фабрика"</t>
  </si>
  <si>
    <t>5243000788</t>
  </si>
  <si>
    <t>26358301</t>
  </si>
  <si>
    <t>АО "Борская фабрика ПОШ"</t>
  </si>
  <si>
    <t>5246000458</t>
  </si>
  <si>
    <t>524601001</t>
  </si>
  <si>
    <t>26373616</t>
  </si>
  <si>
    <t>АО "ВМЗ"</t>
  </si>
  <si>
    <t>5247004695</t>
  </si>
  <si>
    <t>524701001</t>
  </si>
  <si>
    <t>26358464</t>
  </si>
  <si>
    <t>АО "ВОЛГА-ФЛОТ"</t>
  </si>
  <si>
    <t>5260902190</t>
  </si>
  <si>
    <t>26358390</t>
  </si>
  <si>
    <t>АО "ВОЛГАЭНЕРГОСБЫТ"</t>
  </si>
  <si>
    <t>5256062171</t>
  </si>
  <si>
    <t>525601001</t>
  </si>
  <si>
    <t>31314742</t>
  </si>
  <si>
    <t>АО "ВЫКСАТЕПЛОЭНЕРГО"</t>
  </si>
  <si>
    <t>5247055114</t>
  </si>
  <si>
    <t>26373593</t>
  </si>
  <si>
    <t>АО "Волга"</t>
  </si>
  <si>
    <t>5244009279</t>
  </si>
  <si>
    <t>524401001</t>
  </si>
  <si>
    <t>30335229</t>
  </si>
  <si>
    <t>АО "ГУ ЖКХ"</t>
  </si>
  <si>
    <t>5116000922</t>
  </si>
  <si>
    <t>770401001</t>
  </si>
  <si>
    <t>26358364</t>
  </si>
  <si>
    <t>АО "Гидроагрегат"</t>
  </si>
  <si>
    <t>5252000470</t>
  </si>
  <si>
    <t>525201001</t>
  </si>
  <si>
    <t>26358314</t>
  </si>
  <si>
    <t>АО "ДЗМО"</t>
  </si>
  <si>
    <t>5247004494</t>
  </si>
  <si>
    <t>26569426</t>
  </si>
  <si>
    <t>АО "ДПО "Пластик"</t>
  </si>
  <si>
    <t>5249015251</t>
  </si>
  <si>
    <t>524901001</t>
  </si>
  <si>
    <t>26358272</t>
  </si>
  <si>
    <t>АО "ДРСП"</t>
  </si>
  <si>
    <t>5239006515</t>
  </si>
  <si>
    <t>523901001</t>
  </si>
  <si>
    <t>26322337</t>
  </si>
  <si>
    <t>АО "Дзержинское оргстекло"</t>
  </si>
  <si>
    <t>5249058752</t>
  </si>
  <si>
    <t>31258691</t>
  </si>
  <si>
    <t>АО "ЖКХ "КАЛИКИНСКОЕ"</t>
  </si>
  <si>
    <t>5246038236</t>
  </si>
  <si>
    <t>31063349</t>
  </si>
  <si>
    <t>АО "ЗАВОД "ЭЛЕКТРОМАШ"</t>
  </si>
  <si>
    <t>5263125030</t>
  </si>
  <si>
    <t>526301001</t>
  </si>
  <si>
    <t>26358397</t>
  </si>
  <si>
    <t>АО "ЗАВОД КРАСНЫЙ ЯКОРЬ"</t>
  </si>
  <si>
    <t>5257005049</t>
  </si>
  <si>
    <t>15-10-1993 00:00:00</t>
  </si>
  <si>
    <t>28158144</t>
  </si>
  <si>
    <t>АО "ИП "Ока-Полимер"</t>
  </si>
  <si>
    <t>5249120810</t>
  </si>
  <si>
    <t>26358276</t>
  </si>
  <si>
    <t>АО "КОММАШ"</t>
  </si>
  <si>
    <t>5243000523</t>
  </si>
  <si>
    <t>26358281</t>
  </si>
  <si>
    <t>АО "ЛЕГМАШ"</t>
  </si>
  <si>
    <t>5243001862</t>
  </si>
  <si>
    <t>27-10-1992 00:00:00</t>
  </si>
  <si>
    <t>26555226</t>
  </si>
  <si>
    <t>АО "ЛИНДОВСКОЕ"</t>
  </si>
  <si>
    <t>5246000377</t>
  </si>
  <si>
    <t>26358168</t>
  </si>
  <si>
    <t>АО "Лысковокоммунсервис"</t>
  </si>
  <si>
    <t>5222000321</t>
  </si>
  <si>
    <t>522201001</t>
  </si>
  <si>
    <t>09-12-2004 00:00:00</t>
  </si>
  <si>
    <t>26358172</t>
  </si>
  <si>
    <t>АО "Лысковский хлебозавод"</t>
  </si>
  <si>
    <t>5222000900</t>
  </si>
  <si>
    <t>26358393</t>
  </si>
  <si>
    <t>АО "МЕЛЬИНВЕСТ"</t>
  </si>
  <si>
    <t>5257003490</t>
  </si>
  <si>
    <t>26504840</t>
  </si>
  <si>
    <t>АО "МСК Энерго"</t>
  </si>
  <si>
    <t>5018054863</t>
  </si>
  <si>
    <t>501801001</t>
  </si>
  <si>
    <t>26358385</t>
  </si>
  <si>
    <t>АО "Международный Аэропорт Нижний Новгород"</t>
  </si>
  <si>
    <t>5256045754</t>
  </si>
  <si>
    <t>26358270</t>
  </si>
  <si>
    <t>АО "Молоко"</t>
  </si>
  <si>
    <t>5239001108</t>
  </si>
  <si>
    <t>26555642</t>
  </si>
  <si>
    <t>АО "НАС"</t>
  </si>
  <si>
    <t>5257001277</t>
  </si>
  <si>
    <t>30844713</t>
  </si>
  <si>
    <t>АО "НЗ 70-ЛЕТИЯ ПОБЕДЫ"</t>
  </si>
  <si>
    <t>5259113339</t>
  </si>
  <si>
    <t>525901001</t>
  </si>
  <si>
    <t>26358179</t>
  </si>
  <si>
    <t>АО "НЗСМ"</t>
  </si>
  <si>
    <t>5223000035</t>
  </si>
  <si>
    <t>522301001</t>
  </si>
  <si>
    <t>26358394</t>
  </si>
  <si>
    <t>АО "НМЖК"</t>
  </si>
  <si>
    <t>5257003806</t>
  </si>
  <si>
    <t>26555668</t>
  </si>
  <si>
    <t>АО "НМЗ № 1"</t>
  </si>
  <si>
    <t>5256011321</t>
  </si>
  <si>
    <t>26358469</t>
  </si>
  <si>
    <t>АО "ННПО имени М.В. Фрунзе"</t>
  </si>
  <si>
    <t>5261077695</t>
  </si>
  <si>
    <t>526101001</t>
  </si>
  <si>
    <t>15-08-2011 00:00:00</t>
  </si>
  <si>
    <t>30841129</t>
  </si>
  <si>
    <t>АО "НОКК"</t>
  </si>
  <si>
    <t>5260267654</t>
  </si>
  <si>
    <t>31023931</t>
  </si>
  <si>
    <t>АО "НОКК" (Балахнинский филиал)</t>
  </si>
  <si>
    <t>524443001</t>
  </si>
  <si>
    <t>27566839</t>
  </si>
  <si>
    <t>АО "НОКК" (Богородский филиал)</t>
  </si>
  <si>
    <t>524543001</t>
  </si>
  <si>
    <t>31538730</t>
  </si>
  <si>
    <t>АО "НОКК" (Ветлужский филиал)</t>
  </si>
  <si>
    <t>523543002</t>
  </si>
  <si>
    <t>31538777</t>
  </si>
  <si>
    <t>АО "НОКК" (Володарский филиал)</t>
  </si>
  <si>
    <t>524943001</t>
  </si>
  <si>
    <t>27968016</t>
  </si>
  <si>
    <t>АО "НОКК" (Семеновский филиал)</t>
  </si>
  <si>
    <t>522845001</t>
  </si>
  <si>
    <t>31171901</t>
  </si>
  <si>
    <t>АО "НОКК" (Сеченовский филиал)</t>
  </si>
  <si>
    <t>523043001</t>
  </si>
  <si>
    <t>28007548</t>
  </si>
  <si>
    <t>АО "НОКК" (Шахунский филиал)</t>
  </si>
  <si>
    <t>523943001</t>
  </si>
  <si>
    <t>31246223</t>
  </si>
  <si>
    <t>АО "НПО "МИКРОГЕН"</t>
  </si>
  <si>
    <t>7722422237</t>
  </si>
  <si>
    <t>772201001</t>
  </si>
  <si>
    <t>26555248</t>
  </si>
  <si>
    <t>АО "Нижегородский текстиль"</t>
  </si>
  <si>
    <t>5260000121</t>
  </si>
  <si>
    <t>26358399</t>
  </si>
  <si>
    <t>АО "Нормаль"</t>
  </si>
  <si>
    <t>5257005345</t>
  </si>
  <si>
    <t>26358419</t>
  </si>
  <si>
    <t>АО "ОКБМ Африкантов"</t>
  </si>
  <si>
    <t>5259077666</t>
  </si>
  <si>
    <t>28543854</t>
  </si>
  <si>
    <t>АО "ОМК СТАЛЬНОЙ ПУТЬ"</t>
  </si>
  <si>
    <t>7708737500</t>
  </si>
  <si>
    <t>523945001</t>
  </si>
  <si>
    <t>28502425</t>
  </si>
  <si>
    <t>АО "ПГК"</t>
  </si>
  <si>
    <t>7725806898</t>
  </si>
  <si>
    <t>770101001</t>
  </si>
  <si>
    <t>26358454</t>
  </si>
  <si>
    <t>АО "ПЕРВАЯ ОБРАЗЦОВАЯ ТИПОГРАФИЯ" ФИЛИАЛ "НИЖПОЛИГРАФ"</t>
  </si>
  <si>
    <t>7705709543</t>
  </si>
  <si>
    <t>770501001</t>
  </si>
  <si>
    <t>26555359</t>
  </si>
  <si>
    <t>АО "СГК"</t>
  </si>
  <si>
    <t>5254082550</t>
  </si>
  <si>
    <t>525401001</t>
  </si>
  <si>
    <t>26322331</t>
  </si>
  <si>
    <t>АО "СИБУР-НЕФТЕХИМ"</t>
  </si>
  <si>
    <t>5249051203</t>
  </si>
  <si>
    <t>26555361</t>
  </si>
  <si>
    <t>АО "СТСК"</t>
  </si>
  <si>
    <t>5254082630</t>
  </si>
  <si>
    <t>31266320</t>
  </si>
  <si>
    <t>АО "ТЕПЛОРЕСУРС"</t>
  </si>
  <si>
    <t>5228057821</t>
  </si>
  <si>
    <t>522801001</t>
  </si>
  <si>
    <t>27-04-2024 00:00:00</t>
  </si>
  <si>
    <t>26358489</t>
  </si>
  <si>
    <t>АО "ТРАНС-СИГНАЛ"</t>
  </si>
  <si>
    <t>5263024642</t>
  </si>
  <si>
    <t>22-06-2016 00:00:00</t>
  </si>
  <si>
    <t>26358408</t>
  </si>
  <si>
    <t>АО "Теплоэнерго"</t>
  </si>
  <si>
    <t>5257087027</t>
  </si>
  <si>
    <t>26358184</t>
  </si>
  <si>
    <t>АО "Транспневматика"</t>
  </si>
  <si>
    <t>5224001190</t>
  </si>
  <si>
    <t>522401001</t>
  </si>
  <si>
    <t>26-10-1992 00:00:00</t>
  </si>
  <si>
    <t>27585148</t>
  </si>
  <si>
    <t>АО "ЭСК"</t>
  </si>
  <si>
    <t>5262054490</t>
  </si>
  <si>
    <t>07-09-2009 00:00:00</t>
  </si>
  <si>
    <t>26358197</t>
  </si>
  <si>
    <t>АО «ХОХЛОМСКАЯ РОСПИСЬ»</t>
  </si>
  <si>
    <t>5228001113</t>
  </si>
  <si>
    <t>26358282</t>
  </si>
  <si>
    <t>АО АНПП "ТЕМП-АВИА"</t>
  </si>
  <si>
    <t>5243001887</t>
  </si>
  <si>
    <t>23-07-1998 00:00:00</t>
  </si>
  <si>
    <t>26358413</t>
  </si>
  <si>
    <t>АО НПП "Полет"</t>
  </si>
  <si>
    <t>5258100129</t>
  </si>
  <si>
    <t>525801001</t>
  </si>
  <si>
    <t>29-12-2011 00:00:00</t>
  </si>
  <si>
    <t>26358409</t>
  </si>
  <si>
    <t>АО ПКО "Теплообменник"</t>
  </si>
  <si>
    <t>5258000011</t>
  </si>
  <si>
    <t>28148693</t>
  </si>
  <si>
    <t>АО хладокомбинат "Заречный"</t>
  </si>
  <si>
    <t>5258000780</t>
  </si>
  <si>
    <t>28943557</t>
  </si>
  <si>
    <t>Арзамасский участок АО "НОКК"</t>
  </si>
  <si>
    <t>524345001</t>
  </si>
  <si>
    <t>26358083</t>
  </si>
  <si>
    <t>Арзамасский филиал ННГУ</t>
  </si>
  <si>
    <t>5262004442</t>
  </si>
  <si>
    <t>524303001</t>
  </si>
  <si>
    <t>26358136</t>
  </si>
  <si>
    <t>БОГОЯВЛЕНСКОЕ МУМППЖКХ</t>
  </si>
  <si>
    <t>5215010375</t>
  </si>
  <si>
    <t>521501001</t>
  </si>
  <si>
    <t>26373435</t>
  </si>
  <si>
    <t>Белозеровское МУМППЖКХ</t>
  </si>
  <si>
    <t>5215000779</t>
  </si>
  <si>
    <t>30-06-2006 00:00:00</t>
  </si>
  <si>
    <t>26825363</t>
  </si>
  <si>
    <t>Богородский филиал ООО "Арзамасское ПО "Автопровод"</t>
  </si>
  <si>
    <t>5243002464</t>
  </si>
  <si>
    <t>524502001</t>
  </si>
  <si>
    <t>26358190</t>
  </si>
  <si>
    <t>ГАПОУ "ПЕРЕВОЗСКИЙ СТРОИТЕЛЬНЫЙ КОЛЛЕДЖ"</t>
  </si>
  <si>
    <t>5225001122</t>
  </si>
  <si>
    <t>522501001</t>
  </si>
  <si>
    <t>26358175</t>
  </si>
  <si>
    <t>ГБПОУ ЛАТТ</t>
  </si>
  <si>
    <t>5222002752</t>
  </si>
  <si>
    <t>26358166</t>
  </si>
  <si>
    <t>ГБПОУ ЛПК</t>
  </si>
  <si>
    <t>5221004309</t>
  </si>
  <si>
    <t>522101001</t>
  </si>
  <si>
    <t>31253577</t>
  </si>
  <si>
    <t>ГБПОУ ПСХТ</t>
  </si>
  <si>
    <t>5227001424</t>
  </si>
  <si>
    <t>522701001</t>
  </si>
  <si>
    <t>26358225</t>
  </si>
  <si>
    <t>ГБПОУ СПАССКИЙ АПТ</t>
  </si>
  <si>
    <t>5232001606</t>
  </si>
  <si>
    <t>523201001</t>
  </si>
  <si>
    <t>27980367</t>
  </si>
  <si>
    <t>ГБУ "Варнавинский ПНИ"</t>
  </si>
  <si>
    <t>5207002268</t>
  </si>
  <si>
    <t>520701001</t>
  </si>
  <si>
    <t>26358261</t>
  </si>
  <si>
    <t>ГБУ "Понетаевский ПНИ"</t>
  </si>
  <si>
    <t>5238001923</t>
  </si>
  <si>
    <t>523801001</t>
  </si>
  <si>
    <t>26358119</t>
  </si>
  <si>
    <t>ГБУ "Решетихинский ПНИ"</t>
  </si>
  <si>
    <t>5214003022</t>
  </si>
  <si>
    <t>521401001</t>
  </si>
  <si>
    <t>27579733</t>
  </si>
  <si>
    <t>ГБУ ОСРЦИ "Пушкино"</t>
  </si>
  <si>
    <t>5249050312</t>
  </si>
  <si>
    <t>26358243</t>
  </si>
  <si>
    <t>ГБУ СРЦИ "КРАСНЫЙ ЯР"</t>
  </si>
  <si>
    <t>5235001940</t>
  </si>
  <si>
    <t>523501001</t>
  </si>
  <si>
    <t>31036531</t>
  </si>
  <si>
    <t>ГБУ ССОН "АВТОЗАВОДСКИЙ ДОМ ДЛЯ ДЕТЕЙ "НАДЕЖДА"</t>
  </si>
  <si>
    <t>5256026159</t>
  </si>
  <si>
    <t>26555218</t>
  </si>
  <si>
    <t>ГБУЗ НО "КИСЕЛИХИНСКИЙ ОБЛАСТНОЙ ТЕРАПЕВТИЧЕСКИЙ ГОСПИТАЛЬ ДЛЯ ВЕТЕРАНОВ ВОЙН"</t>
  </si>
  <si>
    <t>5246010400</t>
  </si>
  <si>
    <t>26358374</t>
  </si>
  <si>
    <t>ГКОУ "ПАВЛОВСКИЙ САНАТОРНЫЙ ДЕТСКИЙ ДОМ"</t>
  </si>
  <si>
    <t>5252008631</t>
  </si>
  <si>
    <t>26358271</t>
  </si>
  <si>
    <t>ГОУ СПО "Шахунский агропромышленный техникум"</t>
  </si>
  <si>
    <t>5239002285</t>
  </si>
  <si>
    <t>26555525</t>
  </si>
  <si>
    <t>ГОУ СПО Нижегородский радиотехнический колледж</t>
  </si>
  <si>
    <t>5262034750</t>
  </si>
  <si>
    <t>28043739</t>
  </si>
  <si>
    <t>ГП НО НПЭК</t>
  </si>
  <si>
    <t>5261005524</t>
  </si>
  <si>
    <t>26358432</t>
  </si>
  <si>
    <t>ГУЗ НОКБ им. Н.А.Семашко</t>
  </si>
  <si>
    <t>5260048170</t>
  </si>
  <si>
    <t>26808802</t>
  </si>
  <si>
    <t>Горьковская дирекция по тепловодоснабжению структурное подразделение Центральной дирекции по тепловодоснабжению - филиала ОАО "РЖД"</t>
  </si>
  <si>
    <t>7708503727</t>
  </si>
  <si>
    <t>525745041</t>
  </si>
  <si>
    <t>26358460</t>
  </si>
  <si>
    <t>Горьковское районное нефтепроводное управление филиал АО "Транснефть-Верхняя Волга"</t>
  </si>
  <si>
    <t>5260900725</t>
  </si>
  <si>
    <t>525002001</t>
  </si>
  <si>
    <t>26634205</t>
  </si>
  <si>
    <t>Дальнеконстантиновское МУПП ЖКХ</t>
  </si>
  <si>
    <t>5215001934</t>
  </si>
  <si>
    <t>26358130</t>
  </si>
  <si>
    <t>Дубравское МУМППЖКХ</t>
  </si>
  <si>
    <t>5215000842</t>
  </si>
  <si>
    <t>26555640</t>
  </si>
  <si>
    <t>ЗАО "Гражданстрой-НН"</t>
  </si>
  <si>
    <t>5260080208</t>
  </si>
  <si>
    <t>26358238</t>
  </si>
  <si>
    <t>ЗАО "ЗЖБИ "АРЬЕВСКИЙ"</t>
  </si>
  <si>
    <t>5235000047</t>
  </si>
  <si>
    <t>26555546</t>
  </si>
  <si>
    <t>ЗАО "Завод "Труд"</t>
  </si>
  <si>
    <t>5261005718</t>
  </si>
  <si>
    <t>26322355</t>
  </si>
  <si>
    <t>ЗАО "Концерн "Термаль"</t>
  </si>
  <si>
    <t>5261017382</t>
  </si>
  <si>
    <t>26358174</t>
  </si>
  <si>
    <t>ЗАО "Пивоваренный завод Лысковский"</t>
  </si>
  <si>
    <t>5222001220</t>
  </si>
  <si>
    <t>26358416</t>
  </si>
  <si>
    <t>ЗАО "Энерго групп"</t>
  </si>
  <si>
    <t>5258050559</t>
  </si>
  <si>
    <t>26358476</t>
  </si>
  <si>
    <t>ЗАО МЗ "РИЛС"</t>
  </si>
  <si>
    <t>5262020719</t>
  </si>
  <si>
    <t>26358248</t>
  </si>
  <si>
    <t>ЗАО ПО "Оргхим"</t>
  </si>
  <si>
    <t>5235004482</t>
  </si>
  <si>
    <t>26896893</t>
  </si>
  <si>
    <t>ИП Здоров В.А.</t>
  </si>
  <si>
    <t>522800014806</t>
  </si>
  <si>
    <t>28870867</t>
  </si>
  <si>
    <t>ИП Копытова Н.В.</t>
  </si>
  <si>
    <t>523903931595</t>
  </si>
  <si>
    <t>31446275</t>
  </si>
  <si>
    <t>ИП МИХЕЕВ АНДРЕЙ ЛЕОНИДОВИЧ</t>
  </si>
  <si>
    <t>370202154863</t>
  </si>
  <si>
    <t>31543929</t>
  </si>
  <si>
    <t>ИП Павлов А.В.</t>
  </si>
  <si>
    <t>524402453501</t>
  </si>
  <si>
    <t>28868794</t>
  </si>
  <si>
    <t>ИП Чурашев Михаил Юрьевич</t>
  </si>
  <si>
    <t>525616836221</t>
  </si>
  <si>
    <t>26358306</t>
  </si>
  <si>
    <t>Каликинский шпалопропиточный завод - филиал ОАО  "БетЭлТранс"</t>
  </si>
  <si>
    <t>5246001839</t>
  </si>
  <si>
    <t>997650001</t>
  </si>
  <si>
    <t>27713249</t>
  </si>
  <si>
    <t>Лысковский филиал ООО "Арзамасское ПО "Автопровод"</t>
  </si>
  <si>
    <t>522202001</t>
  </si>
  <si>
    <t>26358205</t>
  </si>
  <si>
    <t>МБОУ "Хахальская основная школа"</t>
  </si>
  <si>
    <t>5228003216</t>
  </si>
  <si>
    <t>26755928</t>
  </si>
  <si>
    <t>МБОУ Велетьминская ООШ</t>
  </si>
  <si>
    <t>5251005412</t>
  </si>
  <si>
    <t>525101001</t>
  </si>
  <si>
    <t>31691473</t>
  </si>
  <si>
    <t>МБУК "ЦКС"</t>
  </si>
  <si>
    <t>5209003972</t>
  </si>
  <si>
    <t>520901001</t>
  </si>
  <si>
    <t>26358155</t>
  </si>
  <si>
    <t>МКОУ "Краснобаковская  С(К)ШИ VIII вида"</t>
  </si>
  <si>
    <t>5219001678</t>
  </si>
  <si>
    <t>521901001</t>
  </si>
  <si>
    <t>28-09-2011 00:00:00</t>
  </si>
  <si>
    <t>26551350</t>
  </si>
  <si>
    <t>МОУ Белышевская школа</t>
  </si>
  <si>
    <t>5209004278</t>
  </si>
  <si>
    <t>26358106</t>
  </si>
  <si>
    <t>МОУ Нарышкинская СОШ</t>
  </si>
  <si>
    <t>5210002532</t>
  </si>
  <si>
    <t>521001001</t>
  </si>
  <si>
    <t>26755921</t>
  </si>
  <si>
    <t>МОУ Саваслейская СОШ</t>
  </si>
  <si>
    <t>5251005476</t>
  </si>
  <si>
    <t>29648861</t>
  </si>
  <si>
    <t>МП "ВАДРЕСУРС"</t>
  </si>
  <si>
    <t>5206025103</t>
  </si>
  <si>
    <t>520601001</t>
  </si>
  <si>
    <t>26373529</t>
  </si>
  <si>
    <t>МП "Горводопровод"</t>
  </si>
  <si>
    <t>5228009786</t>
  </si>
  <si>
    <t>28942141</t>
  </si>
  <si>
    <t>МП "Жилкомсервис"</t>
  </si>
  <si>
    <t>5223034940</t>
  </si>
  <si>
    <t>31521764</t>
  </si>
  <si>
    <t>МП "ИЛЬИНО-ЗАБОРСКОЕ ЖКХ"</t>
  </si>
  <si>
    <t>5228058303</t>
  </si>
  <si>
    <t>26358144</t>
  </si>
  <si>
    <t>МП "Коммунальник"</t>
  </si>
  <si>
    <t>5216017239</t>
  </si>
  <si>
    <t>521601001</t>
  </si>
  <si>
    <t>26358307</t>
  </si>
  <si>
    <t>МП "Линдовский ККПиБ"</t>
  </si>
  <si>
    <t>5246004124</t>
  </si>
  <si>
    <t>26373492</t>
  </si>
  <si>
    <t>МП "Радуга"</t>
  </si>
  <si>
    <t>5224003504</t>
  </si>
  <si>
    <t>26358141</t>
  </si>
  <si>
    <t>МП "Сатисское ЖКХ"</t>
  </si>
  <si>
    <t>5216017126</t>
  </si>
  <si>
    <t>28869650</t>
  </si>
  <si>
    <t>МП "ТЕПЛОВЫЕ СЕТИ"</t>
  </si>
  <si>
    <t>5240000444</t>
  </si>
  <si>
    <t>524001001</t>
  </si>
  <si>
    <t>27965842</t>
  </si>
  <si>
    <t>МП ЖКХ "Планета"</t>
  </si>
  <si>
    <t>5249012187</t>
  </si>
  <si>
    <t>31543727</t>
  </si>
  <si>
    <t>МП КОВЕРНИНСКОГО МУНИЦИПАЛЬНОГО ОКРУГА "ЖИЛИЩНО-КОММУНАЛЬНОЕ ХОЗЯЙСТВО "КОВЕРНИНО"</t>
  </si>
  <si>
    <t>5248044330</t>
  </si>
  <si>
    <t>524801001</t>
  </si>
  <si>
    <t>22-11-2021 00:00:00</t>
  </si>
  <si>
    <t>26358275</t>
  </si>
  <si>
    <t>МУ ТЭПП</t>
  </si>
  <si>
    <t>5243000467</t>
  </si>
  <si>
    <t>26555149</t>
  </si>
  <si>
    <t>МУЗ "Лысковская ЦРБ"</t>
  </si>
  <si>
    <t>5222010175</t>
  </si>
  <si>
    <t>26358257</t>
  </si>
  <si>
    <t>МУЗ "Чкаловская ЦРБ"</t>
  </si>
  <si>
    <t>5236003450</t>
  </si>
  <si>
    <t>523601001</t>
  </si>
  <si>
    <t>26652819</t>
  </si>
  <si>
    <t>МУП "Большое Козино"</t>
  </si>
  <si>
    <t>5244022199</t>
  </si>
  <si>
    <t>26373543</t>
  </si>
  <si>
    <t>МУП "Бытсервис"</t>
  </si>
  <si>
    <t>5231004770</t>
  </si>
  <si>
    <t>523101001</t>
  </si>
  <si>
    <t>31247110</t>
  </si>
  <si>
    <t>МУП "ВОДНИК"</t>
  </si>
  <si>
    <t>5234005042</t>
  </si>
  <si>
    <t>523401001</t>
  </si>
  <si>
    <t>30855659</t>
  </si>
  <si>
    <t>МУП "ВОРОТЫНСКОЕ ЖКХ"</t>
  </si>
  <si>
    <t>5211759886</t>
  </si>
  <si>
    <t>521101001</t>
  </si>
  <si>
    <t>26358098</t>
  </si>
  <si>
    <t>МУП "Варнавинкоммунсервис"</t>
  </si>
  <si>
    <t>5207003582</t>
  </si>
  <si>
    <t>28871157</t>
  </si>
  <si>
    <t>МУП "Водоканал"</t>
  </si>
  <si>
    <t>5239010720</t>
  </si>
  <si>
    <t>26358264</t>
  </si>
  <si>
    <t>МУП "ГАРАНТ-ЖКХ"</t>
  </si>
  <si>
    <t>5238005477</t>
  </si>
  <si>
    <t>27201619</t>
  </si>
  <si>
    <t>МУП "ДзержинскЭнерго"</t>
  </si>
  <si>
    <t>5249003457</t>
  </si>
  <si>
    <t>26358220</t>
  </si>
  <si>
    <t>МУП "Елизарово"</t>
  </si>
  <si>
    <t>5231004795</t>
  </si>
  <si>
    <t>26358121</t>
  </si>
  <si>
    <t>МУП "ЖИЛИЩНИК" ВОЛОДАРСКОГО РАЙОНА</t>
  </si>
  <si>
    <t>5214006023</t>
  </si>
  <si>
    <t>28449409</t>
  </si>
  <si>
    <t>МУП "ЖКХ "СЕВЕРНЫЙ"</t>
  </si>
  <si>
    <t>5248036146</t>
  </si>
  <si>
    <t>28005091</t>
  </si>
  <si>
    <t>МУП "ЖКХ Буревестник"</t>
  </si>
  <si>
    <t>5248033561</t>
  </si>
  <si>
    <t>26358324</t>
  </si>
  <si>
    <t>МУП "ЖКХ Зарубинское"</t>
  </si>
  <si>
    <t>5248015611</t>
  </si>
  <si>
    <t>26358331</t>
  </si>
  <si>
    <t>МУП "ЖКХ Зиняковское"</t>
  </si>
  <si>
    <t>5248015700</t>
  </si>
  <si>
    <t>26358330</t>
  </si>
  <si>
    <t>МУП "ЖКХ Ковригинское"</t>
  </si>
  <si>
    <t>5248015690</t>
  </si>
  <si>
    <t>16-05-2024 00:00:00</t>
  </si>
  <si>
    <t>26358329</t>
  </si>
  <si>
    <t>МУП "ЖКХ Кумохинское"</t>
  </si>
  <si>
    <t>5248015682</t>
  </si>
  <si>
    <t>28147903</t>
  </si>
  <si>
    <t>МУП "ЖКХ Лысковского района"</t>
  </si>
  <si>
    <t>5222070569</t>
  </si>
  <si>
    <t>26358335</t>
  </si>
  <si>
    <t>МУП "ЖКХ Мошковское"</t>
  </si>
  <si>
    <t>5248015756</t>
  </si>
  <si>
    <t>27893480</t>
  </si>
  <si>
    <t>МУП "ЖКХ Сеченовское"</t>
  </si>
  <si>
    <t>5230004200</t>
  </si>
  <si>
    <t>523001001</t>
  </si>
  <si>
    <t>26358327</t>
  </si>
  <si>
    <t>МУП "ЖКХ Смольковское"</t>
  </si>
  <si>
    <t>5248015650</t>
  </si>
  <si>
    <t>31266429</t>
  </si>
  <si>
    <t>МУП "ЖКХ"</t>
  </si>
  <si>
    <t>5208006025</t>
  </si>
  <si>
    <t>520801001</t>
  </si>
  <si>
    <t>28871911</t>
  </si>
  <si>
    <t>МУП "КОММУНАЛЬЩИК"</t>
  </si>
  <si>
    <t>5225006709</t>
  </si>
  <si>
    <t>26552168</t>
  </si>
  <si>
    <t>МУП "КОМУНЭНЕРГО"</t>
  </si>
  <si>
    <t>5238006336</t>
  </si>
  <si>
    <t>30354230</t>
  </si>
  <si>
    <t>МУП "КОНЕВО"</t>
  </si>
  <si>
    <t>5244029437</t>
  </si>
  <si>
    <t>26373510</t>
  </si>
  <si>
    <t>МУП "Коммунальщик"</t>
  </si>
  <si>
    <t>5226013184</t>
  </si>
  <si>
    <t>522601001</t>
  </si>
  <si>
    <t>26373421</t>
  </si>
  <si>
    <t>МУП "Коммунсервис"</t>
  </si>
  <si>
    <t>5214000230</t>
  </si>
  <si>
    <t>26358284</t>
  </si>
  <si>
    <t>МУП "Комфорт"</t>
  </si>
  <si>
    <t>5243016724</t>
  </si>
  <si>
    <t>26358265</t>
  </si>
  <si>
    <t>МУП "ЛЕСОГОРСК ЖКХ"</t>
  </si>
  <si>
    <t>5238005484</t>
  </si>
  <si>
    <t>31158286</t>
  </si>
  <si>
    <t>МУП "Лысковокоммунсервис"</t>
  </si>
  <si>
    <t>5222071587</t>
  </si>
  <si>
    <t>31314620</t>
  </si>
  <si>
    <t>МУП "МП "БРКК" МО "БМР"</t>
  </si>
  <si>
    <t>5244031690</t>
  </si>
  <si>
    <t>27839234</t>
  </si>
  <si>
    <t>МУП "МП "ВОДОКАНАЛ" МО "БАЛАХНИНСКИЙ МУНИЦИПАЛЬНЫЙ ОКРУГ" НИЖЕГОРОДСКОЙ ОБЛАСТИ"</t>
  </si>
  <si>
    <t>5244025070</t>
  </si>
  <si>
    <t>31205512</t>
  </si>
  <si>
    <t>МУП "РАЙТОПСБЫТ"</t>
  </si>
  <si>
    <t>5226013120</t>
  </si>
  <si>
    <t>28455254</t>
  </si>
  <si>
    <t>МУП "Решетихинские коммунальные сети"</t>
  </si>
  <si>
    <t>5214011538</t>
  </si>
  <si>
    <t>30382083</t>
  </si>
  <si>
    <t>МУП "СЕВЕРНОЕ ЖКХ"</t>
  </si>
  <si>
    <t>5207016670</t>
  </si>
  <si>
    <t>26358226</t>
  </si>
  <si>
    <t>МУП "СПАССКОЕ ЖКХ"</t>
  </si>
  <si>
    <t>5232002977</t>
  </si>
  <si>
    <t>26373630</t>
  </si>
  <si>
    <t>МУП "ТВК" г. Заволжья</t>
  </si>
  <si>
    <t>5248016372</t>
  </si>
  <si>
    <t>31348885</t>
  </si>
  <si>
    <t>МУП "ТРУД"</t>
  </si>
  <si>
    <t>5201002409</t>
  </si>
  <si>
    <t>520101001</t>
  </si>
  <si>
    <t>27573878</t>
  </si>
  <si>
    <t>МУП "Тепло"</t>
  </si>
  <si>
    <t>5252029494</t>
  </si>
  <si>
    <t>26552019</t>
  </si>
  <si>
    <t>МУП "Тепловик-1"</t>
  </si>
  <si>
    <t>5217001030</t>
  </si>
  <si>
    <t>521701001</t>
  </si>
  <si>
    <t>26358322</t>
  </si>
  <si>
    <t>МУП "Тепловые сети"</t>
  </si>
  <si>
    <t>5248011350</t>
  </si>
  <si>
    <t>26358253</t>
  </si>
  <si>
    <t>МУП "Теплосети"</t>
  </si>
  <si>
    <t>5235005493</t>
  </si>
  <si>
    <t>26358221</t>
  </si>
  <si>
    <t>МУП "Теплоэнергия-1"</t>
  </si>
  <si>
    <t>5231004851</t>
  </si>
  <si>
    <t>26358231</t>
  </si>
  <si>
    <t>МУП "Тонкинские теплосети"</t>
  </si>
  <si>
    <t>5233002810</t>
  </si>
  <si>
    <t>523301001</t>
  </si>
  <si>
    <t>31566194</t>
  </si>
  <si>
    <t>МУП "УРЕНСКИЕ ТЕПЛОВЫЕ СЕТИ" УРЕНСКОГО МУНИЦИПАЛЬНОГО ОКРУГА НИЖЕГОРОДСКОЙ ОБЛАСТИ</t>
  </si>
  <si>
    <t>5235006634</t>
  </si>
  <si>
    <t>26373388</t>
  </si>
  <si>
    <t>МУП "Управляющая компания"</t>
  </si>
  <si>
    <t>5204001114</t>
  </si>
  <si>
    <t>520401001</t>
  </si>
  <si>
    <t>28053496</t>
  </si>
  <si>
    <t>МУП "ШОКС"</t>
  </si>
  <si>
    <t>5239010688</t>
  </si>
  <si>
    <t>26551775</t>
  </si>
  <si>
    <t>МУП "Юго-Запад"</t>
  </si>
  <si>
    <t>5227005267</t>
  </si>
  <si>
    <t>30872197</t>
  </si>
  <si>
    <t>МУП «КОММУНРЕСУРС КРАСНОБАКОВСКОГО МУНИЦИПАЛЬНОГО ОКРУГА»</t>
  </si>
  <si>
    <t>5219383900</t>
  </si>
  <si>
    <t>02-08-2016 00:00:00</t>
  </si>
  <si>
    <t>26358255</t>
  </si>
  <si>
    <t>МУП «ЧКАЛОВСКЭНЕРГОРЕСУРС»</t>
  </si>
  <si>
    <t>5236002390</t>
  </si>
  <si>
    <t>31258650</t>
  </si>
  <si>
    <t>МУП ВАРНАВИНСКОГО МУНИЦИПАЛЬНОГО ОКРУГА «ТЕПЛОСНАБЖЕНИЕ»</t>
  </si>
  <si>
    <t>5207016782</t>
  </si>
  <si>
    <t>27577563</t>
  </si>
  <si>
    <t>МУП ЖКХ</t>
  </si>
  <si>
    <t>5237002949</t>
  </si>
  <si>
    <t>523701001</t>
  </si>
  <si>
    <t>26373417</t>
  </si>
  <si>
    <t>МУП ЖКХ "Водоканал"</t>
  </si>
  <si>
    <t>5212007342</t>
  </si>
  <si>
    <t>521201001</t>
  </si>
  <si>
    <t>26373427</t>
  </si>
  <si>
    <t>МУП ЖКХ "Жилсервис" Володарского района</t>
  </si>
  <si>
    <t>5214007997</t>
  </si>
  <si>
    <t>10-06-2003 00:00:00</t>
  </si>
  <si>
    <t>26358120</t>
  </si>
  <si>
    <t>МУП ЖКХ "Ильиногорское"</t>
  </si>
  <si>
    <t>5214005012</t>
  </si>
  <si>
    <t>27633085</t>
  </si>
  <si>
    <t>МУП ЖКХ "Коммунальник"</t>
  </si>
  <si>
    <t>5203002330</t>
  </si>
  <si>
    <t>520303001</t>
  </si>
  <si>
    <t>28452082</t>
  </si>
  <si>
    <t>МУП ЖКХ "Сокол"</t>
  </si>
  <si>
    <t>5248034734</t>
  </si>
  <si>
    <t>26555489</t>
  </si>
  <si>
    <t>МУП ЖКХ "Тепелевское"</t>
  </si>
  <si>
    <t>5215001797</t>
  </si>
  <si>
    <t>13-10-2009 00:00:00</t>
  </si>
  <si>
    <t>26553600</t>
  </si>
  <si>
    <t>МУП ЖКХ Григоровского сельсовета</t>
  </si>
  <si>
    <t>5204001467</t>
  </si>
  <si>
    <t>26358297</t>
  </si>
  <si>
    <t>МУП ЖКХ С. КАМЕНКИ</t>
  </si>
  <si>
    <t>5245007965</t>
  </si>
  <si>
    <t>524501001</t>
  </si>
  <si>
    <t>26358091</t>
  </si>
  <si>
    <t>МУП ЖКХ п. Советский</t>
  </si>
  <si>
    <t>5204002319</t>
  </si>
  <si>
    <t>26552080</t>
  </si>
  <si>
    <t>МУП ЖКХ р.п. Красные Баки</t>
  </si>
  <si>
    <t>5219382342</t>
  </si>
  <si>
    <t>04-07-2007 00:00:00</t>
  </si>
  <si>
    <t>21-02-2024 00:00:00</t>
  </si>
  <si>
    <t>26358129</t>
  </si>
  <si>
    <t>Малопицкое МУМППЖКХ</t>
  </si>
  <si>
    <t>5215000761</t>
  </si>
  <si>
    <t>29-06-2006 00:00:00</t>
  </si>
  <si>
    <t>26358425</t>
  </si>
  <si>
    <t>НГТУ</t>
  </si>
  <si>
    <t>5260001439</t>
  </si>
  <si>
    <t>26358426</t>
  </si>
  <si>
    <t>ННГАСУ</t>
  </si>
  <si>
    <t>5260002707</t>
  </si>
  <si>
    <t>26358474</t>
  </si>
  <si>
    <t>ННГУ</t>
  </si>
  <si>
    <t>26555250</t>
  </si>
  <si>
    <t>НПАП № 1 - филиал ГП "Нижегородпассажиравтотранс"</t>
  </si>
  <si>
    <t>5260000192</t>
  </si>
  <si>
    <t>525703001</t>
  </si>
  <si>
    <t>26555257</t>
  </si>
  <si>
    <t>НПАП № 2 - филиал ГП "Нижегородпассажиравтотранс"</t>
  </si>
  <si>
    <t>525802001</t>
  </si>
  <si>
    <t>26358124</t>
  </si>
  <si>
    <t>Нижегородское МУМППЖКХ</t>
  </si>
  <si>
    <t>5215000391</t>
  </si>
  <si>
    <t>26358414</t>
  </si>
  <si>
    <t>ОАО "АСПО-1"</t>
  </si>
  <si>
    <t>5258003439</t>
  </si>
  <si>
    <t>26358240</t>
  </si>
  <si>
    <t>ОАО "Автомобилист"</t>
  </si>
  <si>
    <t>5235000865</t>
  </si>
  <si>
    <t>26358150</t>
  </si>
  <si>
    <t>ОАО "Агроплемкомбинат МИР"</t>
  </si>
  <si>
    <t>5218005172</t>
  </si>
  <si>
    <t>521801001</t>
  </si>
  <si>
    <t>26358400</t>
  </si>
  <si>
    <t>ОАО "ВВПКП "Оборонпромкомплекс"</t>
  </si>
  <si>
    <t>5257007173</t>
  </si>
  <si>
    <t>28062748</t>
  </si>
  <si>
    <t>ОАО "ВРК-3" г. Арзамас</t>
  </si>
  <si>
    <t>760643001</t>
  </si>
  <si>
    <t>26358483</t>
  </si>
  <si>
    <t>ОАО "Верхневолгоэлектромонтаж-НН"</t>
  </si>
  <si>
    <t>5262089823</t>
  </si>
  <si>
    <t>26555646</t>
  </si>
  <si>
    <t>ОАО "Волговятмашэлектроснабсбыт"</t>
  </si>
  <si>
    <t>5263005417</t>
  </si>
  <si>
    <t>26358401</t>
  </si>
  <si>
    <t>ОАО "Горьковский завод аппаратуры связи им. А.С.Попова"</t>
  </si>
  <si>
    <t>5257008145</t>
  </si>
  <si>
    <t>26358337</t>
  </si>
  <si>
    <t>ОАО "Дизель"</t>
  </si>
  <si>
    <t>5249012839</t>
  </si>
  <si>
    <t>26358486</t>
  </si>
  <si>
    <t>ОАО "Железобетонстрой № 5"</t>
  </si>
  <si>
    <t>5263001405</t>
  </si>
  <si>
    <t>26358421</t>
  </si>
  <si>
    <t>ОАО "ЗТО "Камея"</t>
  </si>
  <si>
    <t>5259010887</t>
  </si>
  <si>
    <t>26358117</t>
  </si>
  <si>
    <t>ОАО "Ильиногорское"</t>
  </si>
  <si>
    <t>5214001459</t>
  </si>
  <si>
    <t>02-04-2024 00:00:00</t>
  </si>
  <si>
    <t>26569255</t>
  </si>
  <si>
    <t>ОАО "Керма"</t>
  </si>
  <si>
    <t>5250001581</t>
  </si>
  <si>
    <t>525001001</t>
  </si>
  <si>
    <t>26358237</t>
  </si>
  <si>
    <t>ОАО "Коммунтехсервис"</t>
  </si>
  <si>
    <t>5234003863</t>
  </si>
  <si>
    <t>26358171</t>
  </si>
  <si>
    <t>ОАО "ЛЭТЗ"</t>
  </si>
  <si>
    <t>5222000882</t>
  </si>
  <si>
    <t>26358359</t>
  </si>
  <si>
    <t>ОАО "МИЗ-Ворсма"</t>
  </si>
  <si>
    <t>5252000368</t>
  </si>
  <si>
    <t>26814688</t>
  </si>
  <si>
    <t>ОАО "Объединение котельных и тепловых сетей"</t>
  </si>
  <si>
    <t>5246038162</t>
  </si>
  <si>
    <t>26555652</t>
  </si>
  <si>
    <t>ОАО "Оргсинтез"</t>
  </si>
  <si>
    <t>5259008239</t>
  </si>
  <si>
    <t>26358321</t>
  </si>
  <si>
    <t>ОАО "ПАНСИОНАТ "БУРЕВЕСТНИК"</t>
  </si>
  <si>
    <t>5248005892</t>
  </si>
  <si>
    <t>27620829</t>
  </si>
  <si>
    <t>ОАО "Павловский машиностроительный завод "Восход"</t>
  </si>
  <si>
    <t>5252000375</t>
  </si>
  <si>
    <t>26557559</t>
  </si>
  <si>
    <t>ОАО "Перспектива"</t>
  </si>
  <si>
    <t>5216000027</t>
  </si>
  <si>
    <t>26648877</t>
  </si>
  <si>
    <t>ОАО "РЖД" (Дирекция по тепловодоснабжению)</t>
  </si>
  <si>
    <t>997650010</t>
  </si>
  <si>
    <t>26358411</t>
  </si>
  <si>
    <t>ОАО "РУМО"</t>
  </si>
  <si>
    <t>5258000068</t>
  </si>
  <si>
    <t>26358278</t>
  </si>
  <si>
    <t>ОАО "Рикор-Электроникс"</t>
  </si>
  <si>
    <t>5243001622</t>
  </si>
  <si>
    <t>27566914</t>
  </si>
  <si>
    <t>ОАО "Силикатный завод №1"</t>
  </si>
  <si>
    <t>5263008721</t>
  </si>
  <si>
    <t>27054261</t>
  </si>
  <si>
    <t>ОАО "ТГК-6"</t>
  </si>
  <si>
    <t>5257072937</t>
  </si>
  <si>
    <t>26951315</t>
  </si>
  <si>
    <t>ОАО "УК ЖКХ Починковского района"</t>
  </si>
  <si>
    <t>5227006006</t>
  </si>
  <si>
    <t>26358214</t>
  </si>
  <si>
    <t>ОАО "УК ЖКХ Сергачского района"</t>
  </si>
  <si>
    <t>5229007213</t>
  </si>
  <si>
    <t>522901001</t>
  </si>
  <si>
    <t>31612515</t>
  </si>
  <si>
    <t>ОБЩЕСТВО С ОГРАНИЧЕННОЙ ОТВЕТСТВЕННОСТЬЮ "ТЕПЛОТРЕЙД-НН"</t>
  </si>
  <si>
    <t>5263148447</t>
  </si>
  <si>
    <t>31531172</t>
  </si>
  <si>
    <t>ООО "АКАДЕМКОМФОРТ"</t>
  </si>
  <si>
    <t>5250073836</t>
  </si>
  <si>
    <t>28046028</t>
  </si>
  <si>
    <t>ООО "Автобан"</t>
  </si>
  <si>
    <t>5262057290</t>
  </si>
  <si>
    <t>26358389</t>
  </si>
  <si>
    <t>ООО "Автозаводская ТЭЦ"</t>
  </si>
  <si>
    <t>5256049357</t>
  </si>
  <si>
    <t>26358387</t>
  </si>
  <si>
    <t>ООО "Агрокомплекс Доскино"</t>
  </si>
  <si>
    <t>5256048674</t>
  </si>
  <si>
    <t>28257101</t>
  </si>
  <si>
    <t>ООО "Актеон"</t>
  </si>
  <si>
    <t>5262114420</t>
  </si>
  <si>
    <t>26-06-2024 00:00:00</t>
  </si>
  <si>
    <t>28799523</t>
  </si>
  <si>
    <t>ООО "Арго-Энерго52"</t>
  </si>
  <si>
    <t>5260357354</t>
  </si>
  <si>
    <t>26358283</t>
  </si>
  <si>
    <t>ООО "Арзамасское ПО "Автопровод"</t>
  </si>
  <si>
    <t>26647119</t>
  </si>
  <si>
    <t>ООО "Атриум Инвест"</t>
  </si>
  <si>
    <t>5259088139</t>
  </si>
  <si>
    <t>30358115</t>
  </si>
  <si>
    <t>ООО "БЗДСМ-НН"</t>
  </si>
  <si>
    <t>5258116418</t>
  </si>
  <si>
    <t>28460925</t>
  </si>
  <si>
    <t>ООО "БТГ"</t>
  </si>
  <si>
    <t>5246043620</t>
  </si>
  <si>
    <t>28460940</t>
  </si>
  <si>
    <t>ООО "БТС"</t>
  </si>
  <si>
    <t>5246043613</t>
  </si>
  <si>
    <t>31618550</t>
  </si>
  <si>
    <t>ООО "БУГРОВСКИЕ МЕЛЬНИЦЫ"</t>
  </si>
  <si>
    <t>5259154060</t>
  </si>
  <si>
    <t>31443656</t>
  </si>
  <si>
    <t>5261126776</t>
  </si>
  <si>
    <t>29-04-2020 00:00:00</t>
  </si>
  <si>
    <t>26358178</t>
  </si>
  <si>
    <t>ООО "БУМИ"</t>
  </si>
  <si>
    <t>5222014282</t>
  </si>
  <si>
    <t>28460875</t>
  </si>
  <si>
    <t>ООО "БЭФ"</t>
  </si>
  <si>
    <t>5246043638</t>
  </si>
  <si>
    <t>28013687</t>
  </si>
  <si>
    <t>ООО "Бор Инвест"</t>
  </si>
  <si>
    <t>5246041888</t>
  </si>
  <si>
    <t>28460965</t>
  </si>
  <si>
    <t>ООО "Бор Теплоэнерго"</t>
  </si>
  <si>
    <t>5246043589</t>
  </si>
  <si>
    <t>28500820</t>
  </si>
  <si>
    <t>ООО "Бугровские мельницы"</t>
  </si>
  <si>
    <t>5257071563</t>
  </si>
  <si>
    <t>31197101</t>
  </si>
  <si>
    <t>5262357310</t>
  </si>
  <si>
    <t>26358491</t>
  </si>
  <si>
    <t>ООО "Бутурлинское жилищно-коммунальное хозяйство"</t>
  </si>
  <si>
    <t>5205004630</t>
  </si>
  <si>
    <t>520501001</t>
  </si>
  <si>
    <t>31211396</t>
  </si>
  <si>
    <t>ООО "ВЕРУС ГРУПП"</t>
  </si>
  <si>
    <t>5257173928</t>
  </si>
  <si>
    <t>26553578</t>
  </si>
  <si>
    <t>ООО "ВМЗ-Универсал"</t>
  </si>
  <si>
    <t>5247017863</t>
  </si>
  <si>
    <t>04-04-2024 00:00:00</t>
  </si>
  <si>
    <t>31187851</t>
  </si>
  <si>
    <t>ООО "ВОЛГАРЕСУРС"</t>
  </si>
  <si>
    <t>5244031394</t>
  </si>
  <si>
    <t>28425169</t>
  </si>
  <si>
    <t>ООО "Веста"</t>
  </si>
  <si>
    <t>5251008188</t>
  </si>
  <si>
    <t>31110429</t>
  </si>
  <si>
    <t>ООО "Виктория"</t>
  </si>
  <si>
    <t>5257002249</t>
  </si>
  <si>
    <t>05-12-2002 00:00:00</t>
  </si>
  <si>
    <t>26373553</t>
  </si>
  <si>
    <t>ООО "Водоканал"</t>
  </si>
  <si>
    <t>5235006585</t>
  </si>
  <si>
    <t>26555521</t>
  </si>
  <si>
    <t>5236007711</t>
  </si>
  <si>
    <t>26358298</t>
  </si>
  <si>
    <t>ООО "Волготрансгазстроймонтаж"</t>
  </si>
  <si>
    <t>5245008630</t>
  </si>
  <si>
    <t>31026167</t>
  </si>
  <si>
    <t>ООО "Восход"</t>
  </si>
  <si>
    <t>5207016711</t>
  </si>
  <si>
    <t>26358435</t>
  </si>
  <si>
    <t>ООО "Высоковский кирпичный завод+"</t>
  </si>
  <si>
    <t>5260108580</t>
  </si>
  <si>
    <t>31448442</t>
  </si>
  <si>
    <t>ООО "ГЛОБАЛЛОГИСТИК"</t>
  </si>
  <si>
    <t>5401307630</t>
  </si>
  <si>
    <t>26373418</t>
  </si>
  <si>
    <t>ООО "Гагинское ЖКХ"</t>
  </si>
  <si>
    <t>5213004143</t>
  </si>
  <si>
    <t>521301001</t>
  </si>
  <si>
    <t>27866190</t>
  </si>
  <si>
    <t>ООО "Генерация тепла"</t>
  </si>
  <si>
    <t>5258103070</t>
  </si>
  <si>
    <t>28502351</t>
  </si>
  <si>
    <t>ООО "Гефест"</t>
  </si>
  <si>
    <t>5239010310</t>
  </si>
  <si>
    <t>26358452</t>
  </si>
  <si>
    <t>ООО "Городецкий судоремонтный завод"</t>
  </si>
  <si>
    <t>5260142895</t>
  </si>
  <si>
    <t>30385011</t>
  </si>
  <si>
    <t>ООО "Гранит"</t>
  </si>
  <si>
    <t>5260182440</t>
  </si>
  <si>
    <t>30854354</t>
  </si>
  <si>
    <t>ООО "ДЕМЕТРА"</t>
  </si>
  <si>
    <t>5260235420</t>
  </si>
  <si>
    <t>30390705</t>
  </si>
  <si>
    <t>ООО "ДеКом"</t>
  </si>
  <si>
    <t>5258106233</t>
  </si>
  <si>
    <t>28265659</t>
  </si>
  <si>
    <t>ООО "Дзержинсктеплогаз"</t>
  </si>
  <si>
    <t>5249123377</t>
  </si>
  <si>
    <t>31196698</t>
  </si>
  <si>
    <t>ООО "ЖБС-5"</t>
  </si>
  <si>
    <t>5263130707</t>
  </si>
  <si>
    <t>26557165</t>
  </si>
  <si>
    <t>ООО "Жилкомсервис"</t>
  </si>
  <si>
    <t>5228055711</t>
  </si>
  <si>
    <t>31438254</t>
  </si>
  <si>
    <t>ООО "ЗАЛЕСНОЕ"</t>
  </si>
  <si>
    <t>5228055729</t>
  </si>
  <si>
    <t>08-09-2014 00:00:00</t>
  </si>
  <si>
    <t>26562570</t>
  </si>
  <si>
    <t>ООО "Заводские сети"</t>
  </si>
  <si>
    <t>5256049340</t>
  </si>
  <si>
    <t>26322342</t>
  </si>
  <si>
    <t>ООО "Зефс-энерго"</t>
  </si>
  <si>
    <t>5258049909</t>
  </si>
  <si>
    <t>31306641</t>
  </si>
  <si>
    <t>ООО "ИНЖЕНЕРНЫЙ ЦЕНТР"</t>
  </si>
  <si>
    <t>5246053330</t>
  </si>
  <si>
    <t>03-04-2019 00:00:00</t>
  </si>
  <si>
    <t>28460903</t>
  </si>
  <si>
    <t>ООО "ИТ"</t>
  </si>
  <si>
    <t>5246043596</t>
  </si>
  <si>
    <t>28821602</t>
  </si>
  <si>
    <t>ООО "Интер"</t>
  </si>
  <si>
    <t>5250060280</t>
  </si>
  <si>
    <t>31442710</t>
  </si>
  <si>
    <t>ООО "КВОЛИТ-СТРОЙ"</t>
  </si>
  <si>
    <t>5262292984</t>
  </si>
  <si>
    <t>26358471</t>
  </si>
  <si>
    <t>ООО "КЛАСС ПЛЮС"</t>
  </si>
  <si>
    <t>5261106233</t>
  </si>
  <si>
    <t>30854345</t>
  </si>
  <si>
    <t>ООО "КОММУНАЛЬЩИК-НН"</t>
  </si>
  <si>
    <t>5245027023</t>
  </si>
  <si>
    <t>19-10-2015 00:00:00</t>
  </si>
  <si>
    <t>28815743</t>
  </si>
  <si>
    <t>ООО "КСК"</t>
  </si>
  <si>
    <t>5256122751</t>
  </si>
  <si>
    <t>28043750</t>
  </si>
  <si>
    <t>ООО "Княгининский Стройгаз"</t>
  </si>
  <si>
    <t>5217003648</t>
  </si>
  <si>
    <t>26358436</t>
  </si>
  <si>
    <t>ООО "Ковчег-НН"</t>
  </si>
  <si>
    <t>5260079227</t>
  </si>
  <si>
    <t>26358102</t>
  </si>
  <si>
    <t>ООО "КомСервис"</t>
  </si>
  <si>
    <t>5208005141</t>
  </si>
  <si>
    <t>27670979</t>
  </si>
  <si>
    <t>ООО "КомСервис-Т р.п. Вача"</t>
  </si>
  <si>
    <t>5208005166</t>
  </si>
  <si>
    <t>13-09-2011 00:00:00</t>
  </si>
  <si>
    <t>28451400</t>
  </si>
  <si>
    <t>ООО "Коммунальник"</t>
  </si>
  <si>
    <t>5225004677</t>
  </si>
  <si>
    <t>15-04-2005 00:00:00</t>
  </si>
  <si>
    <t>27566780</t>
  </si>
  <si>
    <t>ООО "Коммунальщик"</t>
  </si>
  <si>
    <t>5245017794</t>
  </si>
  <si>
    <t>28455154</t>
  </si>
  <si>
    <t>ООО "Коммунсервис"</t>
  </si>
  <si>
    <t>5235007356</t>
  </si>
  <si>
    <t>30939581</t>
  </si>
  <si>
    <t>ООО "ЛЕСПРОМ"</t>
  </si>
  <si>
    <t>5234004176</t>
  </si>
  <si>
    <t>26413215</t>
  </si>
  <si>
    <t>ООО "ЛУКОЙЛ-ЭНЕРГОСЕТИ"</t>
  </si>
  <si>
    <t>5260230051</t>
  </si>
  <si>
    <t>31350312</t>
  </si>
  <si>
    <t>ООО "МНУЦ ВТИ"</t>
  </si>
  <si>
    <t>7709956215</t>
  </si>
  <si>
    <t>770901001</t>
  </si>
  <si>
    <t>26358402</t>
  </si>
  <si>
    <t>ООО "МУРАВЬИНЫЕ ЦЕНЫ"</t>
  </si>
  <si>
    <t>5257041664</t>
  </si>
  <si>
    <t>28457679</t>
  </si>
  <si>
    <t>ООО "Мухтоловское ЖКХ"</t>
  </si>
  <si>
    <t>5201000264</t>
  </si>
  <si>
    <t>03-07-2012 00:00:00</t>
  </si>
  <si>
    <t>26555644</t>
  </si>
  <si>
    <t>ООО "НЗ "СТАРТ"</t>
  </si>
  <si>
    <t>5262154550</t>
  </si>
  <si>
    <t>23-08-2006 00:00:00</t>
  </si>
  <si>
    <t>31752648</t>
  </si>
  <si>
    <t>ООО "НИЖЕГОРОДЕЦ ВОСТОК"</t>
  </si>
  <si>
    <t>5257164835</t>
  </si>
  <si>
    <t>27567031</t>
  </si>
  <si>
    <t>ООО "НОРМА"</t>
  </si>
  <si>
    <t>5261015233</t>
  </si>
  <si>
    <t>19-12-2008 00:00:00</t>
  </si>
  <si>
    <t>26358430</t>
  </si>
  <si>
    <t>ООО "НПК "Скрудж"</t>
  </si>
  <si>
    <t>5260029385</t>
  </si>
  <si>
    <t>31230061</t>
  </si>
  <si>
    <t>ООО "НТФ"</t>
  </si>
  <si>
    <t>5262360338</t>
  </si>
  <si>
    <t>03-12-2018 00:00:00</t>
  </si>
  <si>
    <t>31212674</t>
  </si>
  <si>
    <t>ООО "НТЦ"</t>
  </si>
  <si>
    <t>5223035415</t>
  </si>
  <si>
    <t>05-09-2018 00:00:00</t>
  </si>
  <si>
    <t>31388077</t>
  </si>
  <si>
    <t>ООО "НЭСК"</t>
  </si>
  <si>
    <t>5257191878</t>
  </si>
  <si>
    <t>26555147</t>
  </si>
  <si>
    <t>ООО "Нижегородтеплогаз"</t>
  </si>
  <si>
    <t>5262068407</t>
  </si>
  <si>
    <t>26551993</t>
  </si>
  <si>
    <t>ООО "Нижновтеплоэнерго"</t>
  </si>
  <si>
    <t>5257079570</t>
  </si>
  <si>
    <t>26758070</t>
  </si>
  <si>
    <t>ООО "Никола"</t>
  </si>
  <si>
    <t>5228056095</t>
  </si>
  <si>
    <t>27909014</t>
  </si>
  <si>
    <t>ООО "Николь-Пак Империал"</t>
  </si>
  <si>
    <t>5258044065</t>
  </si>
  <si>
    <t>04-10-2002 00:00:00</t>
  </si>
  <si>
    <t>28942293</t>
  </si>
  <si>
    <t>ООО "ОКАТЕПЛОСЕРВИС"</t>
  </si>
  <si>
    <t>5214011802</t>
  </si>
  <si>
    <t>31340582</t>
  </si>
  <si>
    <t>ООО "ОРК"</t>
  </si>
  <si>
    <t>5259120135</t>
  </si>
  <si>
    <t>26358434</t>
  </si>
  <si>
    <t>ООО "Оздоровительный комплекс "Молодость"</t>
  </si>
  <si>
    <t>5260069067</t>
  </si>
  <si>
    <t>26552228</t>
  </si>
  <si>
    <t>ООО "ОканитТеплоЭнерго"</t>
  </si>
  <si>
    <t>5245016222</t>
  </si>
  <si>
    <t>28869759</t>
  </si>
  <si>
    <t>ООО "ПАВЛОВОТЕПЛОЭНЕРГО"</t>
  </si>
  <si>
    <t>5252033370</t>
  </si>
  <si>
    <t>31023647</t>
  </si>
  <si>
    <t>ООО "ПАТРИОТ"</t>
  </si>
  <si>
    <t>2457062546</t>
  </si>
  <si>
    <t>27-09-2006 00:00:00</t>
  </si>
  <si>
    <t>31684742</t>
  </si>
  <si>
    <t>ООО "ПРОМТЕХ"</t>
  </si>
  <si>
    <t>5243040815</t>
  </si>
  <si>
    <t>31728851</t>
  </si>
  <si>
    <t>ООО "ПРОМЭЛ-СВЯЗЬ"</t>
  </si>
  <si>
    <t>5258035046</t>
  </si>
  <si>
    <t>31394997</t>
  </si>
  <si>
    <t>ООО "ПРОМЭНЕРГО ЛУКИНО"</t>
  </si>
  <si>
    <t>5244032285</t>
  </si>
  <si>
    <t>31461541</t>
  </si>
  <si>
    <t>ООО "ПРОФСТРОЙПРОЕКТ НН"</t>
  </si>
  <si>
    <t>5245012980</t>
  </si>
  <si>
    <t>27774371</t>
  </si>
  <si>
    <t>ООО "Парус"</t>
  </si>
  <si>
    <t>5246038740</t>
  </si>
  <si>
    <t>26-01-2024 00:00:00</t>
  </si>
  <si>
    <t>28951517</t>
  </si>
  <si>
    <t>ООО "Поволжье - Ресурс"</t>
  </si>
  <si>
    <t>5209005539</t>
  </si>
  <si>
    <t>26551997</t>
  </si>
  <si>
    <t>ООО "Политерм"</t>
  </si>
  <si>
    <t>5236006235</t>
  </si>
  <si>
    <t>06-03-2024 00:00:00</t>
  </si>
  <si>
    <t>27719695</t>
  </si>
  <si>
    <t>ООО "ПримаЭнерго"</t>
  </si>
  <si>
    <t>5259069383</t>
  </si>
  <si>
    <t>28455277</t>
  </si>
  <si>
    <t>ООО "Промтепло"</t>
  </si>
  <si>
    <t>5251009826</t>
  </si>
  <si>
    <t>26651300</t>
  </si>
  <si>
    <t>ООО "ПрофТепло"</t>
  </si>
  <si>
    <t>5202007216</t>
  </si>
  <si>
    <t>520201001</t>
  </si>
  <si>
    <t>26766778</t>
  </si>
  <si>
    <t>ООО "Профит Инвест"</t>
  </si>
  <si>
    <t>4101103970</t>
  </si>
  <si>
    <t>526043001</t>
  </si>
  <si>
    <t>28425154</t>
  </si>
  <si>
    <t>ООО "Профит"</t>
  </si>
  <si>
    <t>5262287335</t>
  </si>
  <si>
    <t>770301001</t>
  </si>
  <si>
    <t>26829810</t>
  </si>
  <si>
    <t>ООО "РАСКО-Энергосервис"</t>
  </si>
  <si>
    <t>5259033115</t>
  </si>
  <si>
    <t>30953148</t>
  </si>
  <si>
    <t>ООО "РЕМОНТНИК"</t>
  </si>
  <si>
    <t>5222071530</t>
  </si>
  <si>
    <t>31193125</t>
  </si>
  <si>
    <t>ООО "РИКОР ЭНЕРГО"</t>
  </si>
  <si>
    <t>5243036135</t>
  </si>
  <si>
    <t>524303613</t>
  </si>
  <si>
    <t>31401059</t>
  </si>
  <si>
    <t>ООО "РУАН"</t>
  </si>
  <si>
    <t>5263138167</t>
  </si>
  <si>
    <t>30884490</t>
  </si>
  <si>
    <t>ООО "РУССКИЙ СТАНДАРТ"</t>
  </si>
  <si>
    <t>5260403297</t>
  </si>
  <si>
    <t>12-01-2015 00:00:00</t>
  </si>
  <si>
    <t>26650748</t>
  </si>
  <si>
    <t>ООО "РегионРесурс"</t>
  </si>
  <si>
    <t>5252023559</t>
  </si>
  <si>
    <t>26654120</t>
  </si>
  <si>
    <t>ООО "Ресурс"</t>
  </si>
  <si>
    <t>5225005769</t>
  </si>
  <si>
    <t>31624417</t>
  </si>
  <si>
    <t>ООО "СЕВЕРНЫЕ КОММУНАЛЬНЫЕ СЕТИ"</t>
  </si>
  <si>
    <t>5235007589</t>
  </si>
  <si>
    <t>31241397</t>
  </si>
  <si>
    <t>ООО "СК МАДИС"</t>
  </si>
  <si>
    <t>5047160143</t>
  </si>
  <si>
    <t>26358404</t>
  </si>
  <si>
    <t>ООО "СК-НН"</t>
  </si>
  <si>
    <t>5257057777</t>
  </si>
  <si>
    <t>31222003</t>
  </si>
  <si>
    <t>ООО "СПЕЦИАЛИЗИРОВАННЫЙ ЗАСТРОЙЩИК "СПЕКТР"</t>
  </si>
  <si>
    <t>7716643855</t>
  </si>
  <si>
    <t>26640583</t>
  </si>
  <si>
    <t>ООО "СТН-Энергосети"</t>
  </si>
  <si>
    <t>5260283448</t>
  </si>
  <si>
    <t>31023655</t>
  </si>
  <si>
    <t>ООО "СТРОИТЕЛЬНО - ЭКСПЛУАТАЦИОННОЕ УПРАВЛЕНИЕ "ФУНДАМЕНТСТРОЙ - 6"</t>
  </si>
  <si>
    <t>7712103714</t>
  </si>
  <si>
    <t>774301001</t>
  </si>
  <si>
    <t>22-01-1999 00:00:00</t>
  </si>
  <si>
    <t>26551208</t>
  </si>
  <si>
    <t>ООО "Санаторий "Городецкий"</t>
  </si>
  <si>
    <t>5248013357</t>
  </si>
  <si>
    <t>13-10-1999 00:00:00</t>
  </si>
  <si>
    <t>26358443</t>
  </si>
  <si>
    <t>ООО "Санаторий "Зеленый город"</t>
  </si>
  <si>
    <t>5260082406</t>
  </si>
  <si>
    <t>26358429</t>
  </si>
  <si>
    <t>ООО "Санаторий им. ВЦСПС"</t>
  </si>
  <si>
    <t>5260082300</t>
  </si>
  <si>
    <t>27572131</t>
  </si>
  <si>
    <t>ООО "Сетка-Энерго"</t>
  </si>
  <si>
    <t>5249021833</t>
  </si>
  <si>
    <t>26555552</t>
  </si>
  <si>
    <t>ООО "Старт-Строй"</t>
  </si>
  <si>
    <t>5262059353</t>
  </si>
  <si>
    <t>27322384</t>
  </si>
  <si>
    <t>ООО "Сухобезводнинское ЖКХ"</t>
  </si>
  <si>
    <t>5228056070</t>
  </si>
  <si>
    <t>27580815</t>
  </si>
  <si>
    <t>ООО "Сява ЖКУ"</t>
  </si>
  <si>
    <t>5239010053</t>
  </si>
  <si>
    <t>31166873</t>
  </si>
  <si>
    <t>ООО "ТГС"</t>
  </si>
  <si>
    <t>5262351051</t>
  </si>
  <si>
    <t>31196714</t>
  </si>
  <si>
    <t>ООО "ТЕПЛО ПЛЮС"</t>
  </si>
  <si>
    <t>5261113456</t>
  </si>
  <si>
    <t>31753882</t>
  </si>
  <si>
    <t>ООО "ТЕПЛОДАР"</t>
  </si>
  <si>
    <t>5248046627</t>
  </si>
  <si>
    <t>31345881</t>
  </si>
  <si>
    <t>ООО "ТЕПЛОСЕТЬ"</t>
  </si>
  <si>
    <t>5258145472</t>
  </si>
  <si>
    <t>31386831</t>
  </si>
  <si>
    <t>ООО "ТЕПЛОСТРОЙ"</t>
  </si>
  <si>
    <t>5260386637</t>
  </si>
  <si>
    <t>31614648</t>
  </si>
  <si>
    <t>ООО "ТЕХНОЛОГИКА"</t>
  </si>
  <si>
    <t>5249172857</t>
  </si>
  <si>
    <t>30376603</t>
  </si>
  <si>
    <t>ООО "ТК "Ждановский"</t>
  </si>
  <si>
    <t>5250047473</t>
  </si>
  <si>
    <t>31341452</t>
  </si>
  <si>
    <t>ООО "ТОО 17"</t>
  </si>
  <si>
    <t>5244031891</t>
  </si>
  <si>
    <t>30989316</t>
  </si>
  <si>
    <t>ООО "ТОПЛИВНАЯ КОМПАНИЯ"</t>
  </si>
  <si>
    <t>5252041075</t>
  </si>
  <si>
    <t>30926564</t>
  </si>
  <si>
    <t>ООО "ТЭ"</t>
  </si>
  <si>
    <t>5245028154</t>
  </si>
  <si>
    <t>28424890</t>
  </si>
  <si>
    <t>ООО "ТЭК"</t>
  </si>
  <si>
    <t>5262291250</t>
  </si>
  <si>
    <t>27784821</t>
  </si>
  <si>
    <t>ООО "Тепло"</t>
  </si>
  <si>
    <t>5239010078</t>
  </si>
  <si>
    <t>28460888</t>
  </si>
  <si>
    <t>ООО "Тепловик"</t>
  </si>
  <si>
    <t>5246043606</t>
  </si>
  <si>
    <t>26358085</t>
  </si>
  <si>
    <t>ООО "Тепловые сети Арзамасского района"</t>
  </si>
  <si>
    <t>5202010410</t>
  </si>
  <si>
    <t>26760360</t>
  </si>
  <si>
    <t>ООО "Тепловые сети"</t>
  </si>
  <si>
    <t>5201030205</t>
  </si>
  <si>
    <t>27967327</t>
  </si>
  <si>
    <t>ООО "Теплосети"</t>
  </si>
  <si>
    <t>5256112714</t>
  </si>
  <si>
    <t>27965855</t>
  </si>
  <si>
    <t>ООО "Теплоцентраль"</t>
  </si>
  <si>
    <t>5212510387</t>
  </si>
  <si>
    <t>26811759</t>
  </si>
  <si>
    <t>ООО "Термаль"</t>
  </si>
  <si>
    <t>5250050892</t>
  </si>
  <si>
    <t>30802627</t>
  </si>
  <si>
    <t>ООО "ТермоТрон"</t>
  </si>
  <si>
    <t>5024159342</t>
  </si>
  <si>
    <t>502401001</t>
  </si>
  <si>
    <t>02-11-2015 00:00:00</t>
  </si>
  <si>
    <t>26358312</t>
  </si>
  <si>
    <t>ООО "Техноэнергосервис"</t>
  </si>
  <si>
    <t>5246022243</t>
  </si>
  <si>
    <t>26555334</t>
  </si>
  <si>
    <t>ООО "Тосол-Синтез-Энерго"</t>
  </si>
  <si>
    <t>5249091260</t>
  </si>
  <si>
    <t>31520267</t>
  </si>
  <si>
    <t>ООО "УК ТЭСК"</t>
  </si>
  <si>
    <t>7730254681</t>
  </si>
  <si>
    <t>773001001</t>
  </si>
  <si>
    <t>28942302</t>
  </si>
  <si>
    <t>ООО "УПРАВЛЯЮЩАЯ КОМПАНИЯ"</t>
  </si>
  <si>
    <t>5214010816</t>
  </si>
  <si>
    <t>21-06-2024 00:00:00</t>
  </si>
  <si>
    <t>26358251</t>
  </si>
  <si>
    <t>ООО "Уренская швейная фабрика"</t>
  </si>
  <si>
    <t>5235004820</t>
  </si>
  <si>
    <t>31615793</t>
  </si>
  <si>
    <t>ООО "ФЕНИКС"</t>
  </si>
  <si>
    <t>5244029349</t>
  </si>
  <si>
    <t>26951224</t>
  </si>
  <si>
    <t>ООО "ФИТОФАРМ-НН"</t>
  </si>
  <si>
    <t>5261035060</t>
  </si>
  <si>
    <t>27632973</t>
  </si>
  <si>
    <t>ООО "ФСК "Энерго Строй"</t>
  </si>
  <si>
    <t>5257055240</t>
  </si>
  <si>
    <t>26358445</t>
  </si>
  <si>
    <t>ООО "ЦТО "Меркурий"</t>
  </si>
  <si>
    <t>5260096462</t>
  </si>
  <si>
    <t>28045871</t>
  </si>
  <si>
    <t>ООО "Чкаловская теплоснабжающая компания"</t>
  </si>
  <si>
    <t>5263091617</t>
  </si>
  <si>
    <t>26820229</t>
  </si>
  <si>
    <t>ООО "ШВиК"</t>
  </si>
  <si>
    <t>5263080735</t>
  </si>
  <si>
    <t>26358262</t>
  </si>
  <si>
    <t>ООО "Шатковский завод нормалей"</t>
  </si>
  <si>
    <t>5238004755</t>
  </si>
  <si>
    <t>30437014</t>
  </si>
  <si>
    <t>ООО "ЭКОТЕПЛОСЕРВИС-КСТОВО"</t>
  </si>
  <si>
    <t>5260393708</t>
  </si>
  <si>
    <t>30869191</t>
  </si>
  <si>
    <t>ООО "ЭЛЕКТРОМАШ-РЕСУРС"</t>
  </si>
  <si>
    <t>5263121710</t>
  </si>
  <si>
    <t>03-03-2016 00:00:00</t>
  </si>
  <si>
    <t>30830889</t>
  </si>
  <si>
    <t>ООО "ЭЛКОСТ"</t>
  </si>
  <si>
    <t>5257141193</t>
  </si>
  <si>
    <t>30871726</t>
  </si>
  <si>
    <t>ООО "ЭНЕРГИЯ"</t>
  </si>
  <si>
    <t>5259125630</t>
  </si>
  <si>
    <t>18-08-2016 00:00:00</t>
  </si>
  <si>
    <t>30957617</t>
  </si>
  <si>
    <t>ООО "ЭНЕРДЖИПРО-НН"</t>
  </si>
  <si>
    <t>5260439649</t>
  </si>
  <si>
    <t>27599100</t>
  </si>
  <si>
    <t>ООО "ЭкоТеплоСервис-Семенов"</t>
  </si>
  <si>
    <t>5228055662</t>
  </si>
  <si>
    <t>28053587</t>
  </si>
  <si>
    <t>ООО "ЭкоТеплосервис-Шахунья"</t>
  </si>
  <si>
    <t>5239009837</t>
  </si>
  <si>
    <t>28139704</t>
  </si>
  <si>
    <t>ООО "Энергетика"</t>
  </si>
  <si>
    <t>5260342407</t>
  </si>
  <si>
    <t>26358453</t>
  </si>
  <si>
    <t>ООО "Энергия"</t>
  </si>
  <si>
    <t>5260171247</t>
  </si>
  <si>
    <t>26358455</t>
  </si>
  <si>
    <t>ООО "Энергосервис"</t>
  </si>
  <si>
    <t>5260178764</t>
  </si>
  <si>
    <t>27583800</t>
  </si>
  <si>
    <t>ООО "Энерготранс"</t>
  </si>
  <si>
    <t>5249107583</t>
  </si>
  <si>
    <t>30839410</t>
  </si>
  <si>
    <t>ООО "ЭнерджиПром-НН"</t>
  </si>
  <si>
    <t>5260386563</t>
  </si>
  <si>
    <t>23-05-2014 00:00:00</t>
  </si>
  <si>
    <t>31254089</t>
  </si>
  <si>
    <t>ООО «ПРОМЭНЕРГО»</t>
  </si>
  <si>
    <t>5245030019</t>
  </si>
  <si>
    <t>26358378</t>
  </si>
  <si>
    <t>ООО Агрофирма "Павловская"</t>
  </si>
  <si>
    <t>5252011169</t>
  </si>
  <si>
    <t>26951978</t>
  </si>
  <si>
    <t>ООО МУП "Прометей"</t>
  </si>
  <si>
    <t>5219382920</t>
  </si>
  <si>
    <t>26506413</t>
  </si>
  <si>
    <t>ООО НПО "Мехинструмент"</t>
  </si>
  <si>
    <t>5252024087</t>
  </si>
  <si>
    <t>31434085</t>
  </si>
  <si>
    <t>ООО НПФ "ХОЛДИНГ НН"</t>
  </si>
  <si>
    <t>5258113294</t>
  </si>
  <si>
    <t>28875534</t>
  </si>
  <si>
    <t>ООО ПКФ "ТЕПЛО"</t>
  </si>
  <si>
    <t>5251009953</t>
  </si>
  <si>
    <t>31061810</t>
  </si>
  <si>
    <t>ООО СЗ "КАПИТАЛ-МЕНЕДЖМЕНТ"</t>
  </si>
  <si>
    <t>5258135717</t>
  </si>
  <si>
    <t>30436416</t>
  </si>
  <si>
    <t>ООО СК "Холдинг НН"</t>
  </si>
  <si>
    <t>5258090470</t>
  </si>
  <si>
    <t>26358479</t>
  </si>
  <si>
    <t>ООО Торговое предприятие "Нижегородец"</t>
  </si>
  <si>
    <t>5254017367</t>
  </si>
  <si>
    <t>26358079</t>
  </si>
  <si>
    <t>ООО ФИРМА "МУХТОЛОВСКАЯ СПЕЦОДЕЖДА"</t>
  </si>
  <si>
    <t>5201000867</t>
  </si>
  <si>
    <t>26358428</t>
  </si>
  <si>
    <t>ООО ФИРМА "НИЖЕГОРОДСТРОЙ"</t>
  </si>
  <si>
    <t>5260007487</t>
  </si>
  <si>
    <t>05-11-2002 00:00:00</t>
  </si>
  <si>
    <t>28871081</t>
  </si>
  <si>
    <t>ООО строительная компания БЗДСМ</t>
  </si>
  <si>
    <t>5245012531</t>
  </si>
  <si>
    <t>26555523</t>
  </si>
  <si>
    <t>ООО фирма "Вика"</t>
  </si>
  <si>
    <t>5256001059</t>
  </si>
  <si>
    <t>31390562</t>
  </si>
  <si>
    <t>ООО"КС-ТВК"</t>
  </si>
  <si>
    <t>5244014078</t>
  </si>
  <si>
    <t>30359845</t>
  </si>
  <si>
    <t>ОП "Нижегородское" АО "Главное управление жилищно-коммунального хозяйства"</t>
  </si>
  <si>
    <t>526245001</t>
  </si>
  <si>
    <t>26358459</t>
  </si>
  <si>
    <t>ПАО "ЗИП"</t>
  </si>
  <si>
    <t>5260900066</t>
  </si>
  <si>
    <t>05-09-2006 00:00:00</t>
  </si>
  <si>
    <t>26322338</t>
  </si>
  <si>
    <t>ПАО "ЗМЗ"</t>
  </si>
  <si>
    <t>5248004137</t>
  </si>
  <si>
    <t>26322359</t>
  </si>
  <si>
    <t>ПАО "Завод "Красное Сормово"</t>
  </si>
  <si>
    <t>5263006629</t>
  </si>
  <si>
    <t>26358362</t>
  </si>
  <si>
    <t>ПАО "МИТРА"</t>
  </si>
  <si>
    <t>5252000456</t>
  </si>
  <si>
    <t>26358466</t>
  </si>
  <si>
    <t>ПАО "НИТЕЛ"</t>
  </si>
  <si>
    <t>5261001745</t>
  </si>
  <si>
    <t>29-10-1992 00:00:00</t>
  </si>
  <si>
    <t>31596848</t>
  </si>
  <si>
    <t>ПАО "ОАК"</t>
  </si>
  <si>
    <t>7708619320</t>
  </si>
  <si>
    <t>26380702</t>
  </si>
  <si>
    <t>ПАО "ПАВЛОВСКИЙ АВТОБУС"</t>
  </si>
  <si>
    <t>5252000350</t>
  </si>
  <si>
    <t>26358361</t>
  </si>
  <si>
    <t>ПАО "Павловский завод им.Кирова"</t>
  </si>
  <si>
    <t>5252000382</t>
  </si>
  <si>
    <t>26358358</t>
  </si>
  <si>
    <t>ПАО "РУСПОЛИМЕТ"</t>
  </si>
  <si>
    <t>5251008501</t>
  </si>
  <si>
    <t>26358101</t>
  </si>
  <si>
    <t>ПАО "ТРУД"</t>
  </si>
  <si>
    <t>5208000834</t>
  </si>
  <si>
    <t>27805620</t>
  </si>
  <si>
    <t>ПО "Техсервис"</t>
  </si>
  <si>
    <t>5219005665</t>
  </si>
  <si>
    <t>26358373</t>
  </si>
  <si>
    <t>Приход Вознесенской церкви г. Павлово</t>
  </si>
  <si>
    <t>5252007780</t>
  </si>
  <si>
    <t>31724888</t>
  </si>
  <si>
    <t>Прудовское МУП ЖКХ</t>
  </si>
  <si>
    <t>5228059000</t>
  </si>
  <si>
    <t>26358256</t>
  </si>
  <si>
    <t>Пуреховское МУП ЖКХ</t>
  </si>
  <si>
    <t>5236002880</t>
  </si>
  <si>
    <t>РЕГИОНАЛЬНАЯ СЛУЖБА ПО ТАРИФАМ НИЖЕГОРОДСКОЙ ОБЛАСТИ</t>
  </si>
  <si>
    <t>5260172603</t>
  </si>
  <si>
    <t>26358149</t>
  </si>
  <si>
    <t>СПК "Хохлома"</t>
  </si>
  <si>
    <t>5218000784</t>
  </si>
  <si>
    <t>26358126</t>
  </si>
  <si>
    <t>Сарлейское МУМППЖКХ</t>
  </si>
  <si>
    <t>5215000507</t>
  </si>
  <si>
    <t>24-03-2006 00:00:00</t>
  </si>
  <si>
    <t>27372109</t>
  </si>
  <si>
    <t>Суроватихинское МУМПЖКХ</t>
  </si>
  <si>
    <t>5215000722</t>
  </si>
  <si>
    <t>31612520</t>
  </si>
  <si>
    <t>УФСБ РОССИИ ПО НИЖЕГОРОДСКОЙ ОБЛАСТИ</t>
  </si>
  <si>
    <t>5260051260</t>
  </si>
  <si>
    <t>26358239</t>
  </si>
  <si>
    <t>Уренское РАЙПО</t>
  </si>
  <si>
    <t>5235000135</t>
  </si>
  <si>
    <t>26358433</t>
  </si>
  <si>
    <t>ФГБОУ ДПОС "Нижегородский региональный институт управления и экономики агропромышленного комплекса"</t>
  </si>
  <si>
    <t>5260057343</t>
  </si>
  <si>
    <t>31025414</t>
  </si>
  <si>
    <t>ФГБУ "ЦЖКУ" МИНОБОРОНЫ РОССИИ</t>
  </si>
  <si>
    <t>7729314745</t>
  </si>
  <si>
    <t>30903763</t>
  </si>
  <si>
    <t>26768505</t>
  </si>
  <si>
    <t>ФГУП "РФЯЦ-ВНИИЭФ"</t>
  </si>
  <si>
    <t>5254001230</t>
  </si>
  <si>
    <t>26555503</t>
  </si>
  <si>
    <t>ФГУП "Российская телевизионная и радиовещательная сеть"</t>
  </si>
  <si>
    <t>7717127211</t>
  </si>
  <si>
    <t>526202001</t>
  </si>
  <si>
    <t>26322363</t>
  </si>
  <si>
    <t>ФКП "Завод имени Я.М. Свердлова"</t>
  </si>
  <si>
    <t>5249002485</t>
  </si>
  <si>
    <t>30875411</t>
  </si>
  <si>
    <t>ФКУ ИК-1 ГУФСИН РОССИИ ПО НИЖЕГОРОДСКОЙ ОБЛАСТИ</t>
  </si>
  <si>
    <t>5228007186</t>
  </si>
  <si>
    <t>11-03-2011 00:00:00</t>
  </si>
  <si>
    <t>30872359</t>
  </si>
  <si>
    <t>ФКУ ИК-17 ГУФСИН РОССИИ ПО НИЖЕГОРОДСКОЙ ОБЛАСТИ</t>
  </si>
  <si>
    <t>5219004157</t>
  </si>
  <si>
    <t>24-06-2015 00:00:00</t>
  </si>
  <si>
    <t>30912070</t>
  </si>
  <si>
    <t>ФКУ ИК-20 ГУФСИН РОССИИ ПО НИЖЕГОРОДСКОЙ ОБЛАСТИ</t>
  </si>
  <si>
    <t>5221003841</t>
  </si>
  <si>
    <t>30870050</t>
  </si>
  <si>
    <t>ФКУ ИК-4 ГУФСИН РОССИИ ПО НИЖЕГОРОДСКОЙ ОБЛАСТИ</t>
  </si>
  <si>
    <t>5234002482</t>
  </si>
  <si>
    <t>30884483</t>
  </si>
  <si>
    <t>ФКУ ИК-6 ГУФСИН РОССИИ ПО НИЖЕГОРОДСКОЙ ОБЛАСТИ</t>
  </si>
  <si>
    <t>5207002300</t>
  </si>
  <si>
    <t>27577557</t>
  </si>
  <si>
    <t>ФКУ ИК-7 ГУФСИН РОССИИ ПО НИЖЕГОРОДСКОЙ ОБЛАСТИ</t>
  </si>
  <si>
    <t>5207002317</t>
  </si>
  <si>
    <t>27967274</t>
  </si>
  <si>
    <t>ФКУ КП-15 ГУФСИН России по Нижегородской области</t>
  </si>
  <si>
    <t>5206002113</t>
  </si>
  <si>
    <t>26358151</t>
  </si>
  <si>
    <t>ФКУ ЛИУ-3 ГУФСИН РОССИИ ПО НИЖЕГОРОДСКОЙ ОБЛАСТИ</t>
  </si>
  <si>
    <t>5219004125</t>
  </si>
  <si>
    <t>21-03-2011 00:00:00</t>
  </si>
  <si>
    <t>26358372</t>
  </si>
  <si>
    <t>ФКУЗ "САНАТОРИЙ "ГОРБАТОВ" МВД РОССИИ"</t>
  </si>
  <si>
    <t>5252007589</t>
  </si>
  <si>
    <t>28942868</t>
  </si>
  <si>
    <t>Филиал "Нижегородский" ПАО "Т ПЛЮС"</t>
  </si>
  <si>
    <t>6315376946</t>
  </si>
  <si>
    <t>27135237</t>
  </si>
  <si>
    <t>Филиал ОАО "РЭУ" "Курский"</t>
  </si>
  <si>
    <t>7714783092</t>
  </si>
  <si>
    <t>463243001</t>
  </si>
  <si>
    <t>26358441</t>
  </si>
  <si>
    <t>Филиал ООО "Газпром трансгаз Нижний Новгород" - "Инженерно-технический центр"</t>
  </si>
  <si>
    <t>526102005</t>
  </si>
  <si>
    <t>26358439</t>
  </si>
  <si>
    <t>Филиал ООО "Газпром трансгаз Нижний Новгород" - Семеновское ЛПУ МГ</t>
  </si>
  <si>
    <t>522802001</t>
  </si>
  <si>
    <t>26506400</t>
  </si>
  <si>
    <t>Филиал ПАО "Россети Центр и Приволжье" - "Нижновэнерго"</t>
  </si>
  <si>
    <t>5260200603</t>
  </si>
  <si>
    <t>526002001</t>
  </si>
  <si>
    <t>31499541</t>
  </si>
  <si>
    <t>Филиал ФГУП "РФЯЦ - ВНИИЭФ" "Научно-исследовательский институт измерительных систем им. Ю.Е. Седакова"</t>
  </si>
  <si>
    <t>526143001</t>
  </si>
  <si>
    <t>28053921</t>
  </si>
  <si>
    <t>филиал ОАО "Газпром трансгаз Нижний Новгород - Управление аварийно-восстановительных работ"</t>
  </si>
  <si>
    <t>526202002</t>
  </si>
  <si>
    <t>27569496</t>
  </si>
  <si>
    <t>АО "БЭТ"</t>
  </si>
  <si>
    <t>7708669867</t>
  </si>
  <si>
    <t>770801001</t>
  </si>
  <si>
    <t>26373603</t>
  </si>
  <si>
    <t>АО "Борский водоканал"</t>
  </si>
  <si>
    <t>5246035757</t>
  </si>
  <si>
    <t>31342493</t>
  </si>
  <si>
    <t>АО "ВЫКСУНСКИЙ ВОДОКАНАЛ"</t>
  </si>
  <si>
    <t>5247055210</t>
  </si>
  <si>
    <t>26560525</t>
  </si>
  <si>
    <t>511601001</t>
  </si>
  <si>
    <t>13-05-2009 00:00:00</t>
  </si>
  <si>
    <t>26373632</t>
  </si>
  <si>
    <t>АО "ДВК"</t>
  </si>
  <si>
    <t>5260154749</t>
  </si>
  <si>
    <t>26646756</t>
  </si>
  <si>
    <t>АО "Зефс Услуги"</t>
  </si>
  <si>
    <t>5258050742</t>
  </si>
  <si>
    <t>31401052</t>
  </si>
  <si>
    <t>АО "ИНТРАСТ НН"</t>
  </si>
  <si>
    <t>5259049940</t>
  </si>
  <si>
    <t>26373662</t>
  </si>
  <si>
    <t>АО "НИЖЕГОРОДСКИЙ ВОДОКАНАЛ"</t>
  </si>
  <si>
    <t>5257086827</t>
  </si>
  <si>
    <t>26358290</t>
  </si>
  <si>
    <t>АО "НПО "ПРЗ"</t>
  </si>
  <si>
    <t>5244012779</t>
  </si>
  <si>
    <t>27579751</t>
  </si>
  <si>
    <t>АО "НПП "Исток" им. Шокина"</t>
  </si>
  <si>
    <t>5050108496</t>
  </si>
  <si>
    <t>520243001</t>
  </si>
  <si>
    <t>07-02-1992 00:00:00</t>
  </si>
  <si>
    <t>26358461</t>
  </si>
  <si>
    <t>АО "ТРАНСНЕФТЬ-ВЕРХНЯЯ ВОЛГА"</t>
  </si>
  <si>
    <t>31656238</t>
  </si>
  <si>
    <t>АО "УМР-10"</t>
  </si>
  <si>
    <t>5247003902</t>
  </si>
  <si>
    <t>26816822</t>
  </si>
  <si>
    <t>АО "Эй Джи Си БСЗ"</t>
  </si>
  <si>
    <t>5246002261</t>
  </si>
  <si>
    <t>26754787</t>
  </si>
  <si>
    <t>АО ПТИЦЕФАБРИКА "ВОРСМЕНСКАЯ"</t>
  </si>
  <si>
    <t>5252000689</t>
  </si>
  <si>
    <t>525201000</t>
  </si>
  <si>
    <t>27635647</t>
  </si>
  <si>
    <t>АУ "Водоканал"</t>
  </si>
  <si>
    <t>5221005856</t>
  </si>
  <si>
    <t>26373555</t>
  </si>
  <si>
    <t>Беловское МУП ЖКХ</t>
  </si>
  <si>
    <t>5236002745</t>
  </si>
  <si>
    <t>26646780</t>
  </si>
  <si>
    <t>ЗАО "Завод "Красная Этна"</t>
  </si>
  <si>
    <t>5258000029</t>
  </si>
  <si>
    <t>31332830</t>
  </si>
  <si>
    <t>КУЖУТСКОЕ МУМППЖКХ</t>
  </si>
  <si>
    <t>5215003498</t>
  </si>
  <si>
    <t>27-05-2024 00:00:00</t>
  </si>
  <si>
    <t>26358258</t>
  </si>
  <si>
    <t>Катунское МУП ЖКХ</t>
  </si>
  <si>
    <t>5236004975</t>
  </si>
  <si>
    <t>27577808</t>
  </si>
  <si>
    <t>МКП "Веткомхоз"</t>
  </si>
  <si>
    <t>5213005115</t>
  </si>
  <si>
    <t>28005236</t>
  </si>
  <si>
    <t>МКП "Исток"</t>
  </si>
  <si>
    <t>5213005122</t>
  </si>
  <si>
    <t>27577824</t>
  </si>
  <si>
    <t>МКП "Покровский водоканал"</t>
  </si>
  <si>
    <t>5213005108</t>
  </si>
  <si>
    <t>27574144</t>
  </si>
  <si>
    <t>МКП "Родник"</t>
  </si>
  <si>
    <t>5213005066</t>
  </si>
  <si>
    <t>26951753</t>
  </si>
  <si>
    <t>МКП "Ручеек"</t>
  </si>
  <si>
    <t>5213005098</t>
  </si>
  <si>
    <t>26373534</t>
  </si>
  <si>
    <t>МП "Водоканал"</t>
  </si>
  <si>
    <t>5229007453</t>
  </si>
  <si>
    <t>04-05-2007 00:00:00</t>
  </si>
  <si>
    <t>26373588</t>
  </si>
  <si>
    <t>5240003928</t>
  </si>
  <si>
    <t>26373443</t>
  </si>
  <si>
    <t>МП "ДИВЕЕВСКОЕ ЖКХ"</t>
  </si>
  <si>
    <t>5216017133</t>
  </si>
  <si>
    <t>31020386</t>
  </si>
  <si>
    <t>МП КРАСНООКТЯБРЬСКОГО МО НО "КОММУНАЛЬНАЯ СЛУЖБА"</t>
  </si>
  <si>
    <t>5220007353</t>
  </si>
  <si>
    <t>522001001</t>
  </si>
  <si>
    <t>16-11-2016 00:00:00</t>
  </si>
  <si>
    <t>26373565</t>
  </si>
  <si>
    <t>МУП "Архангельское ЖКХ"</t>
  </si>
  <si>
    <t>5238005879</t>
  </si>
  <si>
    <t>31509622</t>
  </si>
  <si>
    <t>МУП "БУТУРЛИНСКИЙ ВОДОКАНАЛ"</t>
  </si>
  <si>
    <t>5229014556</t>
  </si>
  <si>
    <t>26555458</t>
  </si>
  <si>
    <t>МУП "ВОДОКАНАЛ"</t>
  </si>
  <si>
    <t>5252021897</t>
  </si>
  <si>
    <t>31449879</t>
  </si>
  <si>
    <t>МУП "ВОДОКАНАЛ" АРЗАМАССКОГО МУНИЦИПАЛЬНОГО РАЙОНА НИЖЕГОРОДСКОЙ ОБЛАСТИ</t>
  </si>
  <si>
    <t>5202013643</t>
  </si>
  <si>
    <t>31089905</t>
  </si>
  <si>
    <t>МУП "ВОДОСНАБЖЕНИЕ"</t>
  </si>
  <si>
    <t>5207016750</t>
  </si>
  <si>
    <t>28-04-2018 00:00:00</t>
  </si>
  <si>
    <t>31382274</t>
  </si>
  <si>
    <t>МУП "ВОСХОД-ЖКХ"</t>
  </si>
  <si>
    <t>5201001934</t>
  </si>
  <si>
    <t>31559074</t>
  </si>
  <si>
    <t>МУП "Ветлугаводоканал"</t>
  </si>
  <si>
    <t>5235008470</t>
  </si>
  <si>
    <t>26373633</t>
  </si>
  <si>
    <t>5250021348</t>
  </si>
  <si>
    <t>26373571</t>
  </si>
  <si>
    <t>МУП "Восход"</t>
  </si>
  <si>
    <t>5238005808</t>
  </si>
  <si>
    <t>29645609</t>
  </si>
  <si>
    <t>МУП "Гидроторф - Водоканал" МО "р.п. Гидроторф"</t>
  </si>
  <si>
    <t>5244027743</t>
  </si>
  <si>
    <t>03-04-2014 00:00:00</t>
  </si>
  <si>
    <t>26373661</t>
  </si>
  <si>
    <t>МУП "Горводоканал"</t>
  </si>
  <si>
    <t>5254005971</t>
  </si>
  <si>
    <t>28447754</t>
  </si>
  <si>
    <t>МУП "Городской Водоканал"</t>
  </si>
  <si>
    <t>5250058789</t>
  </si>
  <si>
    <t>27371762</t>
  </si>
  <si>
    <t>МУП "Городской жилфонд"</t>
  </si>
  <si>
    <t>5226013748</t>
  </si>
  <si>
    <t>27571987</t>
  </si>
  <si>
    <t>МУП "Зубилихинское ЖКХ"</t>
  </si>
  <si>
    <t>5219382991</t>
  </si>
  <si>
    <t>31269985</t>
  </si>
  <si>
    <t>МУП "КОММУНСЕРВИС"</t>
  </si>
  <si>
    <t>5237003886</t>
  </si>
  <si>
    <t>26373446</t>
  </si>
  <si>
    <t>МУП "Княгининское ЖКХ"</t>
  </si>
  <si>
    <t>5217000037</t>
  </si>
  <si>
    <t>26373584</t>
  </si>
  <si>
    <t>МУП "Ком-сервис"</t>
  </si>
  <si>
    <t>5238005815</t>
  </si>
  <si>
    <t>27-06-2024 00:00:00</t>
  </si>
  <si>
    <t>31434482</t>
  </si>
  <si>
    <t>МУП "ЛУКОЯНОВВОДОКАНАЛ" ЛУКОЯНОВСКОГО МУНИЦИПАЛЬНОГО ОКРУГА</t>
  </si>
  <si>
    <t>5221007331</t>
  </si>
  <si>
    <t>30959246</t>
  </si>
  <si>
    <t>МУП "ЛУКОЯНОВСКИЙ ВОДОКАНАЛ"</t>
  </si>
  <si>
    <t>5221006970</t>
  </si>
  <si>
    <t>26358266</t>
  </si>
  <si>
    <t>МУП "ПРАКТИК"</t>
  </si>
  <si>
    <t>5238005533</t>
  </si>
  <si>
    <t>26373647</t>
  </si>
  <si>
    <t>МУП "Райводоканал"</t>
  </si>
  <si>
    <t>5251007667</t>
  </si>
  <si>
    <t>16-11-2001 00:00:00</t>
  </si>
  <si>
    <t>26358268</t>
  </si>
  <si>
    <t>МУП "Смирновец"</t>
  </si>
  <si>
    <t>5238005558</t>
  </si>
  <si>
    <t>26373596</t>
  </si>
  <si>
    <t>МУП "УВКХ"</t>
  </si>
  <si>
    <t>5245013020</t>
  </si>
  <si>
    <t>27571980</t>
  </si>
  <si>
    <t>МУП "Чащихинское ЖКХ"</t>
  </si>
  <si>
    <t>5219382984</t>
  </si>
  <si>
    <t>14-04-2011 00:00:00</t>
  </si>
  <si>
    <t>27571975</t>
  </si>
  <si>
    <t>МУП "Шеманихинское ЖКХ"</t>
  </si>
  <si>
    <t>5219383106</t>
  </si>
  <si>
    <t>31082135</t>
  </si>
  <si>
    <t>МУП "ЮГАНЕЦКОЕ"</t>
  </si>
  <si>
    <t>5214011834</t>
  </si>
  <si>
    <t>26373600</t>
  </si>
  <si>
    <t>МУП п. Буревестник</t>
  </si>
  <si>
    <t>5245012411</t>
  </si>
  <si>
    <t>31490079</t>
  </si>
  <si>
    <t>МУП"БУТУРЛИНОПАССАЖИРАВТОТРАНС"</t>
  </si>
  <si>
    <t>5205004615</t>
  </si>
  <si>
    <t>27367624</t>
  </si>
  <si>
    <t>ОАО "Агрофирма "Птицефабрика Сеймовская"</t>
  </si>
  <si>
    <t>5214002050</t>
  </si>
  <si>
    <t>26650758</t>
  </si>
  <si>
    <t>ОАО "Плодопитомник"</t>
  </si>
  <si>
    <t>5222002248</t>
  </si>
  <si>
    <t>26808463</t>
  </si>
  <si>
    <t>ОАО "Синтез"</t>
  </si>
  <si>
    <t>5249003520</t>
  </si>
  <si>
    <t>26373589</t>
  </si>
  <si>
    <t>ООО "АРЗАМАССКИЙ ВОДОКАНАЛ"</t>
  </si>
  <si>
    <t>5243027892</t>
  </si>
  <si>
    <t>24-02-2010 00:00:00</t>
  </si>
  <si>
    <t>26758117</t>
  </si>
  <si>
    <t>ООО "АкваКом"</t>
  </si>
  <si>
    <t>5228056218</t>
  </si>
  <si>
    <t>26373394</t>
  </si>
  <si>
    <t>ООО "Бутурлинский водоканал"</t>
  </si>
  <si>
    <t>5205004809</t>
  </si>
  <si>
    <t>28001435</t>
  </si>
  <si>
    <t>ООО "ВИКОМ"</t>
  </si>
  <si>
    <t>5210000334</t>
  </si>
  <si>
    <t>30836585</t>
  </si>
  <si>
    <t>ООО "ВОД-СТРОЙ"</t>
  </si>
  <si>
    <t>5221003383</t>
  </si>
  <si>
    <t>31457245</t>
  </si>
  <si>
    <t>ООО "ВЫБОР СТРОЙ НН"</t>
  </si>
  <si>
    <t>5245025241</t>
  </si>
  <si>
    <t>30382101</t>
  </si>
  <si>
    <t>ООО "ВетлугаСервис"</t>
  </si>
  <si>
    <t>5209003147</t>
  </si>
  <si>
    <t>26555487</t>
  </si>
  <si>
    <t>ООО "ВоСток-ДК"</t>
  </si>
  <si>
    <t>5215001638</t>
  </si>
  <si>
    <t>26373608</t>
  </si>
  <si>
    <t>5247003099</t>
  </si>
  <si>
    <t>28857372</t>
  </si>
  <si>
    <t>ООО "Волга-УК "ЖКХ"</t>
  </si>
  <si>
    <t>5244023957</t>
  </si>
  <si>
    <t>31448393</t>
  </si>
  <si>
    <t>ООО "ДВК ИЛЬИНОГОРСКИЙ"</t>
  </si>
  <si>
    <t>7203492777</t>
  </si>
  <si>
    <t>720301001</t>
  </si>
  <si>
    <t>26373659</t>
  </si>
  <si>
    <t>ООО "ЖКХ Ярымово"</t>
  </si>
  <si>
    <t>5252022562</t>
  </si>
  <si>
    <t>31205498</t>
  </si>
  <si>
    <t>ООО "ЗАГОРОДНАЯ СЕРВИСНАЯ СЛУЖБА"</t>
  </si>
  <si>
    <t>5245018396</t>
  </si>
  <si>
    <t>31214020</t>
  </si>
  <si>
    <t>ООО "ИВК"</t>
  </si>
  <si>
    <t>5249157665</t>
  </si>
  <si>
    <t>31434354</t>
  </si>
  <si>
    <t>ООО "ИНЖЕНЕРНЫЕ СЕТИ-ОРГСТЕКЛО"</t>
  </si>
  <si>
    <t>5249171412</t>
  </si>
  <si>
    <t>31462269</t>
  </si>
  <si>
    <t>ООО "ИНКОМ-ЭНЕРГО"</t>
  </si>
  <si>
    <t>5263141508</t>
  </si>
  <si>
    <t>26555680</t>
  </si>
  <si>
    <t>ООО "КОМСЕРВИС-В"</t>
  </si>
  <si>
    <t>5208004853</t>
  </si>
  <si>
    <t>27634860</t>
  </si>
  <si>
    <t>5260262462</t>
  </si>
  <si>
    <t>27886941</t>
  </si>
  <si>
    <t>ООО "Кузьмиярское"</t>
  </si>
  <si>
    <t>5211759413</t>
  </si>
  <si>
    <t>26795557</t>
  </si>
  <si>
    <t>ООО "Локал-Клининг"</t>
  </si>
  <si>
    <t>5248023556</t>
  </si>
  <si>
    <t>31044539</t>
  </si>
  <si>
    <t>ООО "Механика"</t>
  </si>
  <si>
    <t>5249152071</t>
  </si>
  <si>
    <t>03-05-2024 00:00:00</t>
  </si>
  <si>
    <t>31329641</t>
  </si>
  <si>
    <t>ООО "НЦПО"</t>
  </si>
  <si>
    <t>5250068561</t>
  </si>
  <si>
    <t>31322304</t>
  </si>
  <si>
    <t>ООО "Нижегородские технологии водопользования"</t>
  </si>
  <si>
    <t>5262360049</t>
  </si>
  <si>
    <t>26358215</t>
  </si>
  <si>
    <t>ООО "Пожарки"</t>
  </si>
  <si>
    <t>5229007238</t>
  </si>
  <si>
    <t>03-10-2006 00:00:00</t>
  </si>
  <si>
    <t>26754771</t>
  </si>
  <si>
    <t>ООО "Птицефабрика "Павловская"</t>
  </si>
  <si>
    <t>5252025796</t>
  </si>
  <si>
    <t>31187885</t>
  </si>
  <si>
    <t>ООО "РАЙВОДОКАНАЛ"</t>
  </si>
  <si>
    <t>5243037996</t>
  </si>
  <si>
    <t>28859728</t>
  </si>
  <si>
    <t>ООО "РАЙВОДОКАНАЛСЕРВИС"</t>
  </si>
  <si>
    <t>5202012350</t>
  </si>
  <si>
    <t>28985128</t>
  </si>
  <si>
    <t>ООО "РВК"</t>
  </si>
  <si>
    <t>5249135284</t>
  </si>
  <si>
    <t>01-09-2014 00:00:00</t>
  </si>
  <si>
    <t>30949304</t>
  </si>
  <si>
    <t>ООО "РДУ"</t>
  </si>
  <si>
    <t>5249122133</t>
  </si>
  <si>
    <t>26570488</t>
  </si>
  <si>
    <t>ООО "Райводоканал"</t>
  </si>
  <si>
    <t>5201030090</t>
  </si>
  <si>
    <t>12-01-2009 00:00:00</t>
  </si>
  <si>
    <t>26759066</t>
  </si>
  <si>
    <t>ООО "Сосновскдорремстрой"</t>
  </si>
  <si>
    <t>5231003248</t>
  </si>
  <si>
    <t>31560142</t>
  </si>
  <si>
    <t>ООО "ТРАНЗИТ РВ"</t>
  </si>
  <si>
    <t>5249175449</t>
  </si>
  <si>
    <t>31354953</t>
  </si>
  <si>
    <t>ООО "УК "КОМИНТЕРН"</t>
  </si>
  <si>
    <t>5214013704</t>
  </si>
  <si>
    <t>31249802</t>
  </si>
  <si>
    <t>ООО "УК ВОДНИК"</t>
  </si>
  <si>
    <t>5227002227</t>
  </si>
  <si>
    <t>26555443</t>
  </si>
  <si>
    <t>ООО "Уренское ЖКХ"</t>
  </si>
  <si>
    <t>5235006592</t>
  </si>
  <si>
    <t>31460120</t>
  </si>
  <si>
    <t>ООО "ЭКСПРЕСС"</t>
  </si>
  <si>
    <t>5260130850</t>
  </si>
  <si>
    <t>31417367</t>
  </si>
  <si>
    <t>ООО "ЭНЕРГО ПЛЮС"</t>
  </si>
  <si>
    <t>5261113632</t>
  </si>
  <si>
    <t>27673406</t>
  </si>
  <si>
    <t>ООО "Экоин - НОРСИ"</t>
  </si>
  <si>
    <t>5250038535</t>
  </si>
  <si>
    <t>27774384</t>
  </si>
  <si>
    <t>ООО "Энерго Ресурс"</t>
  </si>
  <si>
    <t>5214010855</t>
  </si>
  <si>
    <t>31418831</t>
  </si>
  <si>
    <t>ООО"ВКС"</t>
  </si>
  <si>
    <t>5210002099</t>
  </si>
  <si>
    <t>26358115</t>
  </si>
  <si>
    <t>Ордена "Знак Почета" ОАО "Сетка"</t>
  </si>
  <si>
    <t>5214000127</t>
  </si>
  <si>
    <t>26555480</t>
  </si>
  <si>
    <t>СПК "Колхоз Искра"</t>
  </si>
  <si>
    <t>5245023484</t>
  </si>
  <si>
    <t>26373561</t>
  </si>
  <si>
    <t>Соломатовское МУП ЖКХ</t>
  </si>
  <si>
    <t>5236006683</t>
  </si>
  <si>
    <t>26555672</t>
  </si>
  <si>
    <t>ТНВ "Нива-Михеев и К"</t>
  </si>
  <si>
    <t>5205000032</t>
  </si>
  <si>
    <t>26653400</t>
  </si>
  <si>
    <t>ФГКУ Комбинат "Монтаж"</t>
  </si>
  <si>
    <t>5244005940</t>
  </si>
  <si>
    <t>26755460</t>
  </si>
  <si>
    <t>ФГОУ СПО "Работкинский аграрный колледж"</t>
  </si>
  <si>
    <t>5250007142</t>
  </si>
  <si>
    <t>26380704</t>
  </si>
  <si>
    <t>АО "ПО" ГОРИЗОНТ"</t>
  </si>
  <si>
    <t>5252000417</t>
  </si>
  <si>
    <t>08-06-2016 00:00:00</t>
  </si>
  <si>
    <t>28954052</t>
  </si>
  <si>
    <t>АО "САПТ"</t>
  </si>
  <si>
    <t>5231000751</t>
  </si>
  <si>
    <t>29648869</t>
  </si>
  <si>
    <t>ЗАО "СРЦ "Голубая Ока"</t>
  </si>
  <si>
    <t>5260130762</t>
  </si>
  <si>
    <t>28053932</t>
  </si>
  <si>
    <t>ИП Фуфина Н.В.</t>
  </si>
  <si>
    <t>524400027272</t>
  </si>
  <si>
    <t>26557167</t>
  </si>
  <si>
    <t>МП "Горводоканал"</t>
  </si>
  <si>
    <t>5228009994</t>
  </si>
  <si>
    <t>31250368</t>
  </si>
  <si>
    <t>МП "КАНСТОК"</t>
  </si>
  <si>
    <t>5251011159</t>
  </si>
  <si>
    <t>26557653</t>
  </si>
  <si>
    <t>МУП "БОС"</t>
  </si>
  <si>
    <t>5222005009</t>
  </si>
  <si>
    <t>31689563</t>
  </si>
  <si>
    <t>МУП "ВОДОСТОК"</t>
  </si>
  <si>
    <t>5254497040</t>
  </si>
  <si>
    <t>31461650</t>
  </si>
  <si>
    <t>ОАО "БОРСКАЯ ФАБРИКА ВАЛЯНОЙ ОБУВИ"</t>
  </si>
  <si>
    <t>5246006019</t>
  </si>
  <si>
    <t>26555453</t>
  </si>
  <si>
    <t>ОАО "Борремфлот"</t>
  </si>
  <si>
    <t>5246000850</t>
  </si>
  <si>
    <t>27622545</t>
  </si>
  <si>
    <t>ОАО "Птицефабрика "Кудьминская"</t>
  </si>
  <si>
    <t>5245002438</t>
  </si>
  <si>
    <t>31029548</t>
  </si>
  <si>
    <t>ООО "АКВА"</t>
  </si>
  <si>
    <t>5260445280</t>
  </si>
  <si>
    <t>26555455</t>
  </si>
  <si>
    <t>ООО "БАЗ"</t>
  </si>
  <si>
    <t>5246046131</t>
  </si>
  <si>
    <t>31341460</t>
  </si>
  <si>
    <t>ООО "БИОТЕХСЕРВИС"</t>
  </si>
  <si>
    <t>5244031860</t>
  </si>
  <si>
    <t>30875825</t>
  </si>
  <si>
    <t>ООО "ВОДОКАНАЛ"</t>
  </si>
  <si>
    <t>5223035126</t>
  </si>
  <si>
    <t>18-04-2016 00:00:00</t>
  </si>
  <si>
    <t>28037719</t>
  </si>
  <si>
    <t>ООО "Водоканал-Строй-Сервис"</t>
  </si>
  <si>
    <t>5229008351</t>
  </si>
  <si>
    <t>522990100</t>
  </si>
  <si>
    <t>05-02-2010 00:00:00</t>
  </si>
  <si>
    <t>27773921</t>
  </si>
  <si>
    <t>ООО "Дом отдыха "Кудьма"</t>
  </si>
  <si>
    <t>5260077438</t>
  </si>
  <si>
    <t>31322308</t>
  </si>
  <si>
    <t>ООО "НЕМЕКО ГРАНД"</t>
  </si>
  <si>
    <t>5262293586</t>
  </si>
  <si>
    <t>26951231</t>
  </si>
  <si>
    <t>ООО "Нижегородские моторы"</t>
  </si>
  <si>
    <t>5256067300</t>
  </si>
  <si>
    <t>785050001</t>
  </si>
  <si>
    <t>26951379</t>
  </si>
  <si>
    <t>ООО "ПРОММАШ"</t>
  </si>
  <si>
    <t>5236001928</t>
  </si>
  <si>
    <t>31586715</t>
  </si>
  <si>
    <t>ООО "СТОК НН"</t>
  </si>
  <si>
    <t>5249175456</t>
  </si>
  <si>
    <t>30429665</t>
  </si>
  <si>
    <t>ООО "СТРИМ"</t>
  </si>
  <si>
    <t>5257154516</t>
  </si>
  <si>
    <t>31490086</t>
  </si>
  <si>
    <t>ООО "СТРОЙСЕРВИС"</t>
  </si>
  <si>
    <t>5223035077</t>
  </si>
  <si>
    <t>28451389</t>
  </si>
  <si>
    <t>ООО "Транзит"</t>
  </si>
  <si>
    <t>5245021014</t>
  </si>
  <si>
    <t>30982795</t>
  </si>
  <si>
    <t>ООО "УК "Сетка-Центр"</t>
  </si>
  <si>
    <t>5249143408</t>
  </si>
  <si>
    <t>31711356</t>
  </si>
  <si>
    <t>ООО "ЭКОСЕТЬ"</t>
  </si>
  <si>
    <t>5258156770</t>
  </si>
  <si>
    <t>26555460</t>
  </si>
  <si>
    <t>ПАО "МИЗ им. М.Горького"</t>
  </si>
  <si>
    <t>5252000488</t>
  </si>
  <si>
    <t>27577541</t>
  </si>
  <si>
    <t>ФКУ ИК-14 ГУФСИН РОССИИ ПО НИЖЕГОРОДСКОЙ ОБЛАСТИ</t>
  </si>
  <si>
    <t>5228007193</t>
  </si>
  <si>
    <t>28073128</t>
  </si>
  <si>
    <t>АО «СИТИМАТИК - НИЖНИЙ НОВГОРОД»</t>
  </si>
  <si>
    <t>5260278039</t>
  </si>
  <si>
    <t>26647149</t>
  </si>
  <si>
    <t>МБУ "Благоустройство города"</t>
  </si>
  <si>
    <t>5228054475</t>
  </si>
  <si>
    <t>26382498</t>
  </si>
  <si>
    <t>МУ "ДЭП"</t>
  </si>
  <si>
    <t>5254021606</t>
  </si>
  <si>
    <t>31707617</t>
  </si>
  <si>
    <t>ОБЩЕСТВО С ОГРАНИЧЕННОЙ ОТВЕТСТВЕННОСТЬЮ "МАГИСТРАЛЬИНВЕСТ"</t>
  </si>
  <si>
    <t>5257072581</t>
  </si>
  <si>
    <t>31708482</t>
  </si>
  <si>
    <t>ООО "АВТОСПЕЦМОНТАЖ"</t>
  </si>
  <si>
    <t>5263111359</t>
  </si>
  <si>
    <t>26555505</t>
  </si>
  <si>
    <t>ООО "АГЖО-Сергач"</t>
  </si>
  <si>
    <t>5229007862</t>
  </si>
  <si>
    <t>26382493</t>
  </si>
  <si>
    <t>ООО "ВМЗ-Комфорт"</t>
  </si>
  <si>
    <t>5247018313</t>
  </si>
  <si>
    <t>31715967</t>
  </si>
  <si>
    <t>ООО "ВОЛГА-Д"</t>
  </si>
  <si>
    <t>3448034760</t>
  </si>
  <si>
    <t>346001001</t>
  </si>
  <si>
    <t>31709803</t>
  </si>
  <si>
    <t>ООО "ИСТОК"</t>
  </si>
  <si>
    <t>5259090138</t>
  </si>
  <si>
    <t>26951747</t>
  </si>
  <si>
    <t>ООО "МАГ Груп"</t>
  </si>
  <si>
    <t>5258084318</t>
  </si>
  <si>
    <t>31151349</t>
  </si>
  <si>
    <t>ООО "МСК-НТ"</t>
  </si>
  <si>
    <t>7734699480</t>
  </si>
  <si>
    <t>773401001</t>
  </si>
  <si>
    <t>16-04-2013 00:00:00</t>
  </si>
  <si>
    <t>31695868</t>
  </si>
  <si>
    <t>ООО "НАСТ"</t>
  </si>
  <si>
    <t>5257084971</t>
  </si>
  <si>
    <t>31232663</t>
  </si>
  <si>
    <t>ООО "НИЖЭКОЛОГИЯ-НН"</t>
  </si>
  <si>
    <t>5261098663</t>
  </si>
  <si>
    <t>30421267</t>
  </si>
  <si>
    <t>ООО "ОРБ НИЖНИЙ"</t>
  </si>
  <si>
    <t>5256068455</t>
  </si>
  <si>
    <t>31342143</t>
  </si>
  <si>
    <t>ООО "ОРБ Нижний" Канавинский филиал</t>
  </si>
  <si>
    <t>526243001</t>
  </si>
  <si>
    <t>30813929</t>
  </si>
  <si>
    <t>ООО "РЕАЛ-КСТОВО"</t>
  </si>
  <si>
    <t>5250063394</t>
  </si>
  <si>
    <t>31696026</t>
  </si>
  <si>
    <t>ООО "РЭП 2"</t>
  </si>
  <si>
    <t>5261038449</t>
  </si>
  <si>
    <t>31232687</t>
  </si>
  <si>
    <t>ООО "СИТИЛЮКС 52"</t>
  </si>
  <si>
    <t>5258122475</t>
  </si>
  <si>
    <t>31695874</t>
  </si>
  <si>
    <t>ООО "ХИМВЕЛЛ"</t>
  </si>
  <si>
    <t>5260375963</t>
  </si>
  <si>
    <t>31696020</t>
  </si>
  <si>
    <t>ООО "ЧИСТЫЙ ДВОР-НН"</t>
  </si>
  <si>
    <t>5261092573</t>
  </si>
  <si>
    <t>31681251</t>
  </si>
  <si>
    <t>ООО "ЭКОВЕК"</t>
  </si>
  <si>
    <t>5229010287</t>
  </si>
  <si>
    <t>31708928</t>
  </si>
  <si>
    <t>ООО "ЭКОВЫВОЗ"</t>
  </si>
  <si>
    <t>6686005610</t>
  </si>
  <si>
    <t>668601001</t>
  </si>
  <si>
    <t>31714665</t>
  </si>
  <si>
    <t>ООО "ЭКОГРИНСИТИ"</t>
  </si>
  <si>
    <t>7735146591</t>
  </si>
  <si>
    <t>773501001</t>
  </si>
  <si>
    <t>31163388</t>
  </si>
  <si>
    <t>ООО "ЭКОСТАНДАРТ"</t>
  </si>
  <si>
    <t>7840024031</t>
  </si>
  <si>
    <t>26-02-2015 00:00:00</t>
  </si>
  <si>
    <t>31706802</t>
  </si>
  <si>
    <t>ООО "Эко - Реал НН"</t>
  </si>
  <si>
    <t>5260357227</t>
  </si>
  <si>
    <t>NSRF</t>
  </si>
  <si>
    <t>MR_NAME</t>
  </si>
  <si>
    <t>OKTMO_MR_NAME</t>
  </si>
  <si>
    <t>MO_NAME</t>
  </si>
  <si>
    <t>OKTMO_NAME</t>
  </si>
  <si>
    <t>TYPE</t>
  </si>
  <si>
    <t>MR_ID</t>
  </si>
  <si>
    <t>Ардатовский муниципальный округ</t>
  </si>
  <si>
    <t>22502000</t>
  </si>
  <si>
    <t>муниципальный округ</t>
  </si>
  <si>
    <t>Балахнинский муниципальный округ</t>
  </si>
  <si>
    <t>22505000</t>
  </si>
  <si>
    <t>Богородский муниципальный округ</t>
  </si>
  <si>
    <t>22507000</t>
  </si>
  <si>
    <t>Большеболдинский муниципальный округ</t>
  </si>
  <si>
    <t>22509000</t>
  </si>
  <si>
    <t>Большемурашкинский муниципальный округ</t>
  </si>
  <si>
    <t>22510000</t>
  </si>
  <si>
    <t>Бутурлинский муниципальный округ</t>
  </si>
  <si>
    <t>22512000</t>
  </si>
  <si>
    <t>Вадский муниципальный округ</t>
  </si>
  <si>
    <t>22514000</t>
  </si>
  <si>
    <t>Варнавинский муниципальный округ</t>
  </si>
  <si>
    <t>22515000</t>
  </si>
  <si>
    <t>Вачский муниципальный округ</t>
  </si>
  <si>
    <t>22517000</t>
  </si>
  <si>
    <t>Ветлужский муниципальный округ</t>
  </si>
  <si>
    <t>22518000</t>
  </si>
  <si>
    <t>Вознесенский муниципальный округ</t>
  </si>
  <si>
    <t>22519000</t>
  </si>
  <si>
    <t>Володарский муниципальный округ</t>
  </si>
  <si>
    <t>22520000</t>
  </si>
  <si>
    <t>Воротынский</t>
  </si>
  <si>
    <t>22719000</t>
  </si>
  <si>
    <t>городской округ</t>
  </si>
  <si>
    <t>Воскресенский муниципальный округ</t>
  </si>
  <si>
    <t>22522000</t>
  </si>
  <si>
    <t>Гагинский муниципальный округ</t>
  </si>
  <si>
    <t>22526000</t>
  </si>
  <si>
    <t>Городецкий муниципальный округ</t>
  </si>
  <si>
    <t>22528000</t>
  </si>
  <si>
    <t>Дальнеконстантиновский муниципальный округ</t>
  </si>
  <si>
    <t>22530000</t>
  </si>
  <si>
    <t>Дивеевский муниципальный округ</t>
  </si>
  <si>
    <t>22532000</t>
  </si>
  <si>
    <t>ЗАТО город Саров</t>
  </si>
  <si>
    <t>22704000</t>
  </si>
  <si>
    <t>Княгининский муниципальный округ</t>
  </si>
  <si>
    <t>22533000</t>
  </si>
  <si>
    <t>Ковернинский муниципальный округ</t>
  </si>
  <si>
    <t>22534000</t>
  </si>
  <si>
    <t>Краснобаковский муниципальный округ</t>
  </si>
  <si>
    <t>22535000</t>
  </si>
  <si>
    <t>Краснооктябрьский муниципальный округ</t>
  </si>
  <si>
    <t>22536000</t>
  </si>
  <si>
    <t>Кстовский муниципальный округ</t>
  </si>
  <si>
    <t>22537000</t>
  </si>
  <si>
    <t>Лукояновский муниципальный округ</t>
  </si>
  <si>
    <t>22539000</t>
  </si>
  <si>
    <t>Лысковский муниципальный округ</t>
  </si>
  <si>
    <t>22540000</t>
  </si>
  <si>
    <t>Навашинский</t>
  </si>
  <si>
    <t>22730000</t>
  </si>
  <si>
    <t>Павловский муниципальный округ</t>
  </si>
  <si>
    <t>22542000</t>
  </si>
  <si>
    <t>Перевозский</t>
  </si>
  <si>
    <t>22739000</t>
  </si>
  <si>
    <t>Пильнинский муниципальный округ</t>
  </si>
  <si>
    <t>22545000</t>
  </si>
  <si>
    <t>Починковский муниципальный округ</t>
  </si>
  <si>
    <t>22546000</t>
  </si>
  <si>
    <t>Семеновский</t>
  </si>
  <si>
    <t>22737000</t>
  </si>
  <si>
    <t>Сергачский муниципальный округ</t>
  </si>
  <si>
    <t>22548000</t>
  </si>
  <si>
    <t>Сеченовский муниципальный округ</t>
  </si>
  <si>
    <t>22549000</t>
  </si>
  <si>
    <t>Сокольский</t>
  </si>
  <si>
    <t>22749000</t>
  </si>
  <si>
    <t>Сосновский муниципальный округ</t>
  </si>
  <si>
    <t>22550000</t>
  </si>
  <si>
    <t>Спасский муниципальный округ</t>
  </si>
  <si>
    <t>22551000</t>
  </si>
  <si>
    <t>Тонкинский муниципальный округ</t>
  </si>
  <si>
    <t>22552000</t>
  </si>
  <si>
    <t>Тоншаевский муниципальный округ</t>
  </si>
  <si>
    <t>22553000</t>
  </si>
  <si>
    <t>Уренский муниципальный округ</t>
  </si>
  <si>
    <t>22554000</t>
  </si>
  <si>
    <t>Шарангский муниципальный округ</t>
  </si>
  <si>
    <t>22556000</t>
  </si>
  <si>
    <t>Шатковский муниципальный округ</t>
  </si>
  <si>
    <t>22557000</t>
  </si>
  <si>
    <t>город Арзамас</t>
  </si>
  <si>
    <t>22703000</t>
  </si>
  <si>
    <t>город Бор</t>
  </si>
  <si>
    <t>22712000</t>
  </si>
  <si>
    <t>город Выкса</t>
  </si>
  <si>
    <t>22715000</t>
  </si>
  <si>
    <t>город Дзержинск</t>
  </si>
  <si>
    <t>22721000</t>
  </si>
  <si>
    <t>город Кулебаки</t>
  </si>
  <si>
    <t>22727000</t>
  </si>
  <si>
    <t>город Первомайск</t>
  </si>
  <si>
    <t>22734000</t>
  </si>
  <si>
    <t>город Чкаловск</t>
  </si>
  <si>
    <t>22755000</t>
  </si>
  <si>
    <t>город Шахунья</t>
  </si>
  <si>
    <t>22758000</t>
  </si>
  <si>
    <t>NUMBER_POINT</t>
  </si>
  <si>
    <t>INVP_NAME</t>
  </si>
  <si>
    <t>INVP_ID</t>
  </si>
  <si>
    <t>L_START_DATE</t>
  </si>
  <si>
    <t>L_END_DATE</t>
  </si>
  <si>
    <t>L_DECISION_NAME</t>
  </si>
  <si>
    <t>L_DECISION_TYPE</t>
  </si>
  <si>
    <t>L_DECISION_NMBR</t>
  </si>
  <si>
    <t>L_DECISION_DATE</t>
  </si>
  <si>
    <t>Инвестиционная программа № 329-116/23/од от 05.06.2023 ООО "СЕВЕРНЫЕ КОММУНАЛЬНЫЕ СЕТИ" в сфере теплоснабжения по реконструкции котельных и тепловых сетей, на территории муниципального округа Тоншаевский на 2023-2037 годы</t>
  </si>
  <si>
    <t>05.06.2023</t>
  </si>
  <si>
    <t>31.12.2037</t>
  </si>
  <si>
    <t>Инвестиционная программа № 329-230/21Под от 26.08.2021 ООО "Гранит" в сфере теплоснабжения по развитию, модернизации и реконструкции котельных и тепловых сетей, на территории городского округа Сокольский на 2021-2037 годы</t>
  </si>
  <si>
    <t>01.10.2021</t>
  </si>
  <si>
    <t>Инвестиционная программа № 329-317/21П/од от 01.11.2021 ООО "Теплосети" в сфере теплоснабжения по развитию имущественного комплекса, на территории городского округа Нижний Новгород на 2022-2026 годы</t>
  </si>
  <si>
    <t>01.01.2022</t>
  </si>
  <si>
    <t>31.12.2026</t>
  </si>
  <si>
    <t>Инвестиционная программа № 329-334/22П/од от 31.10.2022 ООО "Бор Инвест" в сфере теплоснабжения по развитию систем теплоснабжения от котельных и тепловых сетей, на территории муниципального округа Вознесенский на 2023-2048 годы</t>
  </si>
  <si>
    <t>01.12.2023</t>
  </si>
  <si>
    <t>31.12.2048</t>
  </si>
  <si>
    <t>Инвестиционная программа № 329-336/22П/од от 01.11.2022 ООО "Гранит" в сфере теплоснабжения по строительству, реконструкции и модернизации централизованных систем теплоснабжения, на территории муниципального округа Уренский на 2023-2037 годы</t>
  </si>
  <si>
    <t>Инвестиционная программа № 329-337/22П/од от 31.10.2022 ООО "СТН-Энергосети" в сфере теплоснабжения по техническому перевооружению систем теплоснабжения, на территории городского округа Нижний Новгород на 2023 год</t>
  </si>
  <si>
    <t>01.01.2023</t>
  </si>
  <si>
    <t>31.12.2023</t>
  </si>
  <si>
    <t>Инвестиционная программа № 329-396/22П от 23.11.2022 АО "Теплоэнерго" в сфере теплоснабжения по строительству, реконструкции, модернизации и развитию систем теплоснабжения от котельных и тепловых сетей, на территории городского округа Нижний Новгород на 2023-2027 годы</t>
  </si>
  <si>
    <t>31.12.2027</t>
  </si>
  <si>
    <t>Инвестиционная программа № 329-396/22П/од от 23.11.2022 АО "Теплоэнерго" в сфере теплоснабжения по строительству, реконструкции, модернизации и развитию имущественного комплекса, на территории городского округа Нижний Новгород на 2023-2027 годы</t>
  </si>
  <si>
    <t>Инвестиционная программа № 329-396/22П/од от 23.11.2022 АО "Теплоэнерго" в сфере теплоснабжения по строительству, реконструкции, модернизации и развитию тепловых сетей и системы централизованного теплоснабжения, на территории городского округа Нижний Новгород на 2023-2047 годы</t>
  </si>
  <si>
    <t>31.12.2047</t>
  </si>
  <si>
    <t>Инвестиционная программа № 329-419/23П/од от 26.10.2023 Филиал "Нижегородский" ПАО "Т ПЛЮС" в сфере теплоснабжения по модернизации и реконструкции имущественного комплекса, на территории городского округа Нижний Новгород на 2024-2028 годы</t>
  </si>
  <si>
    <t>01.01.2024</t>
  </si>
  <si>
    <t>31.12.2028</t>
  </si>
  <si>
    <t>Инвестиционная программа № 329-441/23П/од от 30.10.2023 ООО "СТН-Энергосети" в сфере теплоснабжения по строительству, реконструкции и модернизации систем теплоснабжения, на территории городского округа Нижний Новгород на 2024-2028 годы</t>
  </si>
  <si>
    <t>Инвестиционная программа № 329_318/21П/од от 29.10.2021 ООО "Автозаводская ТЭЦ" в сфере теплоснабжения в отношении объектов, на территории городского округа Нижний Новгород на 2022-2026 годы</t>
  </si>
  <si>
    <t>Инвестиционная программа от 01.02.2021 ООО "Тепловые сети" в сфере теплоснабжения по модернизации и строительству объектов, на территории рп Ардатов, Рабочий поселок Ардатов, Ардатовский муниципальный район на 2021-2029 годы</t>
  </si>
  <si>
    <t>01.02.2021</t>
  </si>
  <si>
    <t>31.12.2029</t>
  </si>
  <si>
    <t>Инвестиционная программа от 06.10.2020 ООО "ФСК "Энерго Строй" в сфере теплоснабжения по развитию централизованных систем теплоснабжения, на территории муниципального района Павловский на 2021-2025 годы</t>
  </si>
  <si>
    <t>01.01.2021</t>
  </si>
  <si>
    <t>24.12.2025</t>
  </si>
  <si>
    <t>Инвестиционная программа от 08.09.2020 ООО "Генерация тепла" в сфере теплоснабжения по развитию систем инженерной инфраструктуры, на территории городского округа Нижний Новгород на 2021-2028 годы</t>
  </si>
  <si>
    <t>Инвестиционная программа от 23.11.2022 АО "Теплоэнерго" в сфере теплоснабжения по строительству и модернизации объектов, на территории городского округа Нижний Новгород на 2022 год</t>
  </si>
  <si>
    <t>23.11.2022</t>
  </si>
  <si>
    <t>31.12.2022</t>
  </si>
  <si>
    <t>Инвестиционная программа от 25.02.2022 АО "СТСК" в сфере теплоснабжения по реконструкции объектов систем теплоснабжения, на территории городского округа ЗАТО Саров на 2022-2029 годы</t>
  </si>
  <si>
    <t>25.02.2022</t>
  </si>
  <si>
    <t>Инвестиционная программа от 26.10.2020 АО "СТСК" в сфере теплоснабжения по модернизации и развитию имущественного комплекса, на территории городского округа ЗАТО Саров на 2021-2023 годы</t>
  </si>
  <si>
    <t>Инвестиционная программа от 28.05.2021 АО "Теплоэнерго" в сфере теплоснабжения и горячего водоснабжения по строительству, реконструкции, модернизации и развитию имущественного комплекса, на территории городского округа Чкаловск на 2021-2030 годы</t>
  </si>
  <si>
    <t>28.05.2021</t>
  </si>
  <si>
    <t>31.12.2030</t>
  </si>
  <si>
    <t>Инвестиционная программа от 30.10.2020 ООО "Энергосервис" в сфере теплоснабжения по развитию систем теплоснабжения, на территории городского округа Нижний Новгород на 2021-2026 годы</t>
  </si>
  <si>
    <t>TER_NAME</t>
  </si>
  <si>
    <t>Территория 1</t>
  </si>
  <si>
    <t>ID_TARIFF_NAME</t>
  </si>
  <si>
    <t>TARIFF_NAME</t>
  </si>
  <si>
    <t>VED_NAME</t>
  </si>
  <si>
    <t>4190064</t>
  </si>
  <si>
    <t>4190065</t>
  </si>
  <si>
    <t>4190066</t>
  </si>
  <si>
    <t>4190067</t>
  </si>
  <si>
    <t>4190068</t>
  </si>
  <si>
    <t>4190069</t>
  </si>
  <si>
    <t>4190070</t>
  </si>
  <si>
    <t>4190071</t>
  </si>
  <si>
    <t>4190072</t>
  </si>
  <si>
    <t>4190073</t>
  </si>
  <si>
    <t>ID</t>
  </si>
  <si>
    <t>LINK_NAME</t>
  </si>
  <si>
    <t>https://portal.eias.ru/Portal/DownloadPage.aspx?type=12&amp;guid=????????-????-????-????-????????????</t>
  </si>
  <si>
    <t>ALL</t>
  </si>
  <si>
    <t>https://eias.fstrf.ru/disclo/get_file?p_guid=????????-????-????-????-????????????</t>
  </si>
  <si>
    <t>Форма</t>
  </si>
  <si>
    <t>Листы</t>
  </si>
  <si>
    <t>optOrganization</t>
  </si>
  <si>
    <t>optROiV</t>
  </si>
  <si>
    <t>optHEAT</t>
  </si>
  <si>
    <t>optCOLDVSNA</t>
  </si>
  <si>
    <t>optVOTV</t>
  </si>
  <si>
    <t>optHOTVSNA</t>
  </si>
  <si>
    <t>optTKO</t>
  </si>
  <si>
    <t>optORG</t>
  </si>
  <si>
    <t>optPRICE</t>
  </si>
  <si>
    <t>optBALANCE</t>
  </si>
  <si>
    <t>optQUARTER</t>
  </si>
  <si>
    <t>optINVEST</t>
  </si>
  <si>
    <t>optTERMS</t>
  </si>
  <si>
    <t>optREQUEST</t>
  </si>
  <si>
    <t>modSave</t>
  </si>
  <si>
    <t>Расчетные листы</t>
  </si>
  <si>
    <t>Скрытые листы</t>
  </si>
  <si>
    <t>Instruction</t>
  </si>
  <si>
    <t>DATA_FORMS</t>
  </si>
  <si>
    <t>modUpdTemplLogger</t>
  </si>
  <si>
    <t>DATA_NPA</t>
  </si>
  <si>
    <t>TITLE</t>
  </si>
  <si>
    <t>TEHSHEET</t>
  </si>
  <si>
    <t>TERRITORY</t>
  </si>
  <si>
    <t>TSH_et_union_hor</t>
  </si>
  <si>
    <t>DIFFERENTIATION</t>
  </si>
  <si>
    <t>modP_T_TERMS</t>
  </si>
  <si>
    <t>DIFFERENTIATION_TARIFF</t>
  </si>
  <si>
    <t>modMainProcedures</t>
  </si>
  <si>
    <t>DIFFERENTIATION_TKO</t>
  </si>
  <si>
    <t>modB_FHD</t>
  </si>
  <si>
    <t>ORG_INFO</t>
  </si>
  <si>
    <t>modB_FHD20</t>
  </si>
  <si>
    <t>ORG_VD</t>
  </si>
  <si>
    <t>modB_KNE</t>
  </si>
  <si>
    <t>ORG_VD_TKO</t>
  </si>
  <si>
    <t>modIP_MAIN</t>
  </si>
  <si>
    <t>ORG_TERRITORY</t>
  </si>
  <si>
    <t>modIP_QRE</t>
  </si>
  <si>
    <t>P_T_TERMS</t>
  </si>
  <si>
    <t>modIP_DETAILED</t>
  </si>
  <si>
    <t>TARIFF_A</t>
  </si>
  <si>
    <t>TSH_et_union_vert</t>
  </si>
  <si>
    <t>TARIFF_B</t>
  </si>
  <si>
    <t>modROIV</t>
  </si>
  <si>
    <t>TARIFF_F</t>
  </si>
  <si>
    <t>modDIFFERENTIATION_TKO</t>
  </si>
  <si>
    <t>TARIFF_C</t>
  </si>
  <si>
    <t>modTARIFF_HEAT</t>
  </si>
  <si>
    <t>TARIFF_E1</t>
  </si>
  <si>
    <t>modTARIFF_COLDVSNA</t>
  </si>
  <si>
    <t>TARIFF_E2</t>
  </si>
  <si>
    <t>modIP_FIN_PLAN</t>
  </si>
  <si>
    <t>TARIFF_D</t>
  </si>
  <si>
    <t>REESTR_IP</t>
  </si>
  <si>
    <t>TARIFF_G</t>
  </si>
  <si>
    <t>modfrmListIP</t>
  </si>
  <si>
    <t>Лист5</t>
  </si>
  <si>
    <t>modfrmActivity</t>
  </si>
  <si>
    <t>Лист6</t>
  </si>
  <si>
    <t>REESTR_DS</t>
  </si>
  <si>
    <t>Лист7</t>
  </si>
  <si>
    <t>REESTR_VED</t>
  </si>
  <si>
    <t>Лист14</t>
  </si>
  <si>
    <t>TSH_REESTR_MO</t>
  </si>
  <si>
    <t>P_PROCEDURE_TC</t>
  </si>
  <si>
    <t>TSH_REESTR_MO_FILTER</t>
  </si>
  <si>
    <t>R_B_Purch</t>
  </si>
  <si>
    <t>REESTR_LINK</t>
  </si>
  <si>
    <t>Q_PH</t>
  </si>
  <si>
    <t>modDIFFERENTIATION_TARIFF</t>
  </si>
  <si>
    <t>Q_TP</t>
  </si>
  <si>
    <t>modDIFFERENTIATION</t>
  </si>
  <si>
    <t>Q_LIMIT</t>
  </si>
  <si>
    <t>modTERRITORY</t>
  </si>
  <si>
    <t>R_Offer</t>
  </si>
  <si>
    <t>modQ_PH</t>
  </si>
  <si>
    <t>TARIFF_A_COLDVSNA</t>
  </si>
  <si>
    <t>modORG_INFO</t>
  </si>
  <si>
    <t>TARIFF_B_COLDVSNA</t>
  </si>
  <si>
    <t>modORG_VD</t>
  </si>
  <si>
    <t>TARIFF_C_COLDVSNA</t>
  </si>
  <si>
    <t>modORG_TERRITORY</t>
  </si>
  <si>
    <t>TARIFF_D_COLDVSNA</t>
  </si>
  <si>
    <t>modfrmSelectTerritory</t>
  </si>
  <si>
    <t>TARIFF_E_COLDVSNA</t>
  </si>
  <si>
    <t>modQ_TP</t>
  </si>
  <si>
    <t>B_FHD</t>
  </si>
  <si>
    <t>modQ_LIMIT</t>
  </si>
  <si>
    <t>B_FHD20</t>
  </si>
  <si>
    <t>modListTempFilter</t>
  </si>
  <si>
    <t>B_FHD_TKO</t>
  </si>
  <si>
    <t>modCheckCyan</t>
  </si>
  <si>
    <t>B_FHD_TKO_TRANS</t>
  </si>
  <si>
    <t>modHTTP</t>
  </si>
  <si>
    <t>B_KNE</t>
  </si>
  <si>
    <t>modfrmRezimChoose</t>
  </si>
  <si>
    <t>IP_MAIN</t>
  </si>
  <si>
    <t>modSheetMain</t>
  </si>
  <si>
    <t>IP_DETAILED</t>
  </si>
  <si>
    <t>REESTR_VT</t>
  </si>
  <si>
    <t>IP_FIN_PLAN</t>
  </si>
  <si>
    <t>modfrmReportMode</t>
  </si>
  <si>
    <t>IP_QRE</t>
  </si>
  <si>
    <t>modfrmReestrObj</t>
  </si>
  <si>
    <t>TARIFF_A_HOTVSNA</t>
  </si>
  <si>
    <t>AllSheetsInThisWorkbook</t>
  </si>
  <si>
    <t>TARIFF_B_HOTVSNA</t>
  </si>
  <si>
    <t>modInstruction</t>
  </si>
  <si>
    <t>TARIFF_C_HOTVSNA</t>
  </si>
  <si>
    <t>modRegion</t>
  </si>
  <si>
    <t>TARIFF_A_VOTV</t>
  </si>
  <si>
    <t>modReestr</t>
  </si>
  <si>
    <t>TARIFF_B_VOTV</t>
  </si>
  <si>
    <t>modfrmReestr</t>
  </si>
  <si>
    <t>TARIFF_C_VOTV</t>
  </si>
  <si>
    <t>modUpdTemplMain</t>
  </si>
  <si>
    <t>ED</t>
  </si>
  <si>
    <t>TSH_REESTR_ORG</t>
  </si>
  <si>
    <t>CHANGE_INFO</t>
  </si>
  <si>
    <t>modClassifierValidate</t>
  </si>
  <si>
    <t>ListComm</t>
  </si>
  <si>
    <t>modCHECK</t>
  </si>
  <si>
    <t>CHECK</t>
  </si>
  <si>
    <t>modHyp</t>
  </si>
  <si>
    <t>ROIV_INFO</t>
  </si>
  <si>
    <t>modServiceModule</t>
  </si>
  <si>
    <t>ROIV_ORG</t>
  </si>
  <si>
    <t>modInfo</t>
  </si>
  <si>
    <t>ROIV_CASE</t>
  </si>
  <si>
    <t>modTITLE</t>
  </si>
  <si>
    <t>ROIV_OTV</t>
  </si>
  <si>
    <t>modList02</t>
  </si>
  <si>
    <t>Лист1</t>
  </si>
  <si>
    <t>modED</t>
  </si>
  <si>
    <t>modList05</t>
  </si>
  <si>
    <t>modList06</t>
  </si>
  <si>
    <t>modCHANGE_INFO</t>
  </si>
  <si>
    <t>modList11</t>
  </si>
  <si>
    <t>modList12</t>
  </si>
  <si>
    <t>modfrmDateChoose</t>
  </si>
  <si>
    <t>modComm</t>
  </si>
  <si>
    <t>modThisWorkbook</t>
  </si>
  <si>
    <t>modfrmReestrMR</t>
  </si>
  <si>
    <t>modfrmCheckUpdates</t>
  </si>
  <si>
    <t>Титульный</t>
  </si>
  <si>
    <t>Для выбора того или иного источника публикации выполните двойной щелчок по синей ячейке напротив соответствующего источника._x000D_
ВНИМАНИЕ! Если Вы снимаете галочку с пункта, то будут скрыты и очищены соответствующие строки на листе "Форма 1.0.2"!_x000D_
_x000D_
Опубликование перечисленных в шаблоне показателей на сайте организации в сети Интернет и в печатных изданиях не обязательно, если данный шаблон предоставлен по системе ЕИАС (региональный сегмент).</t>
  </si>
  <si>
    <t>Обязательное опубликование на официальном сайте органа исполнительной власти субъекта Российской Федерации в области государственного регулирования цен (тарифов), и (или) на официальном сайте органа местного самоуправления поселения или городского округа в случае их наделения в соответствии с законом субъекта Российской Федерации полномочиями по государственному регулированию цен (тарифов)предусмотрено пунктом 3 (а) постановления Правительства №6 от 17.01.2013г.</t>
  </si>
  <si>
    <t>Задайте период регулирования, выбрав даты начала и окончания периода регулирования из календаря (иконка справа от указанной ячейки), либо введите дату непосредственно в ячейку в формате - 'ДД.ММ.ГГГГ'</t>
  </si>
  <si>
    <t>Шаблон заполняется раздельно по каждому виду тарифа</t>
  </si>
  <si>
    <t>В зависимости от указанного вида деятельности будут доступны для заполнения поля 'Производство', 'Передача' и 'Сбыт'</t>
  </si>
  <si>
    <t>Если выбрано 'да', на листах с разбивкой по потребителям доступны для заполнения графы для двухставочного ставочного тарифа по группам потребителей</t>
  </si>
  <si>
    <t>Если выбрано 'да', значения тарифов для групп потребителей на листах с разбивкой по потребителям заполнятся автоматически значениями первой группы</t>
  </si>
  <si>
    <t>Если выбрано значение «да» - в шаблоне будет сформирован лист «Форма 1.0.2» для уведомления органа регулирования о публикации информации в печатных изданиях</t>
  </si>
  <si>
    <t xml:space="preserve">По умолчанию установлено значение «первичное раскрытие информации» Это означает, что информация раскрывается в соответствии с установленными сроком и периодичностью. В случае если в уже отправленном шаблоне обнаружена ошибка или произошло изменение информации, исправленный шаблон необходимо отправить с типом отчета «изменения в раскрытой ранее информации». </t>
  </si>
  <si>
    <t>Укажите является ли данное юридическое лицо подразделением(филиалом) другой организации</t>
  </si>
  <si>
    <t>Ссылки на публикации</t>
  </si>
  <si>
    <t>Вводите адрес сайта, не нарушая цвет ячейки /если копируете гиперссылку из браузера, то выполните двойной щелчок по ячейке и только после этого можете вставить скопированный элемент/</t>
  </si>
  <si>
    <t>Обосновывающие материалы необходимо загружать с помощью "ЕИАС Мониторинг". Ссылка на инструкцию по загрузке обосновывающих материалов расположена на листе 'Инструкция' в п.'Методология заполнения'._x000D_
_x000D_
Ввводите ссылку, не нарушая цвет ячейки /если копируете гиперссылку из браузера, то выполните двойной щелчок по ячейке и только после этого можете вставить скопированный элемент/.</t>
  </si>
  <si>
    <t>Если для какого-либо пункта графы 'Наименование источника (сайта или печатного издания)' информация не раскрывалась, то в соответствующем поле укажите - 'не раскрывалась'</t>
  </si>
  <si>
    <t>Список МО</t>
  </si>
  <si>
    <t>В случае, если тариф не дифференцируется по системам теплоснабжения, перечислите все муниципальные районы, в которых организация осуществляет услуги теплоснабжения и сфере оказания услуг по передаче тепловой энергии</t>
  </si>
  <si>
    <t>В случае, если тариф не дифференцируется по системам теплоснабжения, перечислите все муниципальные образования, в которых организация осуществляет услуги теплоснабжения и сфере оказания услуг по передаче тепловой энергии</t>
  </si>
  <si>
    <t>Признак дифференциации тарифа</t>
  </si>
  <si>
    <t>В случае, если тариф не дифференцируется по системам теплоснабжения, укажите "1"._x000D_
Введите значение от 1 до 100, чтобы указать очередной условный порядковый номер системы теплоснабжения</t>
  </si>
  <si>
    <t>Стандарты</t>
  </si>
  <si>
    <t>В качестве примечания Вы можете указать единицу измерения</t>
  </si>
  <si>
    <t>Для корректного формирования Таблицы 25 Формы 1.10 необходимо задать разбивку по диаметрам и способу прокладки тепловых сетей</t>
  </si>
  <si>
    <t>Перечень тарифов</t>
  </si>
  <si>
    <t>Укажите «Да» в поле «Да/Нет», если дифференциация используется._x000D_
В поле «Описание» указывается наименование территории действия тарифа при наличии дифференциации тарифа по территориальному признаку._x000D_
В случае дифференциации тарифов по территориальному признаку информация по ним указывается в отдельных строках.</t>
  </si>
  <si>
    <t>Признаки дифференциации указываются в соответствии с п.6 ст.32 ФЗ РФ от 07.12.2011 №416-ФЗ</t>
  </si>
  <si>
    <t>Укажите «Да» в поле «Да/Нет», если дифференциация используется. В поле «Описание» укажите название ЦС ГВС или любое другое описание</t>
  </si>
  <si>
    <t>Территории</t>
  </si>
  <si>
    <t>Наименование территории действия тарифа для целей идентификации</t>
  </si>
  <si>
    <t>Муниципальные районы и муниципальные образования, на территории которых действует тариф</t>
  </si>
  <si>
    <t>Инструкция</t>
  </si>
  <si>
    <t>Нет доступных обновлений, версия отчёта актуальна</t>
  </si>
</sst>
</file>

<file path=xl/styles.xml><?xml version="1.0" encoding="utf-8"?>
<styleSheet xmlns="http://schemas.openxmlformats.org/spreadsheetml/2006/main" xmlns:mc="http://schemas.openxmlformats.org/markup-compatibility/2006" xmlns:x14ac="http://schemas.microsoft.com/office/spreadsheetml/2009/9/ac" mc:Ignorable="x14ac">
  <numFmts count="7">
    <numFmt numFmtId="164" formatCode="_-* #,##0.00[$€-1]_-;\-* #,##0.00[$€-1]_-;_-* &quot;-&quot;??[$€-1]_-"/>
    <numFmt numFmtId="165" formatCode="#,##0.0"/>
    <numFmt numFmtId="166" formatCode="#,##0.000"/>
    <numFmt numFmtId="167" formatCode="#,##0.0000"/>
    <numFmt numFmtId="168" formatCode="dd\.mm\.yyyy"/>
    <numFmt numFmtId="169" formatCode="000000"/>
    <numFmt numFmtId="170" formatCode="h:mm;@"/>
  </numFmts>
  <fonts count="116">
    <font>
      <sz val="9"/>
      <color rgb="FF000000"/>
      <name val="Tahoma"/>
    </font>
    <font>
      <sz val="11"/>
      <color theme="1"/>
      <name val="Calibri"/>
      <scheme val="minor"/>
    </font>
    <font>
      <sz val="12"/>
      <name val="Arial"/>
    </font>
    <font>
      <sz val="10"/>
      <name val="Helv"/>
    </font>
    <font>
      <sz val="8"/>
      <name val="Arial"/>
    </font>
    <font>
      <sz val="9"/>
      <name val="Tahoma"/>
    </font>
    <font>
      <sz val="8"/>
      <name val="Palatino"/>
    </font>
    <font>
      <u/>
      <sz val="10"/>
      <color rgb="FF800080"/>
      <name val="Arial Cyr"/>
    </font>
    <font>
      <sz val="8"/>
      <name val="Helv"/>
    </font>
    <font>
      <u/>
      <sz val="9"/>
      <color theme="10"/>
      <name val="Tahoma"/>
    </font>
    <font>
      <sz val="10"/>
      <name val="Arial"/>
    </font>
    <font>
      <sz val="10"/>
      <name val="Arial Cyr"/>
    </font>
    <font>
      <u/>
      <sz val="9"/>
      <color theme="11"/>
      <name val="Tahoma"/>
    </font>
    <font>
      <sz val="9"/>
      <color rgb="FFFFFFFF"/>
      <name val="Tahoma"/>
    </font>
    <font>
      <sz val="9"/>
      <color rgb="FFCC0000"/>
      <name val="Tahoma"/>
    </font>
    <font>
      <sz val="16"/>
      <name val="Tahoma"/>
    </font>
    <font>
      <sz val="16"/>
      <color rgb="FFFFFFFF"/>
      <name val="Tahoma"/>
    </font>
    <font>
      <sz val="9"/>
      <color rgb="FFBCBCBC"/>
      <name val="Tahoma"/>
    </font>
    <font>
      <sz val="11"/>
      <color rgb="FFBCBCBC"/>
      <name val="Wingdings 2"/>
    </font>
    <font>
      <b/>
      <u/>
      <sz val="9"/>
      <name val="Tahoma"/>
    </font>
    <font>
      <sz val="11"/>
      <name val="Webdings2"/>
    </font>
    <font>
      <sz val="9"/>
      <color rgb="FF000080"/>
      <name val="Tahoma"/>
    </font>
    <font>
      <b/>
      <sz val="11"/>
      <color rgb="FF000000"/>
      <name val="Calibri"/>
    </font>
    <font>
      <sz val="11"/>
      <name val="Wingdings 2"/>
    </font>
    <font>
      <b/>
      <sz val="9"/>
      <color rgb="FFFFFFFF"/>
      <name val="Tahoma"/>
    </font>
    <font>
      <b/>
      <u/>
      <sz val="9"/>
      <color rgb="FF000080"/>
      <name val="Tahoma"/>
    </font>
    <font>
      <sz val="8"/>
      <name val="Tahoma"/>
    </font>
    <font>
      <sz val="10"/>
      <name val="Tahoma"/>
    </font>
    <font>
      <sz val="9"/>
      <color theme="0"/>
      <name val="Tahoma"/>
    </font>
    <font>
      <sz val="1"/>
      <color theme="0"/>
      <name val="Tahoma"/>
    </font>
    <font>
      <b/>
      <sz val="1"/>
      <color theme="0"/>
      <name val="Calibri"/>
    </font>
    <font>
      <b/>
      <sz val="9"/>
      <name val="Tahoma"/>
    </font>
    <font>
      <sz val="8"/>
      <color rgb="FFBCBCBC"/>
      <name val="Tahoma"/>
    </font>
    <font>
      <sz val="12"/>
      <color rgb="FF000000"/>
      <name val="Tahoma"/>
    </font>
    <font>
      <sz val="11"/>
      <color rgb="FF000000"/>
      <name val="Calibri"/>
    </font>
    <font>
      <u/>
      <sz val="9"/>
      <color rgb="FF333399"/>
      <name val="Tahoma"/>
    </font>
    <font>
      <sz val="9"/>
      <color rgb="FFFF0000"/>
      <name val="Tahoma"/>
    </font>
    <font>
      <sz val="5"/>
      <color rgb="FFFF0000"/>
      <name val="Tahoma"/>
    </font>
    <font>
      <sz val="11"/>
      <color theme="0"/>
      <name val="Wingdings 2"/>
    </font>
    <font>
      <sz val="5"/>
      <color theme="0"/>
      <name val="Tahoma"/>
    </font>
    <font>
      <sz val="3"/>
      <color rgb="FFFFFFFF"/>
      <name val="Tahoma"/>
    </font>
    <font>
      <sz val="3"/>
      <color rgb="FFCC0000"/>
      <name val="Tahoma"/>
    </font>
    <font>
      <sz val="3"/>
      <name val="Tahoma"/>
    </font>
    <font>
      <sz val="3"/>
      <color rgb="FF000000"/>
      <name val="Tahoma"/>
    </font>
    <font>
      <sz val="3"/>
      <color rgb="FF993300"/>
      <name val="Tahoma"/>
    </font>
    <font>
      <sz val="1"/>
      <color rgb="FFFFFFFF"/>
      <name val="Tahoma"/>
    </font>
    <font>
      <sz val="18"/>
      <name val="Tahoma"/>
    </font>
    <font>
      <sz val="18"/>
      <color rgb="FF000000"/>
      <name val="Tahoma"/>
    </font>
    <font>
      <sz val="11"/>
      <color rgb="FF000000"/>
      <name val="Tahoma"/>
    </font>
    <font>
      <sz val="1"/>
      <color rgb="FF000000"/>
      <name val="Tahoma"/>
    </font>
    <font>
      <sz val="15"/>
      <color rgb="FF000000"/>
      <name val="Tahoma"/>
    </font>
    <font>
      <sz val="11"/>
      <color theme="0"/>
      <name val="Webdings2"/>
    </font>
    <font>
      <u/>
      <sz val="1"/>
      <color rgb="FF333399"/>
      <name val="Tahoma"/>
    </font>
    <font>
      <sz val="15"/>
      <name val="Tahoma"/>
    </font>
    <font>
      <sz val="1"/>
      <name val="Tahoma"/>
    </font>
    <font>
      <b/>
      <sz val="9"/>
      <color rgb="FF000080"/>
      <name val="Tahoma"/>
    </font>
    <font>
      <sz val="12"/>
      <color theme="0"/>
      <name val="Tahoma"/>
    </font>
    <font>
      <sz val="9"/>
      <color theme="1"/>
      <name val="Tahoma"/>
    </font>
    <font>
      <sz val="9"/>
      <color rgb="FF0066CC"/>
      <name val="Tahoma"/>
    </font>
    <font>
      <b/>
      <sz val="10"/>
      <color theme="1"/>
      <name val="Tahoma"/>
    </font>
    <font>
      <sz val="10"/>
      <color theme="1"/>
      <name val="Tahoma"/>
    </font>
    <font>
      <sz val="3"/>
      <color rgb="FFBCBCBC"/>
      <name val="Tahoma"/>
    </font>
    <font>
      <sz val="1"/>
      <color rgb="FFBCBCBC"/>
      <name val="Tahoma"/>
    </font>
    <font>
      <sz val="12"/>
      <name val="Marlett"/>
    </font>
    <font>
      <sz val="9"/>
      <color rgb="FFBCBCBC"/>
      <name val="Wingdings 2"/>
    </font>
    <font>
      <sz val="12"/>
      <name val="Tahoma"/>
    </font>
    <font>
      <sz val="15"/>
      <color theme="0"/>
      <name val="Tahoma"/>
    </font>
    <font>
      <sz val="1"/>
      <color rgb="FFFF0000"/>
      <name val="Tahoma"/>
    </font>
    <font>
      <b/>
      <sz val="11"/>
      <color theme="0"/>
      <name val="Calibri"/>
    </font>
    <font>
      <sz val="11"/>
      <color theme="0"/>
      <name val="Tahoma"/>
    </font>
    <font>
      <sz val="3"/>
      <color theme="0"/>
      <name val="Tahoma"/>
    </font>
    <font>
      <b/>
      <sz val="3"/>
      <name val="Tahoma"/>
    </font>
    <font>
      <b/>
      <sz val="9"/>
      <color rgb="FF0070C0"/>
      <name val="Tahoma"/>
    </font>
    <font>
      <sz val="7"/>
      <name val="Tahoma"/>
    </font>
    <font>
      <sz val="7"/>
      <color rgb="FFFFFFFF"/>
      <name val="Tahoma"/>
    </font>
    <font>
      <sz val="7"/>
      <color theme="0" tint="-0.499984740745262"/>
      <name val="Tahoma"/>
    </font>
    <font>
      <sz val="8"/>
      <color theme="0"/>
      <name val="Tahoma"/>
    </font>
    <font>
      <sz val="7"/>
      <color rgb="FF000000"/>
      <name val="Tahoma"/>
    </font>
    <font>
      <b/>
      <sz val="9"/>
      <color theme="0"/>
      <name val="Tahoma"/>
    </font>
    <font>
      <b/>
      <sz val="1"/>
      <color theme="0"/>
      <name val="Tahoma"/>
    </font>
    <font>
      <sz val="19"/>
      <color theme="0"/>
      <name val="Tahoma"/>
    </font>
    <font>
      <sz val="8"/>
      <color rgb="FFFFFFFF"/>
      <name val="Tahoma"/>
    </font>
    <font>
      <b/>
      <sz val="1"/>
      <name val="Tahoma"/>
    </font>
    <font>
      <b/>
      <sz val="1"/>
      <color rgb="FF000080"/>
      <name val="Tahoma"/>
    </font>
    <font>
      <b/>
      <sz val="10"/>
      <name val="Tahoma"/>
    </font>
    <font>
      <b/>
      <sz val="9"/>
      <color rgb="FF000000"/>
      <name val="Tahoma"/>
    </font>
    <font>
      <sz val="10"/>
      <color rgb="FF000000"/>
      <name val="Arial"/>
    </font>
    <font>
      <sz val="8"/>
      <color rgb="FF000080"/>
      <name val="Tahoma"/>
    </font>
    <font>
      <sz val="1"/>
      <name val="Webdings2"/>
    </font>
    <font>
      <sz val="1"/>
      <color theme="0"/>
      <name val="Webdings2"/>
    </font>
    <font>
      <b/>
      <sz val="9"/>
      <name val="Calibri"/>
    </font>
    <font>
      <sz val="1"/>
      <color rgb="FF000080"/>
      <name val="Tahoma"/>
    </font>
    <font>
      <sz val="9"/>
      <color theme="0"/>
      <name val="Webdings2"/>
    </font>
    <font>
      <sz val="1"/>
      <color theme="0"/>
      <name val="Wingdings 2"/>
    </font>
    <font>
      <sz val="18"/>
      <color theme="0"/>
      <name val="Tahoma"/>
    </font>
    <font>
      <sz val="9"/>
      <name val="Wingdings 2"/>
    </font>
    <font>
      <sz val="9"/>
      <color rgb="FFFFFFFF"/>
      <name val="Wingdings 2"/>
    </font>
    <font>
      <b/>
      <u/>
      <sz val="11"/>
      <color rgb="FF0000FF"/>
      <name val="Tahoma"/>
    </font>
    <font>
      <sz val="11"/>
      <color rgb="FFFFFFFF"/>
      <name val="Tahoma"/>
    </font>
    <font>
      <u/>
      <sz val="20"/>
      <color rgb="FF003366"/>
      <name val="Tahoma"/>
    </font>
    <font>
      <b/>
      <sz val="10"/>
      <color rgb="FF000000"/>
      <name val="Tahoma"/>
    </font>
    <font>
      <sz val="11"/>
      <color rgb="FF000000"/>
      <name val="Marlett"/>
    </font>
    <font>
      <sz val="10"/>
      <color rgb="FF000000"/>
      <name val="Tahoma"/>
    </font>
    <font>
      <sz val="14"/>
      <color rgb="FFBCBCBC"/>
      <name val="Calibri"/>
    </font>
    <font>
      <sz val="9"/>
      <color rgb="FF333399"/>
      <name val="Tahoma"/>
    </font>
    <font>
      <b/>
      <sz val="8"/>
      <color rgb="FFC0C0C0"/>
      <name val="Wingdings 2"/>
    </font>
    <font>
      <u/>
      <sz val="9"/>
      <color rgb="FF000080"/>
      <name val="Tahoma"/>
    </font>
    <font>
      <b/>
      <sz val="8"/>
      <color theme="0"/>
      <name val="Wingdings 2"/>
    </font>
    <font>
      <b/>
      <sz val="9"/>
      <color rgb="FFCC0000"/>
      <name val="Tahoma"/>
    </font>
    <font>
      <u/>
      <sz val="9"/>
      <name val="Tahoma"/>
    </font>
    <font>
      <sz val="9"/>
      <color rgb="FF000000"/>
      <name val="Tahoma"/>
    </font>
    <font>
      <b/>
      <sz val="9"/>
      <name val="Tahoma"/>
      <family val="2"/>
      <charset val="204"/>
    </font>
    <font>
      <sz val="9"/>
      <name val="Tahoma"/>
      <family val="2"/>
      <charset val="204"/>
    </font>
    <font>
      <vertAlign val="superscript"/>
      <sz val="9"/>
      <name val="Tahoma"/>
      <family val="2"/>
      <charset val="204"/>
    </font>
    <font>
      <sz val="9"/>
      <color indexed="81"/>
      <name val="Arial"/>
      <family val="2"/>
    </font>
    <font>
      <sz val="9"/>
      <color indexed="81"/>
      <name val="Tahoma"/>
      <family val="2"/>
    </font>
  </fonts>
  <fills count="31">
    <fill>
      <patternFill patternType="none"/>
    </fill>
    <fill>
      <patternFill patternType="gray125"/>
    </fill>
    <fill>
      <patternFill patternType="solid">
        <fgColor theme="5" tint="0.79998168889431442"/>
        <bgColor indexed="65"/>
      </patternFill>
    </fill>
    <fill>
      <patternFill patternType="solid">
        <fgColor theme="7" tint="0.79998168889431442"/>
        <bgColor indexed="65"/>
      </patternFill>
    </fill>
    <fill>
      <patternFill patternType="solid">
        <fgColor theme="9" tint="0.79998168889431442"/>
        <bgColor indexed="65"/>
      </patternFill>
    </fill>
    <fill>
      <patternFill patternType="solid">
        <fgColor theme="6" tint="0.39997558519241921"/>
        <bgColor indexed="65"/>
      </patternFill>
    </fill>
    <fill>
      <patternFill patternType="solid">
        <fgColor rgb="FFFFFF99"/>
      </patternFill>
    </fill>
    <fill>
      <patternFill patternType="solid">
        <fgColor rgb="FFD7EAD3"/>
      </patternFill>
    </fill>
    <fill>
      <patternFill patternType="solid">
        <fgColor rgb="FFFFFFFF"/>
      </patternFill>
    </fill>
    <fill>
      <patternFill patternType="solid">
        <fgColor rgb="FFFFFFC0"/>
      </patternFill>
    </fill>
    <fill>
      <patternFill patternType="lightDown">
        <fgColor rgb="FFC0C0C0"/>
      </patternFill>
    </fill>
    <fill>
      <patternFill patternType="solid">
        <fgColor rgb="FFFFB7B7"/>
      </patternFill>
    </fill>
    <fill>
      <patternFill patternType="solid">
        <fgColor rgb="FFE3FAFD"/>
      </patternFill>
    </fill>
    <fill>
      <patternFill patternType="solid">
        <fgColor rgb="FFB7E4FF"/>
      </patternFill>
    </fill>
    <fill>
      <patternFill patternType="solid">
        <fgColor rgb="FFC0C0C0"/>
      </patternFill>
    </fill>
    <fill>
      <patternFill patternType="solid">
        <fgColor theme="0"/>
      </patternFill>
    </fill>
    <fill>
      <patternFill patternType="solid">
        <fgColor rgb="FF8DB4E2"/>
      </patternFill>
    </fill>
    <fill>
      <patternFill patternType="solid">
        <fgColor theme="2" tint="-9.9978637043366805E-2"/>
        <bgColor indexed="65"/>
      </patternFill>
    </fill>
    <fill>
      <patternFill patternType="solid">
        <fgColor theme="9" tint="-0.249977111117893"/>
        <bgColor indexed="65"/>
      </patternFill>
    </fill>
    <fill>
      <patternFill patternType="solid">
        <fgColor theme="0" tint="-0.14999847407452621"/>
        <bgColor indexed="65"/>
      </patternFill>
    </fill>
    <fill>
      <patternFill patternType="solid">
        <fgColor rgb="FF0066CC"/>
      </patternFill>
    </fill>
    <fill>
      <patternFill patternType="solid">
        <fgColor rgb="FFFFFF00"/>
      </patternFill>
    </fill>
    <fill>
      <patternFill patternType="solid">
        <fgColor rgb="FFFF9900"/>
      </patternFill>
    </fill>
    <fill>
      <patternFill patternType="solid">
        <fgColor rgb="FF808000"/>
      </patternFill>
    </fill>
    <fill>
      <patternFill patternType="solid">
        <fgColor rgb="FFCC99FF"/>
      </patternFill>
    </fill>
    <fill>
      <patternFill patternType="lightDown">
        <fgColor rgb="FFB7E4FF"/>
        <bgColor rgb="FFFFFFFF"/>
      </patternFill>
    </fill>
    <fill>
      <patternFill patternType="solid">
        <fgColor rgb="FFD3DBDB"/>
      </patternFill>
    </fill>
    <fill>
      <patternFill patternType="solid">
        <fgColor rgb="FFCCCCFF"/>
      </patternFill>
    </fill>
    <fill>
      <patternFill patternType="solid">
        <fgColor rgb="FF00CCFF"/>
      </patternFill>
    </fill>
    <fill>
      <patternFill patternType="solid">
        <fgColor rgb="FFBCBCBC"/>
      </patternFill>
    </fill>
    <fill>
      <patternFill patternType="solid">
        <fgColor rgb="FFEAEBEE"/>
      </patternFill>
    </fill>
  </fills>
  <borders count="66">
    <border>
      <left/>
      <right/>
      <top/>
      <bottom/>
      <diagonal/>
    </border>
    <border>
      <left style="thin">
        <color rgb="FF000000"/>
      </left>
      <right style="thin">
        <color rgb="FF000000"/>
      </right>
      <top style="thin">
        <color rgb="FF000000"/>
      </top>
      <bottom style="thin">
        <color rgb="FF000000"/>
      </bottom>
      <diagonal/>
    </border>
    <border>
      <left style="thin">
        <color rgb="FFBCBCBC"/>
      </left>
      <right style="thin">
        <color rgb="FFBCBCBC"/>
      </right>
      <top style="thin">
        <color rgb="FFBCBCBC"/>
      </top>
      <bottom style="thin">
        <color rgb="FFBCBCBC"/>
      </bottom>
      <diagonal/>
    </border>
    <border>
      <left style="thin">
        <color rgb="FFC0C0C0"/>
      </left>
      <right style="thin">
        <color rgb="FFC0C0C0"/>
      </right>
      <top style="thin">
        <color rgb="FFC0C0C0"/>
      </top>
      <bottom style="thin">
        <color rgb="FFC0C0C0"/>
      </bottom>
      <diagonal/>
    </border>
    <border>
      <left/>
      <right style="thin">
        <color rgb="FFC0C0C0"/>
      </right>
      <top style="thin">
        <color rgb="FFC0C0C0"/>
      </top>
      <bottom style="thin">
        <color rgb="FFC0C0C0"/>
      </bottom>
      <diagonal/>
    </border>
    <border>
      <left style="thin">
        <color rgb="FFC0C0C0"/>
      </left>
      <right/>
      <top style="thin">
        <color rgb="FFC0C0C0"/>
      </top>
      <bottom style="thin">
        <color rgb="FFC0C0C0"/>
      </bottom>
      <diagonal/>
    </border>
    <border>
      <left/>
      <right/>
      <top style="thin">
        <color rgb="FFC0C0C0"/>
      </top>
      <bottom style="thin">
        <color rgb="FFC0C0C0"/>
      </bottom>
      <diagonal/>
    </border>
    <border>
      <left style="thin">
        <color rgb="FFD3DBDB"/>
      </left>
      <right style="thin">
        <color rgb="FFD3DBDB"/>
      </right>
      <top style="thin">
        <color rgb="FFD3DBDB"/>
      </top>
      <bottom style="thin">
        <color rgb="FFD3DBDB"/>
      </bottom>
      <diagonal/>
    </border>
    <border>
      <left style="thin">
        <color rgb="FFC0C0C0"/>
      </left>
      <right style="thin">
        <color rgb="FFC0C0C0"/>
      </right>
      <top style="thin">
        <color rgb="FFC0C0C0"/>
      </top>
      <bottom/>
      <diagonal/>
    </border>
    <border>
      <left/>
      <right/>
      <top style="dotted">
        <color rgb="FF000000"/>
      </top>
      <bottom style="dotted">
        <color rgb="FF000000"/>
      </bottom>
      <diagonal/>
    </border>
    <border>
      <left/>
      <right/>
      <top style="thin">
        <color rgb="FFC0C0C0"/>
      </top>
      <bottom/>
      <diagonal/>
    </border>
    <border>
      <left/>
      <right style="thin">
        <color rgb="FFC0C0C0"/>
      </right>
      <top style="thin">
        <color rgb="FFC0C0C0"/>
      </top>
      <bottom/>
      <diagonal/>
    </border>
    <border>
      <left/>
      <right/>
      <top style="thin">
        <color rgb="FFD3DBDB"/>
      </top>
      <bottom/>
      <diagonal/>
    </border>
    <border>
      <left style="thin">
        <color rgb="FFC0C0C0"/>
      </left>
      <right/>
      <top/>
      <bottom/>
      <diagonal/>
    </border>
    <border>
      <left style="thin">
        <color rgb="FFC0C0C0"/>
      </left>
      <right style="thin">
        <color rgb="FFC0C0C0"/>
      </right>
      <top/>
      <bottom style="thin">
        <color rgb="FFC0C0C0"/>
      </bottom>
      <diagonal/>
    </border>
    <border>
      <left/>
      <right style="thin">
        <color rgb="FFC0C0C0"/>
      </right>
      <top/>
      <bottom/>
      <diagonal/>
    </border>
    <border>
      <left style="thin">
        <color rgb="FFC0C0C0"/>
      </left>
      <right style="thin">
        <color rgb="FFC0C0C0"/>
      </right>
      <top style="thin">
        <color rgb="FFC0C0C0"/>
      </top>
      <bottom style="thin">
        <color rgb="FFBCBCBC"/>
      </bottom>
      <diagonal/>
    </border>
    <border>
      <left style="hair">
        <color rgb="FFC0C0C0"/>
      </left>
      <right/>
      <top style="hair">
        <color rgb="FFC0C0C0"/>
      </top>
      <bottom style="hair">
        <color rgb="FFC0C0C0"/>
      </bottom>
      <diagonal/>
    </border>
    <border>
      <left/>
      <right/>
      <top/>
      <bottom style="thin">
        <color rgb="FFC0C0C0"/>
      </bottom>
      <diagonal/>
    </border>
    <border>
      <left style="thin">
        <color theme="0" tint="-0.249977111117893"/>
      </left>
      <right style="thin">
        <color rgb="FFC0C0C0"/>
      </right>
      <top style="thin">
        <color rgb="FFC0C0C0"/>
      </top>
      <bottom style="thin">
        <color rgb="FFC0C0C0"/>
      </bottom>
      <diagonal/>
    </border>
    <border>
      <left/>
      <right style="thin">
        <color rgb="FFC0C0C0"/>
      </right>
      <top/>
      <bottom style="thin">
        <color rgb="FFC0C0C0"/>
      </bottom>
      <diagonal/>
    </border>
    <border>
      <left style="thin">
        <color rgb="FFC0C0C0"/>
      </left>
      <right/>
      <top/>
      <bottom style="thin">
        <color rgb="FFC0C0C0"/>
      </bottom>
      <diagonal/>
    </border>
    <border>
      <left style="thin">
        <color theme="0" tint="-0.249977111117893"/>
      </left>
      <right style="thin">
        <color theme="0" tint="-0.249977111117893"/>
      </right>
      <top style="thin">
        <color theme="0" tint="-0.249977111117893"/>
      </top>
      <bottom style="thin">
        <color theme="0" tint="-0.249977111117893"/>
      </bottom>
      <diagonal/>
    </border>
    <border>
      <left style="thin">
        <color theme="0" tint="-0.249977111117893"/>
      </left>
      <right style="thin">
        <color theme="0" tint="-0.249977111117893"/>
      </right>
      <top/>
      <bottom style="thin">
        <color theme="0" tint="-0.249977111117893"/>
      </bottom>
      <diagonal/>
    </border>
    <border>
      <left style="thin">
        <color theme="0" tint="-0.249977111117893"/>
      </left>
      <right/>
      <top style="thin">
        <color theme="0" tint="-0.249977111117893"/>
      </top>
      <bottom style="thin">
        <color theme="0" tint="-0.249977111117893"/>
      </bottom>
      <diagonal/>
    </border>
    <border>
      <left style="thin">
        <color theme="0" tint="-0.249977111117893"/>
      </left>
      <right/>
      <top/>
      <bottom style="thin">
        <color theme="0" tint="-0.249977111117893"/>
      </bottom>
      <diagonal/>
    </border>
    <border>
      <left style="thin">
        <color theme="0" tint="-0.249977111117893"/>
      </left>
      <right style="thin">
        <color theme="0" tint="-0.249977111117893"/>
      </right>
      <top style="thin">
        <color theme="0" tint="-0.249977111117893"/>
      </top>
      <bottom/>
      <diagonal/>
    </border>
    <border>
      <left style="thin">
        <color rgb="FFC0C0C0"/>
      </left>
      <right style="thin">
        <color rgb="FFC0C0C0"/>
      </right>
      <top/>
      <bottom/>
      <diagonal/>
    </border>
    <border>
      <left style="thin">
        <color rgb="FFC0C0C0"/>
      </left>
      <right/>
      <top style="thin">
        <color rgb="FFC0C0C0"/>
      </top>
      <bottom/>
      <diagonal/>
    </border>
    <border>
      <left style="thin">
        <color rgb="FFBCBCBC"/>
      </left>
      <right/>
      <top/>
      <bottom/>
      <diagonal/>
    </border>
    <border>
      <left/>
      <right/>
      <top/>
      <bottom style="thin">
        <color rgb="FFBCBCBC"/>
      </bottom>
      <diagonal/>
    </border>
    <border>
      <left style="thin">
        <color theme="0" tint="-0.249977111117893"/>
      </left>
      <right style="thin">
        <color theme="0" tint="-0.249977111117893"/>
      </right>
      <top/>
      <bottom/>
      <diagonal/>
    </border>
    <border>
      <left/>
      <right/>
      <top style="thin">
        <color rgb="FFBCBCBC"/>
      </top>
      <bottom style="thin">
        <color rgb="FFBCBCBC"/>
      </bottom>
      <diagonal/>
    </border>
    <border>
      <left style="thin">
        <color rgb="FFC0C0C0"/>
      </left>
      <right/>
      <top style="thin">
        <color rgb="FFBCBCBC"/>
      </top>
      <bottom style="thin">
        <color rgb="FFC0C0C0"/>
      </bottom>
      <diagonal/>
    </border>
    <border>
      <left/>
      <right/>
      <top style="thin">
        <color rgb="FFBCBCBC"/>
      </top>
      <bottom style="thin">
        <color rgb="FFC0C0C0"/>
      </bottom>
      <diagonal/>
    </border>
    <border>
      <left/>
      <right/>
      <top style="thin">
        <color rgb="FFD3DBDB"/>
      </top>
      <bottom style="thin">
        <color rgb="FFD3DBDB"/>
      </bottom>
      <diagonal/>
    </border>
    <border>
      <left style="thin">
        <color rgb="FFD3DBDB"/>
      </left>
      <right/>
      <top style="thin">
        <color rgb="FFD3DBDB"/>
      </top>
      <bottom style="thin">
        <color rgb="FFD3DBDB"/>
      </bottom>
      <diagonal/>
    </border>
    <border>
      <left style="thin">
        <color theme="0" tint="-0.34998626667073579"/>
      </left>
      <right style="thin">
        <color theme="0" tint="-0.34998626667073579"/>
      </right>
      <top style="thin">
        <color theme="0" tint="-0.34998626667073579"/>
      </top>
      <bottom style="thin">
        <color theme="0" tint="-0.34998626667073579"/>
      </bottom>
      <diagonal/>
    </border>
    <border>
      <left style="thin">
        <color rgb="FFBCBCBC"/>
      </left>
      <right/>
      <top style="medium">
        <color rgb="FFBCBCBC"/>
      </top>
      <bottom style="thin">
        <color rgb="FFC0C0C0"/>
      </bottom>
      <diagonal/>
    </border>
    <border>
      <left style="thin">
        <color rgb="FFBCBCBC"/>
      </left>
      <right/>
      <top style="medium">
        <color rgb="FFBCBCBC"/>
      </top>
      <bottom/>
      <diagonal/>
    </border>
    <border>
      <left/>
      <right/>
      <top style="medium">
        <color rgb="FFBCBCBC"/>
      </top>
      <bottom/>
      <diagonal/>
    </border>
    <border>
      <left/>
      <right/>
      <top/>
      <bottom style="medium">
        <color rgb="FFC0C0C0"/>
      </bottom>
      <diagonal/>
    </border>
    <border>
      <left/>
      <right/>
      <top style="thin">
        <color rgb="FFC0C0C0"/>
      </top>
      <bottom style="medium">
        <color rgb="FFC0C0C0"/>
      </bottom>
      <diagonal/>
    </border>
    <border>
      <left/>
      <right style="thin">
        <color theme="0" tint="-0.249977111117893"/>
      </right>
      <top style="thin">
        <color rgb="FFC0C0C0"/>
      </top>
      <bottom style="thin">
        <color rgb="FFC0C0C0"/>
      </bottom>
      <diagonal/>
    </border>
    <border>
      <left/>
      <right/>
      <top style="medium">
        <color rgb="FFBCBCBC"/>
      </top>
      <bottom style="thin">
        <color rgb="FFBCBCBC"/>
      </bottom>
      <diagonal/>
    </border>
    <border>
      <left/>
      <right style="thin">
        <color rgb="FFBCBCBC"/>
      </right>
      <top style="medium">
        <color rgb="FFBCBCBC"/>
      </top>
      <bottom style="thin">
        <color rgb="FFBCBCBC"/>
      </bottom>
      <diagonal/>
    </border>
    <border>
      <left/>
      <right/>
      <top style="medium">
        <color rgb="FFC0C0C0"/>
      </top>
      <bottom style="thin">
        <color rgb="FFC0C0C0"/>
      </bottom>
      <diagonal/>
    </border>
    <border>
      <left style="thin">
        <color rgb="FFC0C0C0"/>
      </left>
      <right/>
      <top style="thin">
        <color rgb="FFC0C0C0"/>
      </top>
      <bottom style="medium">
        <color rgb="FFC0C0C0"/>
      </bottom>
      <diagonal/>
    </border>
    <border>
      <left style="thin">
        <color theme="0" tint="-0.249977111117893"/>
      </left>
      <right style="thin">
        <color rgb="FFC0C0C0"/>
      </right>
      <top style="thin">
        <color rgb="FFC0C0C0"/>
      </top>
      <bottom/>
      <diagonal/>
    </border>
    <border>
      <left style="thin">
        <color theme="0" tint="-0.249977111117893"/>
      </left>
      <right/>
      <top style="thin">
        <color rgb="FFC0C0C0"/>
      </top>
      <bottom style="thin">
        <color rgb="FFC0C0C0"/>
      </bottom>
      <diagonal/>
    </border>
    <border>
      <left style="thin">
        <color theme="0" tint="-0.249977111117893"/>
      </left>
      <right/>
      <top style="thin">
        <color rgb="FFC0C0C0"/>
      </top>
      <bottom/>
      <diagonal/>
    </border>
    <border>
      <left style="thin">
        <color rgb="FFBCBCBC"/>
      </left>
      <right/>
      <top style="thin">
        <color rgb="FFBCBCBC"/>
      </top>
      <bottom/>
      <diagonal/>
    </border>
    <border>
      <left/>
      <right/>
      <top style="thin">
        <color rgb="FFBCBCBC"/>
      </top>
      <bottom/>
      <diagonal/>
    </border>
    <border>
      <left style="thin">
        <color rgb="FFBCBCBC"/>
      </left>
      <right/>
      <top/>
      <bottom style="thin">
        <color rgb="FFBCBCBC"/>
      </bottom>
      <diagonal/>
    </border>
    <border>
      <left style="thin">
        <color rgb="FF999999"/>
      </left>
      <right/>
      <top style="thin">
        <color rgb="FF999999"/>
      </top>
      <bottom style="thin">
        <color rgb="FF999999"/>
      </bottom>
      <diagonal/>
    </border>
    <border>
      <left/>
      <right/>
      <top style="thin">
        <color rgb="FF999999"/>
      </top>
      <bottom style="thin">
        <color rgb="FF999999"/>
      </bottom>
      <diagonal/>
    </border>
    <border>
      <left/>
      <right style="thin">
        <color rgb="FF999999"/>
      </right>
      <top style="thin">
        <color rgb="FF999999"/>
      </top>
      <bottom style="thin">
        <color rgb="FF999999"/>
      </bottom>
      <diagonal/>
    </border>
    <border>
      <left/>
      <right style="thin">
        <color rgb="FFBCBCBC"/>
      </right>
      <top/>
      <bottom/>
      <diagonal/>
    </border>
    <border>
      <left/>
      <right style="thin">
        <color rgb="FFBCBCBC"/>
      </right>
      <top style="thin">
        <color rgb="FFBCBCBC"/>
      </top>
      <bottom/>
      <diagonal/>
    </border>
    <border>
      <left style="thin">
        <color rgb="FFC0C0C0"/>
      </left>
      <right style="thin">
        <color rgb="FFC0C0C0"/>
      </right>
      <top style="thin">
        <color rgb="FFBCBCBC"/>
      </top>
      <bottom style="thin">
        <color rgb="FFBCBCBC"/>
      </bottom>
      <diagonal/>
    </border>
    <border>
      <left style="thin">
        <color rgb="FFC0C0C0"/>
      </left>
      <right/>
      <top style="thin">
        <color rgb="FFBCBCBC"/>
      </top>
      <bottom style="thin">
        <color rgb="FFBCBCBC"/>
      </bottom>
      <diagonal/>
    </border>
    <border>
      <left/>
      <right style="thin">
        <color rgb="FFC0C0C0"/>
      </right>
      <top style="thin">
        <color rgb="FFBCBCBC"/>
      </top>
      <bottom style="thin">
        <color rgb="FFBCBCBC"/>
      </bottom>
      <diagonal/>
    </border>
    <border>
      <left style="thin">
        <color rgb="FFBCBCBC"/>
      </left>
      <right/>
      <top style="thin">
        <color rgb="FFBCBCBC"/>
      </top>
      <bottom style="thin">
        <color rgb="FFBCBCBC"/>
      </bottom>
      <diagonal/>
    </border>
    <border>
      <left/>
      <right style="thin">
        <color rgb="FFBCBCBC"/>
      </right>
      <top style="thin">
        <color rgb="FFBCBCBC"/>
      </top>
      <bottom style="thin">
        <color rgb="FFBCBCBC"/>
      </bottom>
      <diagonal/>
    </border>
    <border>
      <left style="thin">
        <color rgb="FFBCBCBC"/>
      </left>
      <right/>
      <top style="thin">
        <color rgb="FFBCBCBC"/>
      </top>
      <bottom style="thin">
        <color rgb="FFC0C0C0"/>
      </bottom>
      <diagonal/>
    </border>
    <border>
      <left style="thin">
        <color rgb="FFC0C0C0"/>
      </left>
      <right style="thin">
        <color rgb="FFC0C0C0"/>
      </right>
      <top style="thin">
        <color rgb="FFC0C0C0"/>
      </top>
      <bottom style="medium">
        <color rgb="FFC0C0C0"/>
      </bottom>
      <diagonal/>
    </border>
  </borders>
  <cellStyleXfs count="16">
    <xf numFmtId="49" fontId="0" fillId="0" borderId="0" applyFill="0" applyBorder="0">
      <alignment vertical="top"/>
    </xf>
    <xf numFmtId="0" fontId="2" fillId="0" borderId="0" applyFill="0" applyBorder="0">
      <alignment vertical="top"/>
    </xf>
    <xf numFmtId="0" fontId="3" fillId="0" borderId="0" applyFill="0" applyBorder="0"/>
    <xf numFmtId="164" fontId="3" fillId="0" borderId="0" applyFill="0" applyBorder="0"/>
    <xf numFmtId="38" fontId="4" fillId="0" borderId="0" applyFill="0" applyBorder="0">
      <alignment vertical="top"/>
    </xf>
    <xf numFmtId="165" fontId="5" fillId="6" borderId="0" applyBorder="0">
      <protection locked="0"/>
    </xf>
    <xf numFmtId="0" fontId="6" fillId="0" borderId="0" applyFill="0" applyBorder="0">
      <alignment vertical="center"/>
    </xf>
    <xf numFmtId="166" fontId="5" fillId="6" borderId="0" applyBorder="0">
      <protection locked="0"/>
    </xf>
    <xf numFmtId="167" fontId="5" fillId="6" borderId="0" applyBorder="0">
      <protection locked="0"/>
    </xf>
    <xf numFmtId="0" fontId="7" fillId="0" borderId="0" applyFill="0" applyBorder="0">
      <alignment vertical="top"/>
    </xf>
    <xf numFmtId="0" fontId="8" fillId="0" borderId="0" applyFill="0" applyBorder="0"/>
    <xf numFmtId="49" fontId="5" fillId="0" borderId="0" applyFill="0" applyBorder="0">
      <alignment vertical="top"/>
    </xf>
    <xf numFmtId="0" fontId="10" fillId="0" borderId="0" applyFill="0" applyBorder="0"/>
    <xf numFmtId="49" fontId="110" fillId="0" borderId="0" applyFill="0" applyBorder="0">
      <alignment vertical="top"/>
    </xf>
    <xf numFmtId="0" fontId="11" fillId="0" borderId="0" applyFill="0" applyBorder="0"/>
    <xf numFmtId="0" fontId="12" fillId="0" borderId="0" applyFill="0" applyBorder="0">
      <alignment vertical="top"/>
    </xf>
  </cellStyleXfs>
  <cellXfs count="2467">
    <xf numFmtId="49" fontId="0" fillId="0" borderId="0" xfId="0" applyNumberFormat="1" applyFont="1">
      <alignment vertical="top"/>
    </xf>
    <xf numFmtId="0" fontId="11" fillId="0" borderId="0" xfId="14" applyFont="1"/>
    <xf numFmtId="49" fontId="0" fillId="0" borderId="0" xfId="13" applyNumberFormat="1" applyFont="1">
      <alignment vertical="top"/>
    </xf>
    <xf numFmtId="0" fontId="5" fillId="0" borderId="0" xfId="0" applyNumberFormat="1" applyFont="1" applyAlignment="1">
      <alignment vertical="top" wrapText="1"/>
    </xf>
    <xf numFmtId="49" fontId="0" fillId="0" borderId="0" xfId="0" applyNumberFormat="1" applyFont="1">
      <alignment vertical="top"/>
    </xf>
    <xf numFmtId="49" fontId="5" fillId="7" borderId="1" xfId="0" applyNumberFormat="1" applyFont="1" applyFill="1" applyBorder="1" applyAlignment="1">
      <alignment horizontal="center" vertical="top"/>
    </xf>
    <xf numFmtId="49" fontId="0" fillId="0" borderId="0" xfId="0" applyNumberFormat="1" applyFont="1">
      <alignment vertical="top"/>
    </xf>
    <xf numFmtId="0" fontId="5" fillId="0" borderId="0" xfId="0" applyNumberFormat="1" applyFont="1" applyAlignment="1"/>
    <xf numFmtId="0" fontId="5" fillId="8" borderId="0" xfId="0" applyNumberFormat="1" applyFont="1" applyFill="1" applyAlignment="1"/>
    <xf numFmtId="0" fontId="13" fillId="0" borderId="0" xfId="0" applyNumberFormat="1" applyFont="1" applyAlignment="1">
      <alignment vertical="center" wrapText="1"/>
    </xf>
    <xf numFmtId="0" fontId="14" fillId="0" borderId="0" xfId="0" applyNumberFormat="1" applyFont="1" applyAlignment="1">
      <alignment vertical="center" wrapText="1"/>
    </xf>
    <xf numFmtId="0" fontId="5" fillId="8" borderId="0" xfId="0" applyNumberFormat="1" applyFont="1" applyFill="1" applyAlignment="1">
      <alignment vertical="center" wrapText="1"/>
    </xf>
    <xf numFmtId="0" fontId="5" fillId="0" borderId="0" xfId="0" applyNumberFormat="1" applyFont="1" applyAlignment="1">
      <alignment vertical="center" wrapText="1"/>
    </xf>
    <xf numFmtId="0" fontId="15" fillId="8" borderId="0" xfId="0" applyNumberFormat="1" applyFont="1" applyFill="1" applyAlignment="1">
      <alignment vertical="center" wrapText="1"/>
    </xf>
    <xf numFmtId="0" fontId="5" fillId="8" borderId="0" xfId="0" applyNumberFormat="1" applyFont="1" applyFill="1" applyAlignment="1">
      <alignment horizontal="right" vertical="center" wrapText="1" indent="1"/>
    </xf>
    <xf numFmtId="0" fontId="5" fillId="8" borderId="0" xfId="0" applyNumberFormat="1" applyFont="1" applyFill="1" applyAlignment="1">
      <alignment horizontal="center" vertical="center" wrapText="1"/>
    </xf>
    <xf numFmtId="0" fontId="14" fillId="0" borderId="0" xfId="0" applyNumberFormat="1" applyFont="1" applyAlignment="1">
      <alignment horizontal="center" vertical="center" wrapText="1"/>
    </xf>
    <xf numFmtId="0" fontId="16" fillId="8" borderId="0" xfId="0" applyNumberFormat="1" applyFont="1" applyFill="1" applyAlignment="1">
      <alignment horizontal="center" vertical="center" wrapText="1"/>
    </xf>
    <xf numFmtId="0" fontId="5" fillId="0" borderId="0" xfId="0" applyNumberFormat="1" applyFont="1" applyAlignment="1">
      <alignment vertical="center"/>
    </xf>
    <xf numFmtId="49" fontId="5" fillId="8" borderId="0" xfId="0" applyNumberFormat="1" applyFont="1" applyFill="1" applyAlignment="1">
      <alignment horizontal="right" vertical="center" wrapText="1" indent="1"/>
    </xf>
    <xf numFmtId="49" fontId="15" fillId="8" borderId="0" xfId="0" applyNumberFormat="1" applyFont="1" applyFill="1" applyAlignment="1">
      <alignment horizontal="center" vertical="center" wrapText="1"/>
    </xf>
    <xf numFmtId="0" fontId="5" fillId="0" borderId="0" xfId="0" applyNumberFormat="1" applyFont="1" applyAlignment="1">
      <alignment vertical="center" wrapText="1"/>
    </xf>
    <xf numFmtId="0" fontId="5" fillId="8" borderId="0" xfId="0" applyNumberFormat="1" applyFont="1" applyFill="1" applyAlignment="1">
      <alignment vertical="center" wrapText="1"/>
    </xf>
    <xf numFmtId="0" fontId="5" fillId="8" borderId="0" xfId="0" applyNumberFormat="1" applyFont="1" applyFill="1" applyAlignment="1">
      <alignment horizontal="right" vertical="center" wrapText="1"/>
    </xf>
    <xf numFmtId="49" fontId="0" fillId="8" borderId="0" xfId="0" applyNumberFormat="1" applyFont="1" applyFill="1" applyAlignment="1">
      <alignment horizontal="right" vertical="center" wrapText="1" indent="1"/>
    </xf>
    <xf numFmtId="49" fontId="17" fillId="8" borderId="0" xfId="0" applyNumberFormat="1" applyFont="1" applyFill="1" applyAlignment="1">
      <alignment horizontal="center" vertical="center" wrapText="1"/>
    </xf>
    <xf numFmtId="49" fontId="0" fillId="0" borderId="0" xfId="0" applyNumberFormat="1" applyFont="1">
      <alignment vertical="top"/>
    </xf>
    <xf numFmtId="49" fontId="0" fillId="0" borderId="0" xfId="0" applyNumberFormat="1" applyFont="1">
      <alignment vertical="top"/>
    </xf>
    <xf numFmtId="0" fontId="18" fillId="8" borderId="0" xfId="0" applyNumberFormat="1" applyFont="1" applyFill="1" applyAlignment="1">
      <alignment horizontal="center" vertical="center" wrapText="1"/>
    </xf>
    <xf numFmtId="0" fontId="18" fillId="0" borderId="0" xfId="0" applyNumberFormat="1" applyFont="1" applyAlignment="1">
      <alignment horizontal="center" vertical="center"/>
    </xf>
    <xf numFmtId="0" fontId="18" fillId="8" borderId="0" xfId="0" applyNumberFormat="1" applyFont="1" applyFill="1" applyAlignment="1">
      <alignment horizontal="center" vertical="center"/>
    </xf>
    <xf numFmtId="49" fontId="19" fillId="0" borderId="2" xfId="0" applyNumberFormat="1" applyFont="1" applyBorder="1" applyAlignment="1">
      <alignment vertical="top" wrapText="1"/>
    </xf>
    <xf numFmtId="0" fontId="0" fillId="0" borderId="2" xfId="0" applyNumberFormat="1" applyFont="1" applyBorder="1" applyAlignment="1">
      <alignment vertical="top" wrapText="1"/>
    </xf>
    <xf numFmtId="0" fontId="5" fillId="8" borderId="0" xfId="0" applyNumberFormat="1" applyFont="1" applyFill="1" applyAlignment="1">
      <alignment horizontal="center" vertical="center" wrapText="1"/>
    </xf>
    <xf numFmtId="0" fontId="20" fillId="8" borderId="0" xfId="0" applyNumberFormat="1" applyFont="1" applyFill="1" applyAlignment="1">
      <alignment vertical="center" wrapText="1"/>
    </xf>
    <xf numFmtId="0" fontId="20" fillId="0" borderId="0" xfId="0" applyNumberFormat="1" applyFont="1" applyAlignment="1">
      <alignment vertical="center" wrapText="1"/>
    </xf>
    <xf numFmtId="0" fontId="13" fillId="0" borderId="0" xfId="0" applyNumberFormat="1" applyFont="1" applyAlignment="1">
      <alignment horizontal="left" vertical="center" wrapText="1"/>
    </xf>
    <xf numFmtId="49" fontId="13" fillId="0" borderId="0" xfId="0" applyNumberFormat="1" applyFont="1" applyAlignment="1">
      <alignment horizontal="left" vertical="center" wrapText="1"/>
    </xf>
    <xf numFmtId="0" fontId="0" fillId="0" borderId="0" xfId="0" applyNumberFormat="1" applyFont="1">
      <alignment vertical="top"/>
    </xf>
    <xf numFmtId="49" fontId="5" fillId="0" borderId="0" xfId="0" applyNumberFormat="1" applyFont="1" applyAlignment="1">
      <alignment vertical="center" wrapText="1"/>
    </xf>
    <xf numFmtId="49" fontId="5" fillId="0" borderId="0" xfId="0" applyNumberFormat="1" applyFont="1">
      <alignment vertical="top"/>
    </xf>
    <xf numFmtId="0" fontId="5" fillId="0" borderId="0" xfId="0" applyNumberFormat="1" applyFont="1" applyAlignment="1">
      <alignment vertical="center" wrapText="1"/>
    </xf>
    <xf numFmtId="0" fontId="0" fillId="0" borderId="0" xfId="0" applyNumberFormat="1" applyFont="1" applyAlignment="1">
      <alignment vertical="center"/>
    </xf>
    <xf numFmtId="0" fontId="5" fillId="8" borderId="3" xfId="0" applyNumberFormat="1" applyFont="1" applyFill="1" applyBorder="1" applyAlignment="1">
      <alignment horizontal="center" vertical="center" wrapText="1"/>
    </xf>
    <xf numFmtId="49" fontId="5" fillId="9" borderId="3" xfId="0" applyNumberFormat="1" applyFont="1" applyFill="1" applyBorder="1" applyAlignment="1" applyProtection="1">
      <alignment horizontal="left" vertical="center" wrapText="1"/>
      <protection locked="0"/>
    </xf>
    <xf numFmtId="49" fontId="21" fillId="10" borderId="4" xfId="0" applyNumberFormat="1" applyFont="1" applyFill="1" applyBorder="1" applyAlignment="1">
      <alignment horizontal="left" vertical="center"/>
    </xf>
    <xf numFmtId="0" fontId="0" fillId="0" borderId="3" xfId="0" applyNumberFormat="1" applyFont="1" applyBorder="1" applyAlignment="1">
      <alignment horizontal="center" vertical="center" wrapText="1"/>
    </xf>
    <xf numFmtId="0" fontId="5" fillId="10" borderId="5" xfId="0" applyNumberFormat="1" applyFont="1" applyFill="1" applyBorder="1" applyAlignment="1">
      <alignment vertical="center" wrapText="1"/>
    </xf>
    <xf numFmtId="0" fontId="5" fillId="0" borderId="3" xfId="0" applyNumberFormat="1" applyFont="1" applyBorder="1" applyAlignment="1">
      <alignment horizontal="center" vertical="center" wrapText="1"/>
    </xf>
    <xf numFmtId="0" fontId="22" fillId="0" borderId="0" xfId="0" applyNumberFormat="1" applyFont="1" applyAlignment="1">
      <alignment vertical="center"/>
    </xf>
    <xf numFmtId="49" fontId="5" fillId="0" borderId="3" xfId="0" applyNumberFormat="1" applyFont="1" applyBorder="1" applyAlignment="1">
      <alignment horizontal="center" vertical="center" wrapText="1"/>
    </xf>
    <xf numFmtId="0" fontId="5" fillId="8" borderId="3" xfId="0" applyNumberFormat="1" applyFont="1" applyFill="1" applyBorder="1" applyAlignment="1">
      <alignment horizontal="center" vertical="center"/>
    </xf>
    <xf numFmtId="49" fontId="5" fillId="9" borderId="3" xfId="0" applyNumberFormat="1" applyFont="1" applyFill="1" applyBorder="1" applyAlignment="1" applyProtection="1">
      <alignment horizontal="left" vertical="center" wrapText="1"/>
      <protection locked="0"/>
    </xf>
    <xf numFmtId="0" fontId="13" fillId="0" borderId="0" xfId="0" applyNumberFormat="1" applyFont="1" applyAlignment="1">
      <alignment vertical="center" wrapText="1"/>
    </xf>
    <xf numFmtId="0" fontId="23" fillId="0" borderId="0" xfId="0" applyNumberFormat="1" applyFont="1" applyAlignment="1">
      <alignment vertical="center" wrapText="1"/>
    </xf>
    <xf numFmtId="49" fontId="5" fillId="0" borderId="0" xfId="0" applyNumberFormat="1" applyFont="1">
      <alignment vertical="top"/>
    </xf>
    <xf numFmtId="49" fontId="13" fillId="0" borderId="0" xfId="0" applyNumberFormat="1" applyFont="1">
      <alignment vertical="top"/>
    </xf>
    <xf numFmtId="49" fontId="5" fillId="0" borderId="0" xfId="0" applyNumberFormat="1" applyFont="1">
      <alignment vertical="top"/>
    </xf>
    <xf numFmtId="49" fontId="18" fillId="0" borderId="0" xfId="0" applyNumberFormat="1" applyFont="1" applyAlignment="1">
      <alignment horizontal="center" vertical="center"/>
    </xf>
    <xf numFmtId="49" fontId="5" fillId="0" borderId="0" xfId="0" applyNumberFormat="1" applyFont="1">
      <alignment vertical="top"/>
    </xf>
    <xf numFmtId="0" fontId="5" fillId="8" borderId="0" xfId="0" applyNumberFormat="1" applyFont="1" applyFill="1" applyAlignment="1"/>
    <xf numFmtId="0" fontId="24" fillId="8" borderId="0" xfId="0" applyNumberFormat="1" applyFont="1" applyFill="1" applyAlignment="1">
      <alignment horizontal="center" vertical="center" wrapText="1"/>
    </xf>
    <xf numFmtId="0" fontId="13" fillId="8" borderId="0" xfId="0" applyNumberFormat="1" applyFont="1" applyFill="1" applyAlignment="1"/>
    <xf numFmtId="49" fontId="5" fillId="0" borderId="0" xfId="0" applyNumberFormat="1" applyFont="1">
      <alignment vertical="top"/>
    </xf>
    <xf numFmtId="49" fontId="18" fillId="0" borderId="0" xfId="0" applyNumberFormat="1" applyFont="1" applyAlignment="1">
      <alignment horizontal="center" vertical="center" wrapText="1"/>
    </xf>
    <xf numFmtId="0" fontId="5" fillId="8" borderId="3" xfId="0" applyNumberFormat="1" applyFont="1" applyFill="1" applyBorder="1" applyAlignment="1">
      <alignment horizontal="center" vertical="center" wrapText="1"/>
    </xf>
    <xf numFmtId="49" fontId="5" fillId="0" borderId="3" xfId="0" applyNumberFormat="1" applyFont="1" applyBorder="1" applyAlignment="1">
      <alignment horizontal="center" vertical="center" wrapText="1"/>
    </xf>
    <xf numFmtId="49" fontId="25" fillId="10" borderId="6" xfId="0" applyNumberFormat="1" applyFont="1" applyFill="1" applyBorder="1" applyAlignment="1">
      <alignment horizontal="center" vertical="top"/>
    </xf>
    <xf numFmtId="49" fontId="21" fillId="10" borderId="6" xfId="0" applyNumberFormat="1" applyFont="1" applyFill="1" applyBorder="1" applyAlignment="1">
      <alignment horizontal="left" vertical="center"/>
    </xf>
    <xf numFmtId="0" fontId="22" fillId="0" borderId="0" xfId="0" applyNumberFormat="1" applyFont="1" applyAlignment="1">
      <alignment vertical="center"/>
    </xf>
    <xf numFmtId="0" fontId="0" fillId="0" borderId="0" xfId="0" applyNumberFormat="1" applyFont="1" applyAlignment="1">
      <alignment horizontal="center" vertical="center" wrapText="1"/>
    </xf>
    <xf numFmtId="49" fontId="5" fillId="0" borderId="0" xfId="0" applyNumberFormat="1" applyFont="1" applyAlignment="1">
      <alignment horizontal="center" vertical="center" wrapText="1"/>
    </xf>
    <xf numFmtId="49" fontId="5" fillId="0" borderId="0" xfId="0" applyNumberFormat="1" applyFont="1" applyAlignment="1">
      <alignment vertical="center" wrapText="1"/>
    </xf>
    <xf numFmtId="0" fontId="18" fillId="8" borderId="0" xfId="0" applyNumberFormat="1" applyFont="1" applyFill="1" applyAlignment="1">
      <alignment horizontal="center" vertical="center" wrapText="1"/>
    </xf>
    <xf numFmtId="49" fontId="26" fillId="0" borderId="0" xfId="0" applyNumberFormat="1" applyFont="1" applyAlignment="1">
      <alignment horizontal="right" vertical="top"/>
    </xf>
    <xf numFmtId="49" fontId="26" fillId="0" borderId="0" xfId="0" applyNumberFormat="1" applyFont="1">
      <alignment vertical="top"/>
    </xf>
    <xf numFmtId="0" fontId="5" fillId="0" borderId="0" xfId="0" applyNumberFormat="1" applyFont="1" applyAlignment="1">
      <alignment horizontal="center" vertical="center" wrapText="1"/>
    </xf>
    <xf numFmtId="49" fontId="5" fillId="0" borderId="0" xfId="0" applyNumberFormat="1" applyFont="1">
      <alignment vertical="top"/>
    </xf>
    <xf numFmtId="0" fontId="0" fillId="0" borderId="0" xfId="0" applyNumberFormat="1" applyFont="1" applyAlignment="1">
      <alignment vertical="center"/>
    </xf>
    <xf numFmtId="0" fontId="27" fillId="0" borderId="0" xfId="0" applyNumberFormat="1" applyFont="1" applyAlignment="1">
      <alignment vertical="center" wrapText="1"/>
    </xf>
    <xf numFmtId="49" fontId="5" fillId="0" borderId="7" xfId="0" applyNumberFormat="1" applyFont="1" applyBorder="1">
      <alignment vertical="top"/>
    </xf>
    <xf numFmtId="49" fontId="28" fillId="0" borderId="0" xfId="0" applyNumberFormat="1" applyFont="1">
      <alignment vertical="top"/>
    </xf>
    <xf numFmtId="0" fontId="28" fillId="0" borderId="0" xfId="0" applyNumberFormat="1" applyFont="1" applyAlignment="1">
      <alignment vertical="center" wrapText="1"/>
    </xf>
    <xf numFmtId="49" fontId="0" fillId="8" borderId="3" xfId="0" applyNumberFormat="1" applyFont="1" applyFill="1" applyBorder="1" applyAlignment="1">
      <alignment horizontal="center" vertical="center" wrapText="1"/>
    </xf>
    <xf numFmtId="0" fontId="13" fillId="0" borderId="0" xfId="0" applyNumberFormat="1" applyFont="1" applyAlignment="1">
      <alignment horizontal="left" vertical="center" wrapText="1"/>
    </xf>
    <xf numFmtId="49" fontId="5" fillId="0" borderId="3" xfId="0" applyNumberFormat="1" applyFont="1" applyBorder="1" applyAlignment="1">
      <alignment horizontal="left" vertical="center" wrapText="1"/>
    </xf>
    <xf numFmtId="0" fontId="5" fillId="8" borderId="8" xfId="0" applyNumberFormat="1" applyFont="1" applyFill="1" applyBorder="1" applyAlignment="1">
      <alignment horizontal="center" vertical="center"/>
    </xf>
    <xf numFmtId="0" fontId="5" fillId="0" borderId="3" xfId="0" applyNumberFormat="1" applyFont="1" applyBorder="1" applyAlignment="1">
      <alignment vertical="center" wrapText="1"/>
    </xf>
    <xf numFmtId="0" fontId="29" fillId="0" borderId="0" xfId="0" applyNumberFormat="1" applyFont="1" applyAlignment="1">
      <alignment vertical="center" wrapText="1"/>
    </xf>
    <xf numFmtId="0" fontId="29" fillId="0" borderId="0" xfId="0" applyNumberFormat="1" applyFont="1" applyAlignment="1">
      <alignment vertical="center"/>
    </xf>
    <xf numFmtId="0" fontId="30" fillId="0" borderId="0" xfId="0" applyNumberFormat="1" applyFont="1" applyAlignment="1">
      <alignment vertical="center"/>
    </xf>
    <xf numFmtId="0" fontId="29" fillId="0" borderId="0" xfId="0" applyNumberFormat="1" applyFont="1" applyAlignment="1">
      <alignment vertical="center"/>
    </xf>
    <xf numFmtId="0" fontId="29" fillId="0" borderId="0" xfId="0" applyNumberFormat="1" applyFont="1" applyAlignment="1">
      <alignment vertical="center"/>
    </xf>
    <xf numFmtId="0" fontId="0" fillId="0" borderId="0" xfId="0" applyNumberFormat="1" applyFont="1" applyAlignment="1">
      <alignment vertical="top" wrapText="1"/>
    </xf>
    <xf numFmtId="49" fontId="5" fillId="0" borderId="3" xfId="0" applyNumberFormat="1" applyFont="1" applyBorder="1" applyAlignment="1">
      <alignment horizontal="center" vertical="center" wrapText="1"/>
    </xf>
    <xf numFmtId="0" fontId="27" fillId="0" borderId="9" xfId="0" applyNumberFormat="1" applyFont="1" applyBorder="1" applyAlignment="1">
      <alignment vertical="top" wrapText="1"/>
    </xf>
    <xf numFmtId="49" fontId="0" fillId="0" borderId="3" xfId="0" applyNumberFormat="1" applyFont="1" applyBorder="1" applyAlignment="1">
      <alignment vertical="top" wrapText="1"/>
    </xf>
    <xf numFmtId="0" fontId="0" fillId="0" borderId="3" xfId="0" applyNumberFormat="1" applyFont="1" applyBorder="1" applyAlignment="1">
      <alignment vertical="top" wrapText="1"/>
    </xf>
    <xf numFmtId="0" fontId="1" fillId="0" borderId="0" xfId="0" applyNumberFormat="1" applyFont="1" applyAlignment="1"/>
    <xf numFmtId="0" fontId="0" fillId="0" borderId="0" xfId="0" applyNumberFormat="1" applyFont="1" applyAlignment="1"/>
    <xf numFmtId="0" fontId="18" fillId="0" borderId="0" xfId="0" applyNumberFormat="1" applyFont="1" applyAlignment="1">
      <alignment horizontal="center" vertical="center" wrapText="1"/>
    </xf>
    <xf numFmtId="0" fontId="18" fillId="0" borderId="0" xfId="0" applyNumberFormat="1" applyFont="1" applyAlignment="1">
      <alignment horizontal="center" vertical="center" wrapText="1"/>
    </xf>
    <xf numFmtId="0" fontId="5" fillId="0" borderId="0" xfId="0" applyNumberFormat="1" applyFont="1" applyAlignment="1">
      <alignment horizontal="right" vertical="center" wrapText="1"/>
    </xf>
    <xf numFmtId="4" fontId="5" fillId="0" borderId="0" xfId="0" applyNumberFormat="1" applyFont="1" applyAlignment="1">
      <alignment horizontal="right" vertical="center" wrapText="1"/>
    </xf>
    <xf numFmtId="0" fontId="5" fillId="0" borderId="0" xfId="0" applyNumberFormat="1" applyFont="1" applyAlignment="1">
      <alignment horizontal="left" vertical="center" wrapText="1" indent="1"/>
    </xf>
    <xf numFmtId="49" fontId="5" fillId="0" borderId="0" xfId="0" applyNumberFormat="1" applyFont="1">
      <alignment vertical="top"/>
    </xf>
    <xf numFmtId="4" fontId="5" fillId="0" borderId="0" xfId="0" applyNumberFormat="1" applyFont="1" applyAlignment="1">
      <alignment horizontal="center" vertical="center" wrapText="1"/>
    </xf>
    <xf numFmtId="0" fontId="28" fillId="0" borderId="0" xfId="0" applyNumberFormat="1" applyFont="1" applyAlignment="1">
      <alignment vertical="center"/>
    </xf>
    <xf numFmtId="169" fontId="5" fillId="0" borderId="3" xfId="0" applyNumberFormat="1" applyFont="1" applyBorder="1" applyAlignment="1">
      <alignment horizontal="center" vertical="center" wrapText="1"/>
    </xf>
    <xf numFmtId="49" fontId="28" fillId="10" borderId="10" xfId="0" applyNumberFormat="1" applyFont="1" applyFill="1" applyBorder="1" applyAlignment="1">
      <alignment horizontal="left" vertical="center" wrapText="1"/>
    </xf>
    <xf numFmtId="49" fontId="0" fillId="10" borderId="6" xfId="0" applyNumberFormat="1" applyFont="1" applyFill="1" applyBorder="1" applyAlignment="1">
      <alignment horizontal="left" vertical="center"/>
    </xf>
    <xf numFmtId="49" fontId="28" fillId="10" borderId="11" xfId="0" applyNumberFormat="1" applyFont="1" applyFill="1" applyBorder="1" applyAlignment="1">
      <alignment horizontal="left" vertical="center" wrapText="1"/>
    </xf>
    <xf numFmtId="0" fontId="17" fillId="0" borderId="0" xfId="0" applyNumberFormat="1" applyFont="1" applyAlignment="1">
      <alignment horizontal="center" vertical="center" wrapText="1"/>
    </xf>
    <xf numFmtId="49" fontId="31" fillId="10" borderId="6" xfId="0" applyNumberFormat="1" applyFont="1" applyFill="1" applyBorder="1" applyAlignment="1">
      <alignment horizontal="right" vertical="center" wrapText="1"/>
    </xf>
    <xf numFmtId="49" fontId="5" fillId="10" borderId="6" xfId="0" applyNumberFormat="1" applyFont="1" applyFill="1" applyBorder="1" applyAlignment="1">
      <alignment horizontal="right" vertical="center" wrapText="1"/>
    </xf>
    <xf numFmtId="49" fontId="5" fillId="10" borderId="4" xfId="0" applyNumberFormat="1" applyFont="1" applyFill="1" applyBorder="1" applyAlignment="1">
      <alignment horizontal="right" vertical="center" wrapText="1"/>
    </xf>
    <xf numFmtId="0" fontId="5" fillId="0" borderId="12" xfId="0" applyNumberFormat="1" applyFont="1" applyBorder="1" applyAlignment="1">
      <alignment vertical="center" wrapText="1"/>
    </xf>
    <xf numFmtId="0" fontId="26" fillId="0" borderId="0" xfId="0" applyNumberFormat="1" applyFont="1" applyAlignment="1">
      <alignment vertical="center" wrapText="1"/>
    </xf>
    <xf numFmtId="0" fontId="32" fillId="0" borderId="0" xfId="0" applyNumberFormat="1" applyFont="1" applyAlignment="1">
      <alignment horizontal="center" vertical="center" wrapText="1"/>
    </xf>
    <xf numFmtId="49" fontId="0" fillId="8" borderId="0" xfId="0" applyNumberFormat="1" applyFont="1" applyFill="1">
      <alignment vertical="top"/>
    </xf>
    <xf numFmtId="49" fontId="33" fillId="11" borderId="0" xfId="0" applyNumberFormat="1" applyFont="1" applyFill="1">
      <alignment vertical="top"/>
    </xf>
    <xf numFmtId="49" fontId="33" fillId="0" borderId="0" xfId="0" applyNumberFormat="1" applyFont="1">
      <alignment vertical="top"/>
    </xf>
    <xf numFmtId="0" fontId="28" fillId="0" borderId="0" xfId="0" applyNumberFormat="1" applyFont="1" applyAlignment="1">
      <alignment vertical="center"/>
    </xf>
    <xf numFmtId="49" fontId="0" fillId="10" borderId="6" xfId="0" applyNumberFormat="1" applyFont="1" applyFill="1" applyBorder="1" applyAlignment="1">
      <alignment horizontal="right" vertical="center" wrapText="1"/>
    </xf>
    <xf numFmtId="49" fontId="0" fillId="0" borderId="0" xfId="0" applyNumberFormat="1" applyFont="1">
      <alignment vertical="top"/>
    </xf>
    <xf numFmtId="0" fontId="31" fillId="0" borderId="2" xfId="0" applyNumberFormat="1" applyFont="1" applyBorder="1" applyAlignment="1">
      <alignment vertical="center" wrapText="1"/>
    </xf>
    <xf numFmtId="0" fontId="27" fillId="0" borderId="0" xfId="0" applyNumberFormat="1" applyFont="1" applyAlignment="1">
      <alignment vertical="top" wrapText="1"/>
    </xf>
    <xf numFmtId="0" fontId="5" fillId="0" borderId="2" xfId="0" applyNumberFormat="1" applyFont="1" applyBorder="1" applyAlignment="1">
      <alignment vertical="center" wrapText="1"/>
    </xf>
    <xf numFmtId="49" fontId="5" fillId="0" borderId="0" xfId="0" applyNumberFormat="1" applyFont="1">
      <alignment vertical="top"/>
    </xf>
    <xf numFmtId="0" fontId="5" fillId="8" borderId="0" xfId="0" applyNumberFormat="1" applyFont="1" applyFill="1" applyAlignment="1">
      <alignment horizontal="right" vertical="center"/>
    </xf>
    <xf numFmtId="0" fontId="0" fillId="0" borderId="3" xfId="0" applyNumberFormat="1" applyFont="1" applyBorder="1" applyAlignment="1">
      <alignment horizontal="left" vertical="center" wrapText="1" indent="1"/>
    </xf>
    <xf numFmtId="0" fontId="0" fillId="12" borderId="3" xfId="0" applyNumberFormat="1" applyFont="1" applyFill="1" applyBorder="1" applyAlignment="1" applyProtection="1">
      <alignment horizontal="left" vertical="center" wrapText="1" indent="2"/>
      <protection locked="0"/>
    </xf>
    <xf numFmtId="49" fontId="29" fillId="0" borderId="0" xfId="0" applyNumberFormat="1" applyFont="1">
      <alignment vertical="top"/>
    </xf>
    <xf numFmtId="0" fontId="0" fillId="0" borderId="3" xfId="0" applyNumberFormat="1" applyFont="1" applyBorder="1" applyAlignment="1">
      <alignment vertical="center" wrapText="1"/>
    </xf>
    <xf numFmtId="0" fontId="0" fillId="0" borderId="3" xfId="0" applyNumberFormat="1" applyFont="1" applyBorder="1" applyAlignment="1">
      <alignment horizontal="center" vertical="center" wrapText="1"/>
    </xf>
    <xf numFmtId="0" fontId="0" fillId="12" borderId="3" xfId="0" applyNumberFormat="1" applyFont="1" applyFill="1" applyBorder="1" applyAlignment="1" applyProtection="1">
      <alignment horizontal="left" vertical="center" wrapText="1" indent="1"/>
      <protection locked="0"/>
    </xf>
    <xf numFmtId="49" fontId="21" fillId="10" borderId="6" xfId="0" applyNumberFormat="1" applyFont="1" applyFill="1" applyBorder="1" applyAlignment="1">
      <alignment horizontal="left" vertical="center" indent="3"/>
    </xf>
    <xf numFmtId="49" fontId="25" fillId="10" borderId="4" xfId="0" applyNumberFormat="1" applyFont="1" applyFill="1" applyBorder="1" applyAlignment="1">
      <alignment horizontal="center" vertical="top"/>
    </xf>
    <xf numFmtId="0" fontId="27" fillId="0" borderId="0" xfId="0" applyNumberFormat="1" applyFont="1" applyAlignment="1">
      <alignment horizontal="right" vertical="top" wrapText="1"/>
    </xf>
    <xf numFmtId="49" fontId="21" fillId="10" borderId="6" xfId="0" applyNumberFormat="1" applyFont="1" applyFill="1" applyBorder="1" applyAlignment="1">
      <alignment horizontal="left" vertical="center" indent="1"/>
    </xf>
    <xf numFmtId="49" fontId="21" fillId="10" borderId="6" xfId="0" applyNumberFormat="1" applyFont="1" applyFill="1" applyBorder="1" applyAlignment="1">
      <alignment horizontal="left" vertical="center" indent="2"/>
    </xf>
    <xf numFmtId="0" fontId="0" fillId="0" borderId="3" xfId="0" applyNumberFormat="1" applyFont="1" applyBorder="1" applyAlignment="1">
      <alignment horizontal="left" vertical="center" wrapText="1" indent="1"/>
    </xf>
    <xf numFmtId="0" fontId="0" fillId="0" borderId="3" xfId="0" applyNumberFormat="1" applyFont="1" applyBorder="1" applyAlignment="1">
      <alignment horizontal="left" vertical="center" wrapText="1" indent="2"/>
    </xf>
    <xf numFmtId="49" fontId="5" fillId="13" borderId="3" xfId="0" applyNumberFormat="1" applyFont="1" applyFill="1" applyBorder="1" applyAlignment="1">
      <alignment horizontal="left" vertical="center" wrapText="1"/>
    </xf>
    <xf numFmtId="0" fontId="5" fillId="0" borderId="3" xfId="0" applyNumberFormat="1" applyFont="1" applyBorder="1" applyAlignment="1">
      <alignment vertical="top" wrapText="1"/>
    </xf>
    <xf numFmtId="0" fontId="18" fillId="0" borderId="0" xfId="0" applyNumberFormat="1" applyFont="1" applyAlignment="1">
      <alignment horizontal="center" vertical="center" wrapText="1"/>
    </xf>
    <xf numFmtId="49" fontId="0" fillId="0" borderId="8" xfId="0" applyNumberFormat="1" applyFont="1" applyBorder="1">
      <alignment vertical="top"/>
    </xf>
    <xf numFmtId="0" fontId="29" fillId="0" borderId="0" xfId="0" applyNumberFormat="1" applyFont="1" applyAlignment="1">
      <alignment vertical="center"/>
    </xf>
    <xf numFmtId="0" fontId="34" fillId="0" borderId="0" xfId="0" applyNumberFormat="1" applyFont="1" applyAlignment="1">
      <alignment vertical="center"/>
    </xf>
    <xf numFmtId="49" fontId="35" fillId="12" borderId="3" xfId="0" applyNumberFormat="1" applyFont="1" applyFill="1" applyBorder="1" applyAlignment="1" applyProtection="1">
      <alignment horizontal="left" vertical="center" wrapText="1"/>
      <protection locked="0"/>
    </xf>
    <xf numFmtId="49" fontId="25" fillId="10" borderId="4" xfId="0" applyNumberFormat="1" applyFont="1" applyFill="1" applyBorder="1" applyAlignment="1">
      <alignment horizontal="center" vertical="top"/>
    </xf>
    <xf numFmtId="0" fontId="0" fillId="7" borderId="3" xfId="0" applyNumberFormat="1" applyFont="1" applyFill="1" applyBorder="1" applyAlignment="1">
      <alignment horizontal="left" vertical="center" wrapText="1" indent="1"/>
    </xf>
    <xf numFmtId="49" fontId="5" fillId="12" borderId="3" xfId="0" applyNumberFormat="1" applyFont="1" applyFill="1" applyBorder="1" applyAlignment="1" applyProtection="1">
      <alignment horizontal="left" vertical="center" wrapText="1" indent="1"/>
      <protection locked="0"/>
    </xf>
    <xf numFmtId="49" fontId="5" fillId="7" borderId="3" xfId="0" applyNumberFormat="1" applyFont="1" applyFill="1" applyBorder="1" applyAlignment="1">
      <alignment horizontal="left" vertical="center" wrapText="1" indent="1"/>
    </xf>
    <xf numFmtId="49" fontId="5" fillId="0" borderId="3" xfId="0" applyNumberFormat="1" applyFont="1" applyBorder="1" applyAlignment="1">
      <alignment horizontal="left" vertical="center" wrapText="1" indent="1"/>
    </xf>
    <xf numFmtId="0" fontId="5" fillId="0" borderId="3" xfId="0" applyNumberFormat="1" applyFont="1" applyBorder="1" applyAlignment="1">
      <alignment horizontal="center" vertical="center" wrapText="1"/>
    </xf>
    <xf numFmtId="0" fontId="27" fillId="0" borderId="0" xfId="0" applyNumberFormat="1" applyFont="1" applyAlignment="1">
      <alignment vertical="center" wrapText="1"/>
    </xf>
    <xf numFmtId="0" fontId="29" fillId="0" borderId="0" xfId="0" applyNumberFormat="1" applyFont="1" applyAlignment="1">
      <alignment horizontal="center" vertical="center" wrapText="1"/>
    </xf>
    <xf numFmtId="0" fontId="0" fillId="0" borderId="3" xfId="0" applyNumberFormat="1" applyFont="1" applyBorder="1" applyAlignment="1">
      <alignment horizontal="left" vertical="center" wrapText="1"/>
    </xf>
    <xf numFmtId="49" fontId="17" fillId="0" borderId="6" xfId="0" applyNumberFormat="1" applyFont="1" applyBorder="1" applyAlignment="1">
      <alignment horizontal="center" vertical="center" wrapText="1"/>
    </xf>
    <xf numFmtId="0" fontId="36" fillId="0" borderId="0" xfId="0" applyNumberFormat="1" applyFont="1" applyAlignment="1">
      <alignment vertical="center"/>
    </xf>
    <xf numFmtId="0" fontId="37" fillId="0" borderId="0" xfId="0" applyNumberFormat="1" applyFont="1" applyAlignment="1">
      <alignment vertical="center"/>
    </xf>
    <xf numFmtId="0" fontId="29" fillId="0" borderId="0" xfId="0" applyNumberFormat="1" applyFont="1" applyAlignment="1">
      <alignment vertical="center"/>
    </xf>
    <xf numFmtId="0" fontId="29" fillId="0" borderId="0" xfId="0" applyNumberFormat="1" applyFont="1" applyAlignment="1">
      <alignment horizontal="left" vertical="center" wrapText="1" indent="1"/>
    </xf>
    <xf numFmtId="0" fontId="28" fillId="0" borderId="0" xfId="0" applyNumberFormat="1" applyFont="1" applyAlignment="1">
      <alignment horizontal="left" vertical="center" wrapText="1" indent="1"/>
    </xf>
    <xf numFmtId="0" fontId="38" fillId="0" borderId="0" xfId="0" applyNumberFormat="1" applyFont="1" applyAlignment="1">
      <alignment horizontal="left" vertical="center" wrapText="1" indent="1"/>
    </xf>
    <xf numFmtId="0" fontId="39" fillId="0" borderId="0" xfId="0" applyNumberFormat="1" applyFont="1" applyAlignment="1">
      <alignment horizontal="left" vertical="center" indent="1"/>
    </xf>
    <xf numFmtId="0" fontId="38" fillId="0" borderId="0" xfId="0" applyNumberFormat="1" applyFont="1" applyAlignment="1">
      <alignment vertical="center" wrapText="1"/>
    </xf>
    <xf numFmtId="0" fontId="40" fillId="0" borderId="0" xfId="0" applyNumberFormat="1" applyFont="1" applyAlignment="1">
      <alignment horizontal="left" vertical="center" wrapText="1"/>
    </xf>
    <xf numFmtId="0" fontId="41" fillId="0" borderId="0" xfId="0" applyNumberFormat="1" applyFont="1" applyAlignment="1">
      <alignment vertical="center" wrapText="1"/>
    </xf>
    <xf numFmtId="0" fontId="42" fillId="8" borderId="0" xfId="0" applyNumberFormat="1" applyFont="1" applyFill="1" applyAlignment="1">
      <alignment vertical="center" wrapText="1"/>
    </xf>
    <xf numFmtId="0" fontId="43" fillId="8" borderId="0" xfId="0" applyNumberFormat="1" applyFont="1" applyFill="1" applyAlignment="1">
      <alignment horizontal="right" vertical="center" wrapText="1" indent="1"/>
    </xf>
    <xf numFmtId="0" fontId="42" fillId="0" borderId="0" xfId="0" applyNumberFormat="1" applyFont="1" applyAlignment="1">
      <alignment vertical="center" wrapText="1"/>
    </xf>
    <xf numFmtId="0" fontId="42" fillId="8" borderId="0" xfId="0" applyNumberFormat="1" applyFont="1" applyFill="1" applyAlignment="1">
      <alignment horizontal="right" vertical="center" wrapText="1" indent="1"/>
    </xf>
    <xf numFmtId="0" fontId="44" fillId="8" borderId="0" xfId="0" applyNumberFormat="1" applyFont="1" applyFill="1" applyAlignment="1">
      <alignment horizontal="center" vertical="center" wrapText="1"/>
    </xf>
    <xf numFmtId="0" fontId="40" fillId="8" borderId="0" xfId="0" applyNumberFormat="1" applyFont="1" applyFill="1" applyAlignment="1">
      <alignment horizontal="center" vertical="center" wrapText="1"/>
    </xf>
    <xf numFmtId="0" fontId="42" fillId="8" borderId="0" xfId="0" applyNumberFormat="1" applyFont="1" applyFill="1" applyAlignment="1">
      <alignment horizontal="left" vertical="center" wrapText="1" indent="1"/>
    </xf>
    <xf numFmtId="0" fontId="45" fillId="0" borderId="0" xfId="0" applyNumberFormat="1" applyFont="1" applyAlignment="1">
      <alignment horizontal="left" vertical="center" wrapText="1"/>
    </xf>
    <xf numFmtId="0" fontId="45" fillId="0" borderId="0" xfId="0" applyNumberFormat="1" applyFont="1" applyAlignment="1">
      <alignment vertical="center" wrapText="1"/>
    </xf>
    <xf numFmtId="0" fontId="42" fillId="0" borderId="0" xfId="0" applyNumberFormat="1" applyFont="1" applyAlignment="1">
      <alignment vertical="center" wrapText="1"/>
    </xf>
    <xf numFmtId="0" fontId="42" fillId="0" borderId="0" xfId="0" applyNumberFormat="1" applyFont="1" applyAlignment="1">
      <alignment horizontal="right" vertical="center"/>
    </xf>
    <xf numFmtId="49" fontId="5" fillId="0" borderId="0" xfId="0" applyNumberFormat="1" applyFont="1" applyAlignment="1">
      <alignment vertical="center" wrapText="1"/>
    </xf>
    <xf numFmtId="0" fontId="0" fillId="0" borderId="0" xfId="0" applyNumberFormat="1" applyFont="1" applyAlignment="1">
      <alignment horizontal="left" vertical="center" indent="1"/>
    </xf>
    <xf numFmtId="0" fontId="29" fillId="0" borderId="0" xfId="0" applyNumberFormat="1" applyFont="1" applyAlignment="1">
      <alignment horizontal="left" vertical="center" indent="1"/>
    </xf>
    <xf numFmtId="0" fontId="29" fillId="0" borderId="0" xfId="0" applyNumberFormat="1" applyFont="1" applyAlignment="1">
      <alignment horizontal="left" vertical="center" indent="1"/>
    </xf>
    <xf numFmtId="0" fontId="29" fillId="0" borderId="13" xfId="0" applyNumberFormat="1" applyFont="1" applyBorder="1" applyAlignment="1">
      <alignment vertical="center"/>
    </xf>
    <xf numFmtId="0" fontId="5" fillId="0" borderId="3" xfId="0" applyNumberFormat="1" applyFont="1" applyBorder="1" applyAlignment="1">
      <alignment horizontal="center" vertical="center" wrapText="1"/>
    </xf>
    <xf numFmtId="0" fontId="0" fillId="0" borderId="3" xfId="0" applyNumberFormat="1" applyFont="1" applyBorder="1" applyAlignment="1">
      <alignment horizontal="center" vertical="center"/>
    </xf>
    <xf numFmtId="49" fontId="0" fillId="0" borderId="3" xfId="0" applyNumberFormat="1" applyFont="1" applyBorder="1" applyAlignment="1">
      <alignment horizontal="center" vertical="center"/>
    </xf>
    <xf numFmtId="49" fontId="0" fillId="0" borderId="3" xfId="0" applyNumberFormat="1" applyFont="1" applyBorder="1" applyAlignment="1">
      <alignment horizontal="left" vertical="center"/>
    </xf>
    <xf numFmtId="49" fontId="5" fillId="0" borderId="0" xfId="0" applyNumberFormat="1" applyFont="1">
      <alignment vertical="top"/>
    </xf>
    <xf numFmtId="0" fontId="5" fillId="0" borderId="0" xfId="0" applyNumberFormat="1" applyFont="1" applyAlignment="1">
      <alignment horizontal="left" vertical="center" wrapText="1" indent="2"/>
    </xf>
    <xf numFmtId="0" fontId="5" fillId="0" borderId="3" xfId="0" applyNumberFormat="1" applyFont="1" applyBorder="1" applyAlignment="1">
      <alignment vertical="top" wrapText="1"/>
    </xf>
    <xf numFmtId="0" fontId="0" fillId="12" borderId="3" xfId="0" applyNumberFormat="1" applyFont="1" applyFill="1" applyBorder="1" applyAlignment="1" applyProtection="1">
      <alignment horizontal="left" vertical="center" wrapText="1"/>
      <protection locked="0"/>
    </xf>
    <xf numFmtId="0" fontId="5" fillId="0" borderId="3" xfId="0" applyNumberFormat="1" applyFont="1" applyBorder="1" applyAlignment="1">
      <alignment horizontal="left" vertical="top" wrapText="1"/>
    </xf>
    <xf numFmtId="0" fontId="5" fillId="0" borderId="3" xfId="0" applyNumberFormat="1" applyFont="1" applyBorder="1" applyAlignment="1">
      <alignment horizontal="left" vertical="center" wrapText="1"/>
    </xf>
    <xf numFmtId="0" fontId="5" fillId="0" borderId="3" xfId="0" applyNumberFormat="1" applyFont="1" applyBorder="1" applyAlignment="1">
      <alignment horizontal="center" vertical="center" wrapText="1"/>
    </xf>
    <xf numFmtId="49" fontId="5" fillId="0" borderId="8" xfId="0" applyNumberFormat="1" applyFont="1" applyBorder="1" applyAlignment="1">
      <alignment horizontal="left" vertical="center" wrapText="1"/>
    </xf>
    <xf numFmtId="49" fontId="31" fillId="10" borderId="5" xfId="0" applyNumberFormat="1" applyFont="1" applyFill="1" applyBorder="1" applyAlignment="1">
      <alignment horizontal="center" vertical="center"/>
    </xf>
    <xf numFmtId="49" fontId="21" fillId="10" borderId="4" xfId="0" applyNumberFormat="1" applyFont="1" applyFill="1" applyBorder="1" applyAlignment="1">
      <alignment horizontal="left" vertical="center"/>
    </xf>
    <xf numFmtId="0" fontId="5" fillId="0" borderId="0" xfId="0" applyNumberFormat="1" applyFont="1" applyAlignment="1"/>
    <xf numFmtId="0" fontId="46" fillId="0" borderId="0" xfId="0" applyNumberFormat="1" applyFont="1" applyAlignment="1">
      <alignment vertical="center" wrapText="1"/>
    </xf>
    <xf numFmtId="0" fontId="46" fillId="0" borderId="0" xfId="0" applyNumberFormat="1" applyFont="1" applyAlignment="1">
      <alignment vertical="center" wrapText="1"/>
    </xf>
    <xf numFmtId="0" fontId="46" fillId="0" borderId="0" xfId="0" applyNumberFormat="1" applyFont="1" applyAlignment="1"/>
    <xf numFmtId="49" fontId="47" fillId="0" borderId="0" xfId="0" applyNumberFormat="1" applyFont="1">
      <alignment vertical="top"/>
    </xf>
    <xf numFmtId="49" fontId="48" fillId="0" borderId="0" xfId="0" applyNumberFormat="1" applyFont="1">
      <alignment vertical="top"/>
    </xf>
    <xf numFmtId="0" fontId="5" fillId="0" borderId="0" xfId="0" applyNumberFormat="1" applyFont="1" applyAlignment="1">
      <alignment horizontal="center" vertical="center" wrapText="1"/>
    </xf>
    <xf numFmtId="49" fontId="5" fillId="12" borderId="3" xfId="0" applyNumberFormat="1" applyFont="1" applyFill="1" applyBorder="1" applyAlignment="1" applyProtection="1">
      <alignment horizontal="left" vertical="center" wrapText="1" indent="1"/>
      <protection locked="0"/>
    </xf>
    <xf numFmtId="0" fontId="29" fillId="0" borderId="0" xfId="0" applyNumberFormat="1" applyFont="1">
      <alignment vertical="top"/>
    </xf>
    <xf numFmtId="49" fontId="29" fillId="0" borderId="0" xfId="0" applyNumberFormat="1" applyFont="1">
      <alignment vertical="top"/>
    </xf>
    <xf numFmtId="0" fontId="0" fillId="0" borderId="0" xfId="0" applyNumberFormat="1" applyFont="1">
      <alignment vertical="top"/>
    </xf>
    <xf numFmtId="49" fontId="5" fillId="0" borderId="3" xfId="0" applyNumberFormat="1" applyFont="1" applyBorder="1" applyAlignment="1">
      <alignment horizontal="right" vertical="center"/>
    </xf>
    <xf numFmtId="0" fontId="49" fillId="0" borderId="0" xfId="0" applyNumberFormat="1" applyFont="1" applyAlignment="1">
      <alignment vertical="center"/>
    </xf>
    <xf numFmtId="0" fontId="29" fillId="0" borderId="0" xfId="0" applyNumberFormat="1" applyFont="1" applyAlignment="1">
      <alignment vertical="center"/>
    </xf>
    <xf numFmtId="0" fontId="29" fillId="0" borderId="0" xfId="0" applyNumberFormat="1" applyFont="1" applyAlignment="1">
      <alignment vertical="center" wrapText="1"/>
    </xf>
    <xf numFmtId="0" fontId="5" fillId="0" borderId="3" xfId="0" applyNumberFormat="1" applyFont="1" applyBorder="1" applyAlignment="1">
      <alignment horizontal="left" vertical="center" wrapText="1"/>
    </xf>
    <xf numFmtId="0" fontId="50" fillId="0" borderId="0" xfId="0" applyNumberFormat="1" applyFont="1" applyAlignment="1">
      <alignment vertical="center"/>
    </xf>
    <xf numFmtId="49" fontId="17" fillId="8" borderId="0" xfId="0" applyNumberFormat="1" applyFont="1" applyFill="1" applyAlignment="1">
      <alignment horizontal="center" vertical="center" wrapText="1"/>
    </xf>
    <xf numFmtId="0" fontId="0" fillId="0" borderId="0" xfId="0" applyNumberFormat="1" applyFont="1" applyAlignment="1">
      <alignment vertical="center"/>
    </xf>
    <xf numFmtId="0" fontId="5" fillId="0" borderId="3" xfId="0" applyNumberFormat="1" applyFont="1" applyBorder="1" applyAlignment="1">
      <alignment horizontal="center" vertical="center" wrapText="1"/>
    </xf>
    <xf numFmtId="49" fontId="5" fillId="0" borderId="3" xfId="0" applyNumberFormat="1" applyFont="1" applyBorder="1" applyAlignment="1">
      <alignment horizontal="center" vertical="center" wrapText="1"/>
    </xf>
    <xf numFmtId="0" fontId="5" fillId="8" borderId="3" xfId="0" applyNumberFormat="1" applyFont="1" applyFill="1" applyBorder="1" applyAlignment="1">
      <alignment horizontal="left" vertical="center" wrapText="1" indent="4"/>
    </xf>
    <xf numFmtId="0" fontId="5" fillId="8" borderId="3" xfId="0" applyNumberFormat="1" applyFont="1" applyFill="1" applyBorder="1" applyAlignment="1">
      <alignment horizontal="left" vertical="center" wrapText="1" indent="5"/>
    </xf>
    <xf numFmtId="49" fontId="21" fillId="10" borderId="6" xfId="0" applyNumberFormat="1" applyFont="1" applyFill="1" applyBorder="1" applyAlignment="1">
      <alignment horizontal="left" vertical="center" indent="5"/>
    </xf>
    <xf numFmtId="49" fontId="21" fillId="10" borderId="6" xfId="0" applyNumberFormat="1" applyFont="1" applyFill="1" applyBorder="1" applyAlignment="1">
      <alignment horizontal="left" vertical="center" indent="6"/>
    </xf>
    <xf numFmtId="0" fontId="5" fillId="0" borderId="3" xfId="0" applyNumberFormat="1" applyFont="1" applyBorder="1" applyAlignment="1">
      <alignment vertical="center" wrapText="1"/>
    </xf>
    <xf numFmtId="0" fontId="27" fillId="0" borderId="0" xfId="0" applyNumberFormat="1" applyFont="1" applyAlignment="1">
      <alignment vertical="center" wrapText="1"/>
    </xf>
    <xf numFmtId="0" fontId="51" fillId="8" borderId="0" xfId="0" applyNumberFormat="1" applyFont="1" applyFill="1" applyAlignment="1">
      <alignment vertical="center" wrapText="1"/>
    </xf>
    <xf numFmtId="49" fontId="5" fillId="0" borderId="3" xfId="0" applyNumberFormat="1" applyFont="1" applyBorder="1" applyAlignment="1">
      <alignment horizontal="center" vertical="center" wrapText="1"/>
    </xf>
    <xf numFmtId="49" fontId="0" fillId="0" borderId="0" xfId="0" applyNumberFormat="1" applyFont="1">
      <alignment vertical="top"/>
    </xf>
    <xf numFmtId="49" fontId="21" fillId="10" borderId="5" xfId="0" applyNumberFormat="1" applyFont="1" applyFill="1" applyBorder="1" applyAlignment="1">
      <alignment horizontal="left" vertical="center" indent="1"/>
    </xf>
    <xf numFmtId="0" fontId="0" fillId="8" borderId="3" xfId="0" applyNumberFormat="1" applyFont="1" applyFill="1" applyBorder="1" applyAlignment="1">
      <alignment horizontal="right" vertical="center" wrapText="1" indent="1"/>
    </xf>
    <xf numFmtId="49" fontId="0" fillId="0" borderId="3" xfId="0" applyNumberFormat="1" applyFont="1" applyBorder="1" applyAlignment="1">
      <alignment horizontal="left" vertical="center"/>
    </xf>
    <xf numFmtId="0" fontId="5" fillId="0" borderId="3" xfId="0" applyNumberFormat="1" applyFont="1" applyBorder="1" applyAlignment="1">
      <alignment vertical="top" wrapText="1"/>
    </xf>
    <xf numFmtId="0" fontId="5" fillId="0" borderId="3" xfId="0" applyNumberFormat="1" applyFont="1" applyBorder="1" applyAlignment="1">
      <alignment vertical="center" wrapText="1"/>
    </xf>
    <xf numFmtId="0" fontId="49" fillId="0" borderId="0" xfId="0" applyNumberFormat="1" applyFont="1" applyAlignment="1">
      <alignment vertical="center"/>
    </xf>
    <xf numFmtId="0" fontId="5" fillId="0" borderId="3" xfId="0" applyNumberFormat="1" applyFont="1" applyBorder="1" applyAlignment="1">
      <alignment horizontal="left" vertical="center" wrapText="1" indent="6"/>
    </xf>
    <xf numFmtId="0" fontId="5" fillId="0" borderId="8" xfId="0" applyNumberFormat="1" applyFont="1" applyBorder="1" applyAlignment="1">
      <alignment vertical="center" wrapText="1"/>
    </xf>
    <xf numFmtId="0" fontId="5" fillId="0" borderId="14" xfId="0" applyNumberFormat="1" applyFont="1" applyBorder="1" applyAlignment="1">
      <alignment vertical="center" wrapText="1"/>
    </xf>
    <xf numFmtId="49" fontId="0" fillId="10" borderId="4" xfId="0" applyNumberFormat="1" applyFont="1" applyFill="1" applyBorder="1" applyAlignment="1">
      <alignment horizontal="center" vertical="center" wrapText="1"/>
    </xf>
    <xf numFmtId="0" fontId="0" fillId="0" borderId="5" xfId="0" applyNumberFormat="1" applyFont="1" applyBorder="1" applyAlignment="1">
      <alignment vertical="center"/>
    </xf>
    <xf numFmtId="0" fontId="0" fillId="8" borderId="5" xfId="0" applyNumberFormat="1" applyFont="1" applyFill="1" applyBorder="1" applyAlignment="1">
      <alignment horizontal="right" vertical="center" wrapText="1" indent="1"/>
    </xf>
    <xf numFmtId="49" fontId="13" fillId="0" borderId="0" xfId="0" applyNumberFormat="1" applyFont="1">
      <alignment vertical="top"/>
    </xf>
    <xf numFmtId="0" fontId="20" fillId="8" borderId="0" xfId="0" applyNumberFormat="1" applyFont="1" applyFill="1" applyAlignment="1">
      <alignment vertical="center" wrapText="1"/>
    </xf>
    <xf numFmtId="0" fontId="5" fillId="8" borderId="3" xfId="0" applyNumberFormat="1" applyFont="1" applyFill="1" applyBorder="1" applyAlignment="1">
      <alignment horizontal="left" vertical="center" wrapText="1" indent="1"/>
    </xf>
    <xf numFmtId="0" fontId="5" fillId="8" borderId="3" xfId="0" applyNumberFormat="1" applyFont="1" applyFill="1" applyBorder="1" applyAlignment="1">
      <alignment horizontal="left" vertical="center" wrapText="1" indent="2"/>
    </xf>
    <xf numFmtId="0" fontId="5" fillId="8" borderId="3" xfId="0" applyNumberFormat="1" applyFont="1" applyFill="1" applyBorder="1" applyAlignment="1">
      <alignment horizontal="left" vertical="center" wrapText="1" indent="3"/>
    </xf>
    <xf numFmtId="0" fontId="5" fillId="0" borderId="3" xfId="0" applyNumberFormat="1" applyFont="1" applyBorder="1" applyAlignment="1">
      <alignment horizontal="left" vertical="center" wrapText="1" indent="4"/>
    </xf>
    <xf numFmtId="49" fontId="21" fillId="10" borderId="5" xfId="0" applyNumberFormat="1" applyFont="1" applyFill="1" applyBorder="1" applyAlignment="1">
      <alignment vertical="center" wrapText="1"/>
    </xf>
    <xf numFmtId="49" fontId="21" fillId="10" borderId="6" xfId="0" applyNumberFormat="1" applyFont="1" applyFill="1" applyBorder="1" applyAlignment="1">
      <alignment vertical="center"/>
    </xf>
    <xf numFmtId="49" fontId="21" fillId="10" borderId="6" xfId="0" applyNumberFormat="1" applyFont="1" applyFill="1" applyBorder="1" applyAlignment="1">
      <alignment vertical="center" wrapText="1"/>
    </xf>
    <xf numFmtId="0" fontId="5" fillId="0" borderId="0" xfId="0" applyNumberFormat="1" applyFont="1" applyAlignment="1">
      <alignment vertical="top" wrapText="1"/>
    </xf>
    <xf numFmtId="49" fontId="21" fillId="10" borderId="5" xfId="0" applyNumberFormat="1" applyFont="1" applyFill="1" applyBorder="1" applyAlignment="1">
      <alignment horizontal="left" vertical="center"/>
    </xf>
    <xf numFmtId="0" fontId="21" fillId="10" borderId="5" xfId="0" applyNumberFormat="1" applyFont="1" applyFill="1" applyBorder="1" applyAlignment="1">
      <alignment horizontal="left" vertical="center"/>
    </xf>
    <xf numFmtId="0" fontId="21" fillId="10" borderId="6" xfId="0" applyNumberFormat="1" applyFont="1" applyFill="1" applyBorder="1" applyAlignment="1">
      <alignment horizontal="left" vertical="center"/>
    </xf>
    <xf numFmtId="0" fontId="21" fillId="10" borderId="4" xfId="0" applyNumberFormat="1" applyFont="1" applyFill="1" applyBorder="1" applyAlignment="1">
      <alignment horizontal="left" vertical="center"/>
    </xf>
    <xf numFmtId="0" fontId="0" fillId="0" borderId="0" xfId="0" applyNumberFormat="1" applyFont="1" applyAlignment="1">
      <alignment vertical="center"/>
    </xf>
    <xf numFmtId="49" fontId="0" fillId="0" borderId="0" xfId="0" applyNumberFormat="1" applyFont="1" applyAlignment="1">
      <alignment vertical="center"/>
    </xf>
    <xf numFmtId="0" fontId="31" fillId="8" borderId="0" xfId="0" applyNumberFormat="1" applyFont="1" applyFill="1" applyAlignment="1">
      <alignment horizontal="center" vertical="center" wrapText="1"/>
    </xf>
    <xf numFmtId="0" fontId="5" fillId="0" borderId="0" xfId="0" applyNumberFormat="1" applyFont="1" applyAlignment="1">
      <alignment vertical="center" wrapText="1"/>
    </xf>
    <xf numFmtId="49" fontId="5" fillId="10" borderId="4" xfId="0" applyNumberFormat="1" applyFont="1" applyFill="1" applyBorder="1" applyAlignment="1">
      <alignment horizontal="center" vertical="center" wrapText="1"/>
    </xf>
    <xf numFmtId="4" fontId="5" fillId="0" borderId="3" xfId="0" applyNumberFormat="1" applyFont="1" applyBorder="1" applyAlignment="1">
      <alignment horizontal="right" vertical="center" wrapText="1"/>
    </xf>
    <xf numFmtId="0" fontId="5" fillId="0" borderId="0" xfId="0" applyNumberFormat="1" applyFont="1" applyAlignment="1">
      <alignment vertical="center" wrapText="1"/>
    </xf>
    <xf numFmtId="0" fontId="5" fillId="0" borderId="0" xfId="0" applyNumberFormat="1" applyFont="1" applyAlignment="1">
      <alignment vertical="center" wrapText="1"/>
    </xf>
    <xf numFmtId="4" fontId="29" fillId="0" borderId="3" xfId="0" applyNumberFormat="1" applyFont="1" applyBorder="1" applyAlignment="1">
      <alignment horizontal="center" vertical="center" wrapText="1"/>
    </xf>
    <xf numFmtId="0" fontId="0" fillId="0" borderId="0" xfId="0" applyNumberFormat="1" applyFont="1" applyAlignment="1">
      <alignment vertical="center"/>
    </xf>
    <xf numFmtId="0" fontId="0" fillId="0" borderId="3" xfId="0" applyNumberFormat="1" applyFont="1" applyBorder="1" applyAlignment="1">
      <alignment horizontal="left" vertical="center" wrapText="1" indent="1"/>
    </xf>
    <xf numFmtId="49" fontId="52" fillId="0" borderId="5" xfId="0" applyNumberFormat="1" applyFont="1" applyBorder="1" applyAlignment="1">
      <alignment horizontal="left" vertical="center" wrapText="1"/>
    </xf>
    <xf numFmtId="0" fontId="49" fillId="0" borderId="3" xfId="0" applyNumberFormat="1" applyFont="1" applyBorder="1" applyAlignment="1">
      <alignment horizontal="left" vertical="center" wrapText="1" indent="2"/>
    </xf>
    <xf numFmtId="49" fontId="49" fillId="0" borderId="3" xfId="0" applyNumberFormat="1" applyFont="1" applyBorder="1" applyAlignment="1">
      <alignment horizontal="center" vertical="center" wrapText="1"/>
    </xf>
    <xf numFmtId="0" fontId="53" fillId="0" borderId="0" xfId="0" applyNumberFormat="1" applyFont="1" applyAlignment="1">
      <alignment vertical="center" wrapText="1"/>
    </xf>
    <xf numFmtId="0" fontId="5" fillId="0" borderId="0" xfId="0" applyNumberFormat="1" applyFont="1">
      <alignment vertical="top"/>
    </xf>
    <xf numFmtId="0" fontId="5" fillId="0" borderId="0" xfId="0" applyNumberFormat="1" applyFont="1" applyAlignment="1">
      <alignment horizontal="right" vertical="top" wrapText="1"/>
    </xf>
    <xf numFmtId="0" fontId="5" fillId="0" borderId="8" xfId="0" applyNumberFormat="1" applyFont="1" applyBorder="1" applyAlignment="1">
      <alignment vertical="center" wrapText="1"/>
    </xf>
    <xf numFmtId="49" fontId="25" fillId="10" borderId="6" xfId="0" applyNumberFormat="1" applyFont="1" applyFill="1" applyBorder="1" applyAlignment="1">
      <alignment horizontal="center" vertical="top"/>
    </xf>
    <xf numFmtId="0" fontId="5" fillId="0" borderId="14" xfId="0" applyNumberFormat="1" applyFont="1" applyBorder="1" applyAlignment="1">
      <alignment vertical="top" wrapText="1"/>
    </xf>
    <xf numFmtId="0" fontId="0" fillId="0" borderId="0" xfId="0" applyNumberFormat="1" applyFont="1" applyAlignment="1">
      <alignment horizontal="left" vertical="top" wrapText="1"/>
    </xf>
    <xf numFmtId="0" fontId="5" fillId="0" borderId="8" xfId="0" applyNumberFormat="1" applyFont="1" applyBorder="1" applyAlignment="1">
      <alignment vertical="top" wrapText="1"/>
    </xf>
    <xf numFmtId="0" fontId="5" fillId="0" borderId="0" xfId="0" applyNumberFormat="1" applyFont="1" applyAlignment="1">
      <alignment vertical="center" wrapText="1"/>
    </xf>
    <xf numFmtId="49" fontId="5" fillId="0" borderId="0" xfId="0" applyNumberFormat="1" applyFont="1">
      <alignment vertical="top"/>
    </xf>
    <xf numFmtId="0" fontId="20" fillId="0" borderId="0" xfId="0" applyNumberFormat="1" applyFont="1" applyAlignment="1">
      <alignment vertical="center" wrapText="1"/>
    </xf>
    <xf numFmtId="0" fontId="5" fillId="0" borderId="3" xfId="0" applyNumberFormat="1" applyFont="1" applyBorder="1" applyAlignment="1">
      <alignment vertical="center" wrapText="1"/>
    </xf>
    <xf numFmtId="49" fontId="5" fillId="0" borderId="0" xfId="0" applyNumberFormat="1" applyFont="1" applyAlignment="1">
      <alignment horizontal="center" vertical="center" wrapText="1"/>
    </xf>
    <xf numFmtId="0" fontId="5" fillId="10" borderId="5" xfId="0" applyNumberFormat="1" applyFont="1" applyFill="1" applyBorder="1" applyAlignment="1">
      <alignment vertical="center" wrapText="1"/>
    </xf>
    <xf numFmtId="49" fontId="21" fillId="10" borderId="6" xfId="0" applyNumberFormat="1" applyFont="1" applyFill="1" applyBorder="1" applyAlignment="1">
      <alignment horizontal="left" vertical="center" indent="2"/>
    </xf>
    <xf numFmtId="0" fontId="29" fillId="0" borderId="0" xfId="0" applyNumberFormat="1" applyFont="1" applyAlignment="1">
      <alignment vertical="center"/>
    </xf>
    <xf numFmtId="0" fontId="54" fillId="0" borderId="0" xfId="0" applyNumberFormat="1" applyFont="1" applyAlignment="1">
      <alignment vertical="center" wrapText="1"/>
    </xf>
    <xf numFmtId="0" fontId="23" fillId="8" borderId="0" xfId="0" applyNumberFormat="1" applyFont="1" applyFill="1" applyAlignment="1">
      <alignment horizontal="center" vertical="center" wrapText="1"/>
    </xf>
    <xf numFmtId="0" fontId="5" fillId="0" borderId="15" xfId="0" applyNumberFormat="1" applyFont="1" applyBorder="1" applyAlignment="1">
      <alignment vertical="center" wrapText="1"/>
    </xf>
    <xf numFmtId="0" fontId="18" fillId="0" borderId="0" xfId="0" applyNumberFormat="1" applyFont="1" applyAlignment="1">
      <alignment vertical="center" wrapText="1"/>
    </xf>
    <xf numFmtId="49" fontId="5" fillId="0" borderId="15" xfId="0" applyNumberFormat="1" applyFont="1" applyBorder="1">
      <alignment vertical="top"/>
    </xf>
    <xf numFmtId="0" fontId="29" fillId="0" borderId="15" xfId="0" applyNumberFormat="1" applyFont="1" applyBorder="1" applyAlignment="1">
      <alignment horizontal="center" vertical="center" wrapText="1"/>
    </xf>
    <xf numFmtId="0" fontId="29" fillId="0" borderId="15" xfId="0" applyNumberFormat="1" applyFont="1" applyBorder="1" applyAlignment="1">
      <alignment vertical="center" wrapText="1"/>
    </xf>
    <xf numFmtId="49" fontId="13" fillId="0" borderId="0" xfId="0" applyNumberFormat="1" applyFont="1">
      <alignment vertical="top"/>
    </xf>
    <xf numFmtId="49" fontId="0" fillId="0" borderId="15" xfId="0" applyNumberFormat="1" applyFont="1" applyBorder="1">
      <alignment vertical="top"/>
    </xf>
    <xf numFmtId="49" fontId="5" fillId="0" borderId="0" xfId="0" applyNumberFormat="1" applyFont="1">
      <alignment vertical="top"/>
    </xf>
    <xf numFmtId="49" fontId="5" fillId="0" borderId="0" xfId="0" applyNumberFormat="1" applyFont="1" applyAlignment="1">
      <alignment vertical="center" wrapText="1"/>
    </xf>
    <xf numFmtId="0" fontId="13" fillId="0" borderId="0" xfId="0" applyNumberFormat="1" applyFont="1" applyAlignment="1">
      <alignment vertical="center" wrapText="1"/>
    </xf>
    <xf numFmtId="0" fontId="5" fillId="8" borderId="0" xfId="0" applyNumberFormat="1" applyFont="1" applyFill="1" applyAlignment="1">
      <alignment vertical="center" wrapText="1"/>
    </xf>
    <xf numFmtId="49" fontId="5" fillId="0" borderId="0" xfId="0" applyNumberFormat="1" applyFont="1" applyAlignment="1">
      <alignment vertical="center" wrapText="1"/>
    </xf>
    <xf numFmtId="49" fontId="21" fillId="10" borderId="6" xfId="0" applyNumberFormat="1" applyFont="1" applyFill="1" applyBorder="1" applyAlignment="1">
      <alignment horizontal="left" vertical="center" indent="4"/>
    </xf>
    <xf numFmtId="49" fontId="0" fillId="10" borderId="6" xfId="0" applyNumberFormat="1" applyFont="1" applyFill="1" applyBorder="1" applyAlignment="1">
      <alignment horizontal="center" vertical="center" wrapText="1"/>
    </xf>
    <xf numFmtId="49" fontId="5" fillId="10" borderId="6" xfId="0" applyNumberFormat="1" applyFont="1" applyFill="1" applyBorder="1" applyAlignment="1">
      <alignment horizontal="center" vertical="center" wrapText="1"/>
    </xf>
    <xf numFmtId="0" fontId="29" fillId="0" borderId="0" xfId="0" applyNumberFormat="1" applyFont="1" applyAlignment="1">
      <alignment vertical="center"/>
    </xf>
    <xf numFmtId="0" fontId="5" fillId="0" borderId="0" xfId="0" applyNumberFormat="1" applyFont="1" applyAlignment="1">
      <alignment vertical="top" wrapText="1"/>
    </xf>
    <xf numFmtId="49" fontId="5" fillId="0" borderId="3" xfId="0" applyNumberFormat="1" applyFont="1" applyBorder="1" applyAlignment="1">
      <alignment horizontal="right" vertical="top"/>
    </xf>
    <xf numFmtId="49" fontId="5" fillId="0" borderId="8" xfId="0" applyNumberFormat="1" applyFont="1" applyBorder="1" applyAlignment="1">
      <alignment horizontal="right" vertical="top"/>
    </xf>
    <xf numFmtId="49" fontId="21" fillId="10" borderId="6" xfId="0" applyNumberFormat="1" applyFont="1" applyFill="1" applyBorder="1" applyAlignment="1">
      <alignment horizontal="left" vertical="center" indent="3"/>
    </xf>
    <xf numFmtId="49" fontId="0" fillId="0" borderId="0" xfId="0" applyNumberFormat="1" applyFont="1">
      <alignment vertical="top"/>
    </xf>
    <xf numFmtId="0" fontId="5" fillId="0" borderId="0" xfId="0" applyNumberFormat="1" applyFont="1" applyAlignment="1">
      <alignment vertical="center" wrapText="1"/>
    </xf>
    <xf numFmtId="49" fontId="20" fillId="0" borderId="0" xfId="0" applyNumberFormat="1" applyFont="1">
      <alignment vertical="top"/>
    </xf>
    <xf numFmtId="0" fontId="20" fillId="8" borderId="0" xfId="0" applyNumberFormat="1" applyFont="1" applyFill="1" applyAlignment="1">
      <alignment vertical="center" wrapText="1"/>
    </xf>
    <xf numFmtId="49" fontId="5" fillId="12" borderId="3" xfId="0" applyNumberFormat="1" applyFont="1" applyFill="1" applyBorder="1" applyAlignment="1" applyProtection="1">
      <alignment horizontal="left" vertical="center" wrapText="1"/>
      <protection locked="0"/>
    </xf>
    <xf numFmtId="49" fontId="5" fillId="9" borderId="3" xfId="0" applyNumberFormat="1" applyFont="1" applyFill="1" applyBorder="1" applyAlignment="1" applyProtection="1">
      <alignment horizontal="left" vertical="center" wrapText="1"/>
      <protection locked="0"/>
    </xf>
    <xf numFmtId="49" fontId="29" fillId="0" borderId="0" xfId="0" applyNumberFormat="1" applyFont="1">
      <alignment vertical="top"/>
    </xf>
    <xf numFmtId="49" fontId="29" fillId="0" borderId="0" xfId="0" applyNumberFormat="1" applyFont="1">
      <alignment vertical="top"/>
    </xf>
    <xf numFmtId="49" fontId="5" fillId="12" borderId="3" xfId="0" applyNumberFormat="1" applyFont="1" applyFill="1" applyBorder="1" applyAlignment="1" applyProtection="1">
      <alignment horizontal="left" vertical="center" wrapText="1"/>
      <protection locked="0"/>
    </xf>
    <xf numFmtId="49" fontId="35" fillId="12" borderId="3" xfId="0" applyNumberFormat="1" applyFont="1" applyFill="1" applyBorder="1" applyAlignment="1" applyProtection="1">
      <alignment horizontal="left" vertical="center" wrapText="1"/>
      <protection locked="0"/>
    </xf>
    <xf numFmtId="49" fontId="0" fillId="0" borderId="16" xfId="0" applyNumberFormat="1" applyFont="1" applyBorder="1" applyAlignment="1">
      <alignment horizontal="center" vertical="center"/>
    </xf>
    <xf numFmtId="166" fontId="5" fillId="0" borderId="3" xfId="0" applyNumberFormat="1" applyFont="1" applyBorder="1" applyAlignment="1">
      <alignment horizontal="right" vertical="center" wrapText="1"/>
    </xf>
    <xf numFmtId="49" fontId="35" fillId="12" borderId="5" xfId="0" applyNumberFormat="1" applyFont="1" applyFill="1" applyBorder="1" applyAlignment="1" applyProtection="1">
      <alignment horizontal="left" vertical="center" wrapText="1"/>
      <protection locked="0"/>
    </xf>
    <xf numFmtId="0" fontId="5" fillId="8" borderId="3" xfId="0" applyNumberFormat="1" applyFont="1" applyFill="1" applyBorder="1" applyAlignment="1">
      <alignment horizontal="center" vertical="center" wrapText="1"/>
    </xf>
    <xf numFmtId="0" fontId="18" fillId="8" borderId="0" xfId="0" applyNumberFormat="1" applyFont="1" applyFill="1" applyAlignment="1">
      <alignment horizontal="center" vertical="center" wrapText="1"/>
    </xf>
    <xf numFmtId="0" fontId="0" fillId="0" borderId="3" xfId="0" applyNumberFormat="1" applyFont="1" applyBorder="1" applyAlignment="1">
      <alignment horizontal="left" vertical="center" wrapText="1"/>
    </xf>
    <xf numFmtId="0" fontId="5" fillId="8" borderId="0" xfId="0" applyNumberFormat="1" applyFont="1" applyFill="1" applyAlignment="1">
      <alignment horizontal="center" vertical="center" wrapText="1"/>
    </xf>
    <xf numFmtId="0" fontId="31" fillId="0" borderId="0" xfId="0" applyNumberFormat="1" applyFont="1" applyAlignment="1">
      <alignment vertical="top" wrapText="1"/>
    </xf>
    <xf numFmtId="0" fontId="5" fillId="8" borderId="17" xfId="0" applyNumberFormat="1" applyFont="1" applyFill="1" applyBorder="1" applyAlignment="1">
      <alignment horizontal="right" vertical="center" wrapText="1" indent="1"/>
    </xf>
    <xf numFmtId="0" fontId="0" fillId="8" borderId="17" xfId="0" applyNumberFormat="1" applyFont="1" applyFill="1" applyBorder="1" applyAlignment="1">
      <alignment horizontal="right" vertical="center" wrapText="1" indent="1"/>
    </xf>
    <xf numFmtId="0" fontId="5" fillId="0" borderId="0" xfId="0" applyNumberFormat="1" applyFont="1" applyAlignment="1">
      <alignment horizontal="left" vertical="center" wrapText="1" indent="4"/>
    </xf>
    <xf numFmtId="0" fontId="5" fillId="8" borderId="0" xfId="0" applyNumberFormat="1" applyFont="1" applyFill="1" applyAlignment="1">
      <alignment horizontal="center" vertical="center" wrapText="1"/>
    </xf>
    <xf numFmtId="49" fontId="21" fillId="10" borderId="6" xfId="0" applyNumberFormat="1" applyFont="1" applyFill="1" applyBorder="1" applyAlignment="1">
      <alignment horizontal="left" vertical="center"/>
    </xf>
    <xf numFmtId="0" fontId="5" fillId="0" borderId="10" xfId="0" applyNumberFormat="1" applyFont="1" applyBorder="1" applyAlignment="1">
      <alignment vertical="center" wrapText="1"/>
    </xf>
    <xf numFmtId="0" fontId="5" fillId="0" borderId="0" xfId="0" applyNumberFormat="1" applyFont="1" applyAlignment="1">
      <alignment horizontal="left" vertical="center" wrapText="1" indent="1"/>
    </xf>
    <xf numFmtId="0" fontId="53" fillId="0" borderId="0" xfId="0" applyNumberFormat="1" applyFont="1" applyAlignment="1">
      <alignment vertical="center" wrapText="1"/>
    </xf>
    <xf numFmtId="49" fontId="0" fillId="8" borderId="5" xfId="0" applyNumberFormat="1" applyFont="1" applyFill="1" applyBorder="1" applyAlignment="1">
      <alignment horizontal="center" vertical="center" wrapText="1"/>
    </xf>
    <xf numFmtId="49" fontId="21" fillId="10" borderId="18" xfId="0" applyNumberFormat="1" applyFont="1" applyFill="1" applyBorder="1" applyAlignment="1">
      <alignment horizontal="left" vertical="center" indent="2"/>
    </xf>
    <xf numFmtId="49" fontId="35" fillId="9" borderId="3" xfId="0" applyNumberFormat="1" applyFont="1" applyFill="1" applyBorder="1" applyAlignment="1" applyProtection="1">
      <alignment horizontal="left" vertical="center" wrapText="1"/>
      <protection locked="0"/>
    </xf>
    <xf numFmtId="49" fontId="5" fillId="0" borderId="10" xfId="0" applyNumberFormat="1" applyFont="1" applyBorder="1">
      <alignment vertical="top"/>
    </xf>
    <xf numFmtId="49" fontId="55" fillId="10" borderId="4" xfId="0" applyNumberFormat="1" applyFont="1" applyFill="1" applyBorder="1" applyAlignment="1">
      <alignment horizontal="left" vertical="center" indent="1"/>
    </xf>
    <xf numFmtId="49" fontId="55" fillId="10" borderId="6" xfId="0" applyNumberFormat="1" applyFont="1" applyFill="1" applyBorder="1" applyAlignment="1">
      <alignment horizontal="left" vertical="center" indent="1"/>
    </xf>
    <xf numFmtId="49" fontId="31" fillId="10" borderId="5" xfId="0" applyNumberFormat="1" applyFont="1" applyFill="1" applyBorder="1" applyAlignment="1">
      <alignment horizontal="center" vertical="center"/>
    </xf>
    <xf numFmtId="49" fontId="55" fillId="10" borderId="6" xfId="0" applyNumberFormat="1" applyFont="1" applyFill="1" applyBorder="1" applyAlignment="1">
      <alignment vertical="center"/>
    </xf>
    <xf numFmtId="0" fontId="0" fillId="14" borderId="3" xfId="0" applyNumberFormat="1" applyFont="1" applyFill="1" applyBorder="1" applyAlignment="1">
      <alignment horizontal="right" vertical="center"/>
    </xf>
    <xf numFmtId="0" fontId="14" fillId="0" borderId="0" xfId="0" applyNumberFormat="1" applyFont="1" applyAlignment="1">
      <alignment vertical="center" wrapText="1"/>
    </xf>
    <xf numFmtId="0" fontId="5" fillId="0" borderId="0" xfId="0" applyNumberFormat="1" applyFont="1" applyAlignment="1">
      <alignment vertical="center" wrapText="1"/>
    </xf>
    <xf numFmtId="0" fontId="15" fillId="8" borderId="0" xfId="0" applyNumberFormat="1" applyFont="1" applyFill="1" applyAlignment="1">
      <alignment vertical="center" wrapText="1"/>
    </xf>
    <xf numFmtId="0" fontId="13" fillId="0" borderId="0" xfId="0" applyNumberFormat="1" applyFont="1" applyAlignment="1">
      <alignment horizontal="center" vertical="center" wrapText="1"/>
    </xf>
    <xf numFmtId="0" fontId="0" fillId="0" borderId="0" xfId="0" applyNumberFormat="1" applyFont="1" applyAlignment="1">
      <alignment vertical="center" wrapText="1"/>
    </xf>
    <xf numFmtId="0" fontId="13" fillId="0" borderId="0" xfId="0" applyNumberFormat="1" applyFont="1" applyAlignment="1">
      <alignment horizontal="left" vertical="center" wrapText="1"/>
    </xf>
    <xf numFmtId="0" fontId="0" fillId="0" borderId="3" xfId="0" applyNumberFormat="1" applyFont="1" applyBorder="1" applyAlignment="1">
      <alignment horizontal="center" vertical="center" wrapText="1"/>
    </xf>
    <xf numFmtId="49" fontId="21" fillId="10" borderId="6" xfId="0" applyNumberFormat="1" applyFont="1" applyFill="1" applyBorder="1" applyAlignment="1">
      <alignment horizontal="left" vertical="center" indent="1"/>
    </xf>
    <xf numFmtId="49" fontId="21" fillId="10" borderId="6" xfId="0" applyNumberFormat="1" applyFont="1" applyFill="1" applyBorder="1" applyAlignment="1">
      <alignment horizontal="left" vertical="center"/>
    </xf>
    <xf numFmtId="0" fontId="28" fillId="0" borderId="0" xfId="0" applyNumberFormat="1" applyFont="1" applyAlignment="1">
      <alignment vertical="center" wrapText="1"/>
    </xf>
    <xf numFmtId="0" fontId="0" fillId="0" borderId="0" xfId="0" applyNumberFormat="1" applyFont="1" applyAlignment="1">
      <alignment vertical="center"/>
    </xf>
    <xf numFmtId="49" fontId="29" fillId="0" borderId="0" xfId="0" applyNumberFormat="1" applyFont="1">
      <alignment vertical="top"/>
    </xf>
    <xf numFmtId="0" fontId="56" fillId="0" borderId="0" xfId="0" applyNumberFormat="1" applyFont="1" applyAlignment="1">
      <alignment vertical="center" wrapText="1"/>
    </xf>
    <xf numFmtId="49" fontId="31" fillId="10" borderId="5" xfId="0" applyNumberFormat="1" applyFont="1" applyFill="1" applyBorder="1" applyAlignment="1">
      <alignment horizontal="right" vertical="center" wrapText="1"/>
    </xf>
    <xf numFmtId="49" fontId="28" fillId="0" borderId="0" xfId="0" applyNumberFormat="1" applyFont="1">
      <alignment vertical="top"/>
    </xf>
    <xf numFmtId="49" fontId="0" fillId="0" borderId="0" xfId="0" applyNumberFormat="1" applyFont="1">
      <alignment vertical="top"/>
    </xf>
    <xf numFmtId="49" fontId="0" fillId="10" borderId="4" xfId="0" applyNumberFormat="1" applyFont="1" applyFill="1" applyBorder="1" applyAlignment="1">
      <alignment horizontal="right" vertical="center" wrapText="1"/>
    </xf>
    <xf numFmtId="0" fontId="0" fillId="0" borderId="3" xfId="0" applyNumberFormat="1" applyFont="1" applyBorder="1" applyAlignment="1">
      <alignment horizontal="center" vertical="center" wrapText="1"/>
    </xf>
    <xf numFmtId="0" fontId="40" fillId="0" borderId="0" xfId="0" applyNumberFormat="1" applyFont="1" applyAlignment="1">
      <alignment horizontal="left" vertical="center" wrapText="1"/>
    </xf>
    <xf numFmtId="0" fontId="41" fillId="0" borderId="0" xfId="0" applyNumberFormat="1" applyFont="1" applyAlignment="1">
      <alignment vertical="center" wrapText="1"/>
    </xf>
    <xf numFmtId="0" fontId="42" fillId="8" borderId="0" xfId="0" applyNumberFormat="1" applyFont="1" applyFill="1" applyAlignment="1">
      <alignment vertical="center" wrapText="1"/>
    </xf>
    <xf numFmtId="0" fontId="43" fillId="8" borderId="0" xfId="0" applyNumberFormat="1" applyFont="1" applyFill="1" applyAlignment="1">
      <alignment horizontal="right" vertical="center" wrapText="1" indent="1"/>
    </xf>
    <xf numFmtId="0" fontId="42" fillId="0" borderId="0" xfId="0" applyNumberFormat="1" applyFont="1" applyAlignment="1">
      <alignment vertical="center" wrapText="1"/>
    </xf>
    <xf numFmtId="0" fontId="0" fillId="0" borderId="5" xfId="0" applyNumberFormat="1" applyFont="1" applyBorder="1" applyAlignment="1">
      <alignment horizontal="center" vertical="center" wrapText="1"/>
    </xf>
    <xf numFmtId="0" fontId="0" fillId="9" borderId="3" xfId="0" applyNumberFormat="1" applyFont="1" applyFill="1" applyBorder="1" applyAlignment="1" applyProtection="1">
      <alignment horizontal="right" vertical="center" wrapText="1"/>
      <protection locked="0"/>
    </xf>
    <xf numFmtId="3" fontId="0" fillId="12" borderId="3" xfId="0" applyNumberFormat="1" applyFont="1" applyFill="1" applyBorder="1" applyAlignment="1" applyProtection="1">
      <alignment horizontal="right" vertical="center" wrapText="1"/>
      <protection locked="0"/>
    </xf>
    <xf numFmtId="49" fontId="0" fillId="0" borderId="3" xfId="0" applyNumberFormat="1" applyFont="1" applyBorder="1" applyAlignment="1">
      <alignment horizontal="center" vertical="center" wrapText="1"/>
    </xf>
    <xf numFmtId="49" fontId="0" fillId="0" borderId="3" xfId="0" applyNumberFormat="1" applyFont="1" applyBorder="1" applyAlignment="1">
      <alignment vertical="top" wrapText="1"/>
    </xf>
    <xf numFmtId="0" fontId="0" fillId="8" borderId="5" xfId="0" applyNumberFormat="1" applyFont="1" applyFill="1" applyBorder="1" applyAlignment="1">
      <alignment horizontal="left" vertical="center" wrapText="1" indent="1"/>
    </xf>
    <xf numFmtId="0" fontId="0" fillId="8" borderId="8" xfId="0" applyNumberFormat="1" applyFont="1" applyFill="1" applyBorder="1" applyAlignment="1">
      <alignment horizontal="left" vertical="center" wrapText="1"/>
    </xf>
    <xf numFmtId="0" fontId="0" fillId="8" borderId="3" xfId="0" applyNumberFormat="1" applyFont="1" applyFill="1" applyBorder="1" applyAlignment="1">
      <alignment horizontal="left" vertical="center" wrapText="1"/>
    </xf>
    <xf numFmtId="0" fontId="0" fillId="8" borderId="3" xfId="0" applyNumberFormat="1" applyFont="1" applyFill="1" applyBorder="1" applyAlignment="1">
      <alignment horizontal="left" vertical="center" wrapText="1" indent="2"/>
    </xf>
    <xf numFmtId="0" fontId="0" fillId="8" borderId="3" xfId="0" applyNumberFormat="1" applyFont="1" applyFill="1" applyBorder="1" applyAlignment="1">
      <alignment horizontal="center" vertical="center"/>
    </xf>
    <xf numFmtId="49" fontId="0" fillId="12" borderId="3" xfId="0" applyNumberFormat="1" applyFont="1" applyFill="1" applyBorder="1" applyAlignment="1" applyProtection="1">
      <alignment horizontal="left" vertical="center" wrapText="1"/>
      <protection locked="0"/>
    </xf>
    <xf numFmtId="0" fontId="0" fillId="8" borderId="3" xfId="0" applyNumberFormat="1" applyFont="1" applyFill="1" applyBorder="1" applyAlignment="1">
      <alignment horizontal="left" vertical="center" wrapText="1" indent="1"/>
    </xf>
    <xf numFmtId="0" fontId="0" fillId="0" borderId="3" xfId="0" applyNumberFormat="1" applyFont="1" applyBorder="1" applyAlignment="1">
      <alignment horizontal="center" vertical="center" wrapText="1"/>
    </xf>
    <xf numFmtId="0" fontId="0" fillId="8" borderId="3" xfId="0" applyNumberFormat="1" applyFont="1" applyFill="1" applyBorder="1" applyAlignment="1">
      <alignment vertical="center" wrapText="1"/>
    </xf>
    <xf numFmtId="49" fontId="0" fillId="8" borderId="3" xfId="0" applyNumberFormat="1" applyFont="1" applyFill="1" applyBorder="1" applyAlignment="1">
      <alignment horizontal="center" vertical="center"/>
    </xf>
    <xf numFmtId="0" fontId="0" fillId="8" borderId="3" xfId="0" applyNumberFormat="1" applyFont="1" applyFill="1" applyBorder="1" applyAlignment="1">
      <alignment horizontal="center" vertical="center" wrapText="1"/>
    </xf>
    <xf numFmtId="0" fontId="5" fillId="0" borderId="0" xfId="0" applyNumberFormat="1" applyFont="1" applyAlignment="1">
      <alignment vertical="center" wrapText="1"/>
    </xf>
    <xf numFmtId="49" fontId="17" fillId="8" borderId="0" xfId="0" applyNumberFormat="1" applyFont="1" applyFill="1" applyAlignment="1">
      <alignment horizontal="center" vertical="center" wrapText="1"/>
    </xf>
    <xf numFmtId="0" fontId="13" fillId="0" borderId="0" xfId="0" applyNumberFormat="1" applyFont="1" applyAlignment="1">
      <alignment vertical="center" wrapText="1"/>
    </xf>
    <xf numFmtId="0" fontId="18" fillId="8" borderId="0" xfId="0" applyNumberFormat="1" applyFont="1" applyFill="1" applyAlignment="1">
      <alignment horizontal="center" vertical="center" wrapText="1"/>
    </xf>
    <xf numFmtId="0" fontId="18" fillId="0" borderId="0" xfId="0" applyNumberFormat="1" applyFont="1" applyAlignment="1">
      <alignment horizontal="center" vertical="center" wrapText="1"/>
    </xf>
    <xf numFmtId="0" fontId="23" fillId="0" borderId="0" xfId="0" applyNumberFormat="1" applyFont="1" applyAlignment="1">
      <alignment vertical="center" wrapText="1"/>
    </xf>
    <xf numFmtId="0" fontId="27" fillId="0" borderId="0" xfId="0" applyNumberFormat="1" applyFont="1" applyAlignment="1">
      <alignment horizontal="center" vertical="center" wrapText="1"/>
    </xf>
    <xf numFmtId="0" fontId="26" fillId="0" borderId="0" xfId="0" applyNumberFormat="1" applyFont="1" applyAlignment="1">
      <alignment vertical="center" wrapText="1"/>
    </xf>
    <xf numFmtId="0" fontId="0" fillId="8" borderId="0" xfId="0" applyNumberFormat="1" applyFont="1" applyFill="1" applyAlignment="1"/>
    <xf numFmtId="0" fontId="0" fillId="8" borderId="0" xfId="0" applyNumberFormat="1" applyFont="1" applyFill="1" applyAlignment="1">
      <alignment horizontal="center"/>
    </xf>
    <xf numFmtId="0" fontId="5" fillId="8" borderId="0" xfId="0" applyNumberFormat="1" applyFont="1" applyFill="1" applyAlignment="1">
      <alignment vertical="center" wrapText="1"/>
    </xf>
    <xf numFmtId="0" fontId="57" fillId="8" borderId="0" xfId="0" applyNumberFormat="1" applyFont="1" applyFill="1" applyAlignment="1">
      <alignment horizontal="center"/>
    </xf>
    <xf numFmtId="0" fontId="57" fillId="8" borderId="0" xfId="0" applyNumberFormat="1" applyFont="1" applyFill="1" applyAlignment="1"/>
    <xf numFmtId="0" fontId="58" fillId="8" borderId="0" xfId="0" applyNumberFormat="1" applyFont="1" applyFill="1" applyAlignment="1"/>
    <xf numFmtId="0" fontId="59" fillId="8" borderId="0" xfId="0" applyNumberFormat="1" applyFont="1" applyFill="1" applyAlignment="1">
      <alignment horizontal="right" vertical="center"/>
    </xf>
    <xf numFmtId="0" fontId="59" fillId="8" borderId="0" xfId="0" applyNumberFormat="1" applyFont="1" applyFill="1" applyAlignment="1">
      <alignment horizontal="right" vertical="top"/>
    </xf>
    <xf numFmtId="0" fontId="5" fillId="8" borderId="0" xfId="0" applyNumberFormat="1" applyFont="1" applyFill="1" applyAlignment="1">
      <alignment horizontal="center" vertical="center" wrapText="1"/>
    </xf>
    <xf numFmtId="0" fontId="17" fillId="8" borderId="0" xfId="0" applyNumberFormat="1" applyFont="1" applyFill="1" applyAlignment="1">
      <alignment horizontal="center" vertical="center"/>
    </xf>
    <xf numFmtId="0" fontId="5" fillId="0" borderId="3" xfId="0" applyNumberFormat="1" applyFont="1" applyBorder="1" applyAlignment="1">
      <alignment horizontal="center" vertical="center" wrapText="1"/>
    </xf>
    <xf numFmtId="0" fontId="26" fillId="0" borderId="0" xfId="0" applyNumberFormat="1" applyFont="1" applyAlignment="1">
      <alignment vertical="top" wrapText="1"/>
    </xf>
    <xf numFmtId="0" fontId="5" fillId="10" borderId="5" xfId="0" applyNumberFormat="1" applyFont="1" applyFill="1" applyBorder="1" applyAlignment="1">
      <alignment horizontal="center"/>
    </xf>
    <xf numFmtId="0" fontId="55" fillId="10" borderId="6" xfId="0" applyNumberFormat="1" applyFont="1" applyFill="1" applyBorder="1" applyAlignment="1">
      <alignment horizontal="left" vertical="center"/>
    </xf>
    <xf numFmtId="0" fontId="55" fillId="10" borderId="4" xfId="0" applyNumberFormat="1" applyFont="1" applyFill="1" applyBorder="1" applyAlignment="1">
      <alignment horizontal="left" vertical="center"/>
    </xf>
    <xf numFmtId="0" fontId="60" fillId="8" borderId="0" xfId="0" applyNumberFormat="1" applyFont="1" applyFill="1" applyAlignment="1">
      <alignment vertical="center"/>
    </xf>
    <xf numFmtId="0" fontId="60" fillId="8" borderId="0" xfId="0" applyNumberFormat="1" applyFont="1" applyFill="1" applyAlignment="1">
      <alignment vertical="center" wrapText="1"/>
    </xf>
    <xf numFmtId="49" fontId="5" fillId="8" borderId="3" xfId="0" applyNumberFormat="1" applyFont="1" applyFill="1" applyBorder="1" applyAlignment="1">
      <alignment horizontal="center" vertical="center" wrapText="1"/>
    </xf>
    <xf numFmtId="0" fontId="5" fillId="8" borderId="3" xfId="0" applyNumberFormat="1" applyFont="1" applyFill="1" applyBorder="1" applyAlignment="1">
      <alignment horizontal="center" vertical="center" wrapText="1"/>
    </xf>
    <xf numFmtId="0" fontId="5" fillId="8" borderId="3" xfId="0" applyNumberFormat="1" applyFont="1" applyFill="1" applyBorder="1" applyAlignment="1">
      <alignment vertical="center" wrapText="1"/>
    </xf>
    <xf numFmtId="0" fontId="47" fillId="8" borderId="0" xfId="0" applyNumberFormat="1" applyFont="1" applyFill="1" applyAlignment="1"/>
    <xf numFmtId="0" fontId="33" fillId="8" borderId="0" xfId="0" applyNumberFormat="1" applyFont="1" applyFill="1" applyAlignment="1"/>
    <xf numFmtId="0" fontId="43" fillId="8" borderId="0" xfId="0" applyNumberFormat="1" applyFont="1" applyFill="1" applyAlignment="1"/>
    <xf numFmtId="0" fontId="43" fillId="8" borderId="0" xfId="0" applyNumberFormat="1" applyFont="1" applyFill="1" applyAlignment="1">
      <alignment horizontal="center"/>
    </xf>
    <xf numFmtId="0" fontId="40" fillId="0" borderId="0" xfId="0" applyNumberFormat="1" applyFont="1" applyAlignment="1">
      <alignment vertical="center" wrapText="1"/>
    </xf>
    <xf numFmtId="0" fontId="42" fillId="0" borderId="0" xfId="0" applyNumberFormat="1" applyFont="1" applyAlignment="1">
      <alignment vertical="center" wrapText="1"/>
    </xf>
    <xf numFmtId="0" fontId="42" fillId="8" borderId="0" xfId="0" applyNumberFormat="1" applyFont="1" applyFill="1" applyAlignment="1">
      <alignment vertical="center" wrapText="1"/>
    </xf>
    <xf numFmtId="0" fontId="42" fillId="8" borderId="0" xfId="0" applyNumberFormat="1" applyFont="1" applyFill="1" applyAlignment="1">
      <alignment horizontal="right" vertical="center"/>
    </xf>
    <xf numFmtId="0" fontId="42" fillId="8" borderId="0" xfId="0" applyNumberFormat="1" applyFont="1" applyFill="1" applyAlignment="1">
      <alignment horizontal="right" vertical="center" wrapText="1"/>
    </xf>
    <xf numFmtId="4" fontId="42" fillId="0" borderId="0" xfId="0" applyNumberFormat="1" applyFont="1" applyAlignment="1">
      <alignment horizontal="right" vertical="center" wrapText="1"/>
    </xf>
    <xf numFmtId="0" fontId="42" fillId="0" borderId="0" xfId="0" applyNumberFormat="1" applyFont="1" applyAlignment="1">
      <alignment horizontal="left" vertical="center" wrapText="1" indent="1"/>
    </xf>
    <xf numFmtId="0" fontId="61" fillId="8" borderId="0" xfId="0" applyNumberFormat="1" applyFont="1" applyFill="1" applyAlignment="1">
      <alignment horizontal="center" vertical="center" wrapText="1"/>
    </xf>
    <xf numFmtId="0" fontId="17" fillId="8" borderId="0" xfId="0" applyNumberFormat="1" applyFont="1" applyFill="1" applyAlignment="1">
      <alignment horizontal="center" vertical="center" wrapText="1"/>
    </xf>
    <xf numFmtId="0" fontId="46" fillId="0" borderId="0" xfId="0" applyNumberFormat="1" applyFont="1" applyAlignment="1">
      <alignment vertical="center" wrapText="1"/>
    </xf>
    <xf numFmtId="0" fontId="29" fillId="0" borderId="0" xfId="0" applyNumberFormat="1" applyFont="1" applyAlignment="1">
      <alignment vertical="center" wrapText="1"/>
    </xf>
    <xf numFmtId="49" fontId="5" fillId="13" borderId="3" xfId="0" applyNumberFormat="1" applyFont="1" applyFill="1" applyBorder="1" applyAlignment="1">
      <alignment horizontal="left" vertical="center" wrapText="1"/>
    </xf>
    <xf numFmtId="0" fontId="46" fillId="0" borderId="0" xfId="0" applyNumberFormat="1" applyFont="1" applyAlignment="1">
      <alignment horizontal="center" vertical="center" wrapText="1"/>
    </xf>
    <xf numFmtId="0" fontId="5" fillId="8" borderId="15" xfId="0" applyNumberFormat="1" applyFont="1" applyFill="1" applyBorder="1" applyAlignment="1">
      <alignment vertical="center" wrapText="1"/>
    </xf>
    <xf numFmtId="49" fontId="17" fillId="8" borderId="6" xfId="0" applyNumberFormat="1" applyFont="1" applyFill="1" applyBorder="1" applyAlignment="1">
      <alignment horizontal="center" vertical="center" wrapText="1"/>
    </xf>
    <xf numFmtId="0" fontId="29" fillId="0" borderId="0" xfId="0" applyNumberFormat="1" applyFont="1" applyAlignment="1">
      <alignment horizontal="center" vertical="center" wrapText="1"/>
    </xf>
    <xf numFmtId="0" fontId="61" fillId="0" borderId="0" xfId="0" applyNumberFormat="1" applyFont="1" applyAlignment="1">
      <alignment horizontal="center" vertical="center" wrapText="1"/>
    </xf>
    <xf numFmtId="0" fontId="54" fillId="0" borderId="0" xfId="0" applyNumberFormat="1" applyFont="1" applyAlignment="1">
      <alignment vertical="center" wrapText="1"/>
    </xf>
    <xf numFmtId="49" fontId="54" fillId="0" borderId="3" xfId="0" applyNumberFormat="1" applyFont="1" applyBorder="1" applyAlignment="1">
      <alignment horizontal="left" vertical="center" wrapText="1"/>
    </xf>
    <xf numFmtId="0" fontId="62" fillId="8" borderId="0" xfId="0" applyNumberFormat="1" applyFont="1" applyFill="1" applyAlignment="1">
      <alignment horizontal="center" vertical="center" wrapText="1"/>
    </xf>
    <xf numFmtId="49" fontId="54" fillId="0" borderId="8" xfId="0" applyNumberFormat="1" applyFont="1" applyBorder="1" applyAlignment="1">
      <alignment horizontal="left" vertical="center" wrapText="1"/>
    </xf>
    <xf numFmtId="0" fontId="29" fillId="0" borderId="0" xfId="0" applyNumberFormat="1" applyFont="1" applyAlignment="1">
      <alignment vertical="center"/>
    </xf>
    <xf numFmtId="0" fontId="29" fillId="8" borderId="0" xfId="0" applyNumberFormat="1" applyFont="1" applyFill="1" applyAlignment="1"/>
    <xf numFmtId="0" fontId="29" fillId="8" borderId="0" xfId="0" applyNumberFormat="1" applyFont="1" applyFill="1" applyAlignment="1">
      <alignment vertical="center" wrapText="1"/>
    </xf>
    <xf numFmtId="0" fontId="29" fillId="0" borderId="0" xfId="0" applyNumberFormat="1" applyFont="1" applyAlignment="1">
      <alignment vertical="center" wrapText="1"/>
    </xf>
    <xf numFmtId="49" fontId="5" fillId="0" borderId="0" xfId="0" applyNumberFormat="1" applyFont="1">
      <alignment vertical="top"/>
    </xf>
    <xf numFmtId="0" fontId="5" fillId="0" borderId="0" xfId="0" applyNumberFormat="1" applyFont="1" applyAlignment="1">
      <alignment vertical="center" wrapText="1"/>
    </xf>
    <xf numFmtId="0" fontId="18" fillId="8" borderId="0" xfId="0" applyNumberFormat="1" applyFont="1" applyFill="1" applyAlignment="1">
      <alignment horizontal="center" vertical="center" wrapText="1"/>
    </xf>
    <xf numFmtId="0" fontId="23" fillId="0" borderId="0" xfId="0" applyNumberFormat="1" applyFont="1" applyAlignment="1">
      <alignment vertical="center" wrapText="1"/>
    </xf>
    <xf numFmtId="49" fontId="5" fillId="0" borderId="3" xfId="0" applyNumberFormat="1" applyFont="1" applyBorder="1" applyAlignment="1">
      <alignment horizontal="left" vertical="center" wrapText="1"/>
    </xf>
    <xf numFmtId="0" fontId="5" fillId="0" borderId="0" xfId="0" applyNumberFormat="1" applyFont="1" applyAlignment="1">
      <alignment vertical="center" wrapText="1"/>
    </xf>
    <xf numFmtId="49" fontId="29" fillId="0" borderId="0" xfId="0" applyNumberFormat="1" applyFont="1" applyAlignment="1">
      <alignment vertical="center" wrapText="1"/>
    </xf>
    <xf numFmtId="0" fontId="29" fillId="0" borderId="0" xfId="0" applyNumberFormat="1" applyFont="1" applyAlignment="1">
      <alignment vertical="center" wrapText="1"/>
    </xf>
    <xf numFmtId="0" fontId="5" fillId="0" borderId="3" xfId="0" applyNumberFormat="1" applyFont="1" applyBorder="1" applyAlignment="1">
      <alignment horizontal="center" vertical="center" wrapText="1"/>
    </xf>
    <xf numFmtId="14" fontId="5" fillId="10" borderId="6" xfId="0" applyNumberFormat="1" applyFont="1" applyFill="1" applyBorder="1" applyAlignment="1">
      <alignment horizontal="center" vertical="center" wrapText="1"/>
    </xf>
    <xf numFmtId="49" fontId="5" fillId="10" borderId="6" xfId="0" applyNumberFormat="1" applyFont="1" applyFill="1" applyBorder="1" applyAlignment="1">
      <alignment horizontal="center" vertical="center" wrapText="1"/>
    </xf>
    <xf numFmtId="14" fontId="63" fillId="10" borderId="6" xfId="0" applyNumberFormat="1" applyFont="1" applyFill="1" applyBorder="1" applyAlignment="1">
      <alignment horizontal="center" vertical="center" wrapText="1"/>
    </xf>
    <xf numFmtId="0" fontId="29" fillId="0" borderId="0" xfId="0" applyNumberFormat="1" applyFont="1" applyAlignment="1">
      <alignment horizontal="left" vertical="center" wrapText="1"/>
    </xf>
    <xf numFmtId="49" fontId="29" fillId="0" borderId="0" xfId="0" applyNumberFormat="1" applyFont="1" applyAlignment="1">
      <alignment horizontal="left" vertical="center" wrapText="1"/>
    </xf>
    <xf numFmtId="0" fontId="29" fillId="0" borderId="0" xfId="0" applyNumberFormat="1" applyFont="1" applyAlignment="1">
      <alignment vertical="center" wrapText="1"/>
    </xf>
    <xf numFmtId="49" fontId="35" fillId="0" borderId="3" xfId="0" applyNumberFormat="1" applyFont="1" applyBorder="1" applyAlignment="1">
      <alignment horizontal="left" vertical="center" wrapText="1"/>
    </xf>
    <xf numFmtId="14" fontId="5" fillId="13" borderId="3" xfId="0" applyNumberFormat="1" applyFont="1" applyFill="1" applyBorder="1" applyAlignment="1">
      <alignment horizontal="center" vertical="center" wrapText="1"/>
    </xf>
    <xf numFmtId="0" fontId="5" fillId="0" borderId="3" xfId="0" applyNumberFormat="1" applyFont="1" applyBorder="1" applyAlignment="1">
      <alignment horizontal="center" vertical="center" wrapText="1"/>
    </xf>
    <xf numFmtId="0" fontId="5" fillId="0" borderId="0" xfId="0" applyNumberFormat="1" applyFont="1" applyAlignment="1">
      <alignment horizontal="center" vertical="center" wrapText="1"/>
    </xf>
    <xf numFmtId="0" fontId="5" fillId="0" borderId="3" xfId="0" applyNumberFormat="1" applyFont="1" applyBorder="1" applyAlignment="1">
      <alignment horizontal="center" vertical="center" wrapText="1"/>
    </xf>
    <xf numFmtId="49" fontId="5" fillId="13" borderId="3" xfId="0" applyNumberFormat="1" applyFont="1" applyFill="1" applyBorder="1" applyAlignment="1">
      <alignment horizontal="center" vertical="center" wrapText="1"/>
    </xf>
    <xf numFmtId="0" fontId="64" fillId="0" borderId="0" xfId="0" applyNumberFormat="1" applyFont="1" applyAlignment="1">
      <alignment horizontal="center" vertical="center" wrapText="1"/>
    </xf>
    <xf numFmtId="0" fontId="18" fillId="0" borderId="0" xfId="0" applyNumberFormat="1" applyFont="1" applyAlignment="1">
      <alignment horizontal="center" vertical="center" wrapText="1"/>
    </xf>
    <xf numFmtId="49" fontId="5" fillId="0" borderId="3" xfId="0" applyNumberFormat="1" applyFont="1" applyBorder="1" applyAlignment="1">
      <alignment horizontal="center" vertical="center" wrapText="1"/>
    </xf>
    <xf numFmtId="0" fontId="0" fillId="8" borderId="5" xfId="0" applyNumberFormat="1" applyFont="1" applyFill="1" applyBorder="1" applyAlignment="1">
      <alignment horizontal="left" vertical="center" wrapText="1"/>
    </xf>
    <xf numFmtId="49" fontId="31" fillId="10" borderId="6" xfId="0" applyNumberFormat="1" applyFont="1" applyFill="1" applyBorder="1" applyAlignment="1">
      <alignment horizontal="center" vertical="center"/>
    </xf>
    <xf numFmtId="0" fontId="14" fillId="0" borderId="0" xfId="0" applyNumberFormat="1" applyFont="1" applyAlignment="1">
      <alignment vertical="center" wrapText="1"/>
    </xf>
    <xf numFmtId="0" fontId="13" fillId="0" borderId="0" xfId="0" applyNumberFormat="1" applyFont="1" applyAlignment="1">
      <alignment horizontal="center" vertical="center" wrapText="1"/>
    </xf>
    <xf numFmtId="0" fontId="5" fillId="0" borderId="0" xfId="0" applyNumberFormat="1" applyFont="1" applyAlignment="1">
      <alignment horizontal="center" vertical="center" wrapText="1"/>
    </xf>
    <xf numFmtId="0" fontId="5" fillId="0" borderId="0" xfId="0" applyNumberFormat="1" applyFont="1" applyAlignment="1">
      <alignment vertical="center" wrapText="1"/>
    </xf>
    <xf numFmtId="0" fontId="28" fillId="0" borderId="0" xfId="0" applyNumberFormat="1" applyFont="1" applyAlignment="1">
      <alignment horizontal="center" vertical="center" wrapText="1"/>
    </xf>
    <xf numFmtId="0" fontId="65" fillId="0" borderId="0" xfId="0" applyNumberFormat="1" applyFont="1" applyAlignment="1">
      <alignment vertical="center" wrapText="1"/>
    </xf>
    <xf numFmtId="49" fontId="28" fillId="0" borderId="0" xfId="0" applyNumberFormat="1" applyFont="1" applyAlignment="1">
      <alignment horizontal="center" vertical="center" wrapText="1"/>
    </xf>
    <xf numFmtId="0" fontId="28" fillId="0" borderId="0" xfId="0" applyNumberFormat="1" applyFont="1" applyAlignment="1">
      <alignment vertical="center" wrapText="1"/>
    </xf>
    <xf numFmtId="49" fontId="5" fillId="0" borderId="0" xfId="0" applyNumberFormat="1" applyFont="1" applyAlignment="1">
      <alignment horizontal="center" vertical="top" wrapText="1"/>
    </xf>
    <xf numFmtId="49" fontId="5" fillId="0" borderId="3" xfId="0" applyNumberFormat="1" applyFont="1" applyBorder="1" applyAlignment="1">
      <alignment horizontal="center" vertical="center" wrapText="1"/>
    </xf>
    <xf numFmtId="49" fontId="5" fillId="12" borderId="3" xfId="0" applyNumberFormat="1" applyFont="1" applyFill="1" applyBorder="1" applyAlignment="1" applyProtection="1">
      <alignment vertical="center" wrapText="1"/>
      <protection locked="0"/>
    </xf>
    <xf numFmtId="4" fontId="5" fillId="9" borderId="3" xfId="0" applyNumberFormat="1" applyFont="1" applyFill="1" applyBorder="1" applyAlignment="1" applyProtection="1">
      <alignment horizontal="right" vertical="center" wrapText="1"/>
      <protection locked="0"/>
    </xf>
    <xf numFmtId="0" fontId="5" fillId="0" borderId="4" xfId="0" applyNumberFormat="1" applyFont="1" applyBorder="1" applyAlignment="1">
      <alignment vertical="top" wrapText="1"/>
    </xf>
    <xf numFmtId="0" fontId="66" fillId="0" borderId="0" xfId="0" applyNumberFormat="1" applyFont="1" applyAlignment="1">
      <alignment vertical="center" wrapText="1"/>
    </xf>
    <xf numFmtId="0" fontId="36" fillId="0" borderId="0" xfId="0" applyNumberFormat="1" applyFont="1" applyAlignment="1">
      <alignment vertical="center" wrapText="1"/>
    </xf>
    <xf numFmtId="167" fontId="5" fillId="9" borderId="3" xfId="0" applyNumberFormat="1" applyFont="1" applyFill="1" applyBorder="1" applyAlignment="1" applyProtection="1">
      <alignment horizontal="right" vertical="center" wrapText="1"/>
      <protection locked="0"/>
    </xf>
    <xf numFmtId="0" fontId="5" fillId="0" borderId="19" xfId="0" applyNumberFormat="1" applyFont="1" applyBorder="1" applyAlignment="1">
      <alignment horizontal="center" vertical="center" wrapText="1"/>
    </xf>
    <xf numFmtId="0" fontId="5" fillId="12" borderId="3" xfId="0" applyNumberFormat="1" applyFont="1" applyFill="1" applyBorder="1" applyAlignment="1" applyProtection="1">
      <alignment horizontal="left" vertical="center" wrapText="1" indent="2"/>
      <protection locked="0"/>
    </xf>
    <xf numFmtId="49" fontId="29" fillId="0" borderId="0" xfId="0" applyNumberFormat="1" applyFont="1" applyAlignment="1">
      <alignment horizontal="center" vertical="center" wrapText="1"/>
    </xf>
    <xf numFmtId="0" fontId="29" fillId="0" borderId="19" xfId="0" applyNumberFormat="1" applyFont="1" applyBorder="1" applyAlignment="1">
      <alignment horizontal="center" vertical="center" wrapText="1"/>
    </xf>
    <xf numFmtId="0" fontId="29" fillId="0" borderId="3" xfId="0" applyNumberFormat="1" applyFont="1" applyBorder="1" applyAlignment="1">
      <alignment horizontal="left" vertical="center" wrapText="1" indent="2"/>
    </xf>
    <xf numFmtId="0" fontId="29" fillId="0" borderId="3" xfId="0" applyNumberFormat="1" applyFont="1" applyBorder="1" applyAlignment="1">
      <alignment horizontal="center" vertical="center" wrapText="1"/>
    </xf>
    <xf numFmtId="0" fontId="29" fillId="0" borderId="3" xfId="0" applyNumberFormat="1" applyFont="1" applyBorder="1" applyAlignment="1">
      <alignment vertical="center" wrapText="1"/>
    </xf>
    <xf numFmtId="0" fontId="5" fillId="0" borderId="3" xfId="0" applyNumberFormat="1" applyFont="1" applyBorder="1" applyAlignment="1">
      <alignment horizontal="left" vertical="center" wrapText="1" indent="3"/>
    </xf>
    <xf numFmtId="49" fontId="5" fillId="12" borderId="3" xfId="0" applyNumberFormat="1" applyFont="1" applyFill="1" applyBorder="1" applyAlignment="1" applyProtection="1">
      <alignment horizontal="center" vertical="center" wrapText="1"/>
      <protection locked="0"/>
    </xf>
    <xf numFmtId="0" fontId="5" fillId="9" borderId="3" xfId="0" applyNumberFormat="1" applyFont="1" applyFill="1" applyBorder="1" applyAlignment="1" applyProtection="1">
      <alignment horizontal="left" vertical="center" wrapText="1"/>
      <protection locked="0"/>
    </xf>
    <xf numFmtId="0" fontId="27" fillId="0" borderId="0" xfId="0" applyNumberFormat="1" applyFont="1" applyAlignment="1">
      <alignment vertical="center" wrapText="1"/>
    </xf>
    <xf numFmtId="4" fontId="5" fillId="12" borderId="3" xfId="0" applyNumberFormat="1" applyFont="1" applyFill="1" applyBorder="1" applyAlignment="1" applyProtection="1">
      <alignment horizontal="right" vertical="center" wrapText="1"/>
      <protection locked="0"/>
    </xf>
    <xf numFmtId="4" fontId="5" fillId="7" borderId="3" xfId="0" applyNumberFormat="1" applyFont="1" applyFill="1" applyBorder="1" applyAlignment="1">
      <alignment horizontal="right" vertical="center" wrapText="1"/>
    </xf>
    <xf numFmtId="0" fontId="5" fillId="0" borderId="3" xfId="0" applyNumberFormat="1" applyFont="1" applyBorder="1" applyAlignment="1">
      <alignment horizontal="left" vertical="center" wrapText="1" indent="1"/>
    </xf>
    <xf numFmtId="49" fontId="54" fillId="0" borderId="0" xfId="0" applyNumberFormat="1" applyFont="1" applyAlignment="1">
      <alignment horizontal="center" vertical="center" wrapText="1"/>
    </xf>
    <xf numFmtId="49" fontId="54" fillId="0" borderId="19" xfId="0" applyNumberFormat="1" applyFont="1" applyBorder="1" applyAlignment="1">
      <alignment horizontal="center" vertical="center" wrapText="1"/>
    </xf>
    <xf numFmtId="0" fontId="54" fillId="0" borderId="3" xfId="0" applyNumberFormat="1" applyFont="1" applyBorder="1" applyAlignment="1">
      <alignment horizontal="left" vertical="center" wrapText="1" indent="2"/>
    </xf>
    <xf numFmtId="0" fontId="54" fillId="0" borderId="3" xfId="0" applyNumberFormat="1" applyFont="1" applyBorder="1" applyAlignment="1">
      <alignment horizontal="center" vertical="center" wrapText="1"/>
    </xf>
    <xf numFmtId="0" fontId="54" fillId="0" borderId="3" xfId="0" applyNumberFormat="1" applyFont="1" applyBorder="1" applyAlignment="1">
      <alignment vertical="center" wrapText="1"/>
    </xf>
    <xf numFmtId="0" fontId="67" fillId="0" borderId="0" xfId="0" applyNumberFormat="1" applyFont="1" applyAlignment="1">
      <alignment vertical="center" wrapText="1"/>
    </xf>
    <xf numFmtId="0" fontId="45" fillId="0" borderId="0" xfId="0" applyNumberFormat="1" applyFont="1" applyAlignment="1">
      <alignment vertical="center" wrapText="1"/>
    </xf>
    <xf numFmtId="0" fontId="54" fillId="0" borderId="19" xfId="0" applyNumberFormat="1" applyFont="1" applyBorder="1" applyAlignment="1">
      <alignment horizontal="center" vertical="center" wrapText="1"/>
    </xf>
    <xf numFmtId="0" fontId="54" fillId="0" borderId="3" xfId="0" applyNumberFormat="1" applyFont="1" applyBorder="1" applyAlignment="1">
      <alignment horizontal="left" vertical="center" wrapText="1" indent="3"/>
    </xf>
    <xf numFmtId="4" fontId="54" fillId="0" borderId="3" xfId="0" applyNumberFormat="1" applyFont="1" applyBorder="1" applyAlignment="1">
      <alignment horizontal="right" vertical="center" wrapText="1"/>
    </xf>
    <xf numFmtId="49" fontId="5" fillId="10" borderId="5" xfId="0" applyNumberFormat="1" applyFont="1" applyFill="1" applyBorder="1" applyAlignment="1">
      <alignment vertical="center" wrapText="1"/>
    </xf>
    <xf numFmtId="49" fontId="21" fillId="10" borderId="6" xfId="0" applyNumberFormat="1" applyFont="1" applyFill="1" applyBorder="1" applyAlignment="1">
      <alignment horizontal="left" vertical="center" indent="2"/>
    </xf>
    <xf numFmtId="0" fontId="5" fillId="10" borderId="6" xfId="0" applyNumberFormat="1" applyFont="1" applyFill="1" applyBorder="1" applyAlignment="1">
      <alignment vertical="center" wrapText="1"/>
    </xf>
    <xf numFmtId="0" fontId="28" fillId="10" borderId="4" xfId="0" applyNumberFormat="1" applyFont="1" applyFill="1" applyBorder="1" applyAlignment="1">
      <alignment vertical="center" wrapText="1"/>
    </xf>
    <xf numFmtId="14" fontId="5" fillId="0" borderId="0" xfId="0" applyNumberFormat="1" applyFont="1" applyAlignment="1">
      <alignment horizontal="center" vertical="center" wrapText="1"/>
    </xf>
    <xf numFmtId="49" fontId="31" fillId="0" borderId="0" xfId="0" applyNumberFormat="1" applyFont="1" applyAlignment="1">
      <alignment horizontal="center" vertical="center"/>
    </xf>
    <xf numFmtId="0" fontId="5" fillId="0" borderId="3" xfId="0" applyNumberFormat="1" applyFont="1" applyBorder="1" applyAlignment="1">
      <alignment horizontal="left" vertical="center" wrapText="1" indent="2"/>
    </xf>
    <xf numFmtId="167" fontId="5" fillId="12" borderId="3" xfId="0" applyNumberFormat="1" applyFont="1" applyFill="1" applyBorder="1" applyAlignment="1" applyProtection="1">
      <alignment horizontal="right" vertical="center" wrapText="1"/>
      <protection locked="0"/>
    </xf>
    <xf numFmtId="0" fontId="5" fillId="0" borderId="8" xfId="0" applyNumberFormat="1" applyFont="1" applyBorder="1" applyAlignment="1">
      <alignment horizontal="center" vertical="center" wrapText="1"/>
    </xf>
    <xf numFmtId="4" fontId="5" fillId="7" borderId="8" xfId="0" applyNumberFormat="1" applyFont="1" applyFill="1" applyBorder="1" applyAlignment="1">
      <alignment horizontal="right" vertical="center" wrapText="1"/>
    </xf>
    <xf numFmtId="49" fontId="21" fillId="10" borderId="6" xfId="0" applyNumberFormat="1" applyFont="1" applyFill="1" applyBorder="1" applyAlignment="1">
      <alignment horizontal="left" vertical="center" indent="1"/>
    </xf>
    <xf numFmtId="0" fontId="5" fillId="0" borderId="0" xfId="0" applyNumberFormat="1" applyFont="1" applyAlignment="1">
      <alignment horizontal="left" vertical="center" wrapText="1"/>
    </xf>
    <xf numFmtId="0" fontId="5" fillId="0" borderId="0" xfId="0" applyNumberFormat="1" applyFont="1" applyAlignment="1">
      <alignment vertical="center"/>
    </xf>
    <xf numFmtId="0" fontId="0" fillId="0" borderId="0" xfId="0" applyNumberFormat="1" applyFont="1" applyAlignment="1">
      <alignment vertical="center"/>
    </xf>
    <xf numFmtId="0" fontId="28" fillId="0" borderId="0" xfId="0" applyNumberFormat="1" applyFont="1" applyAlignment="1">
      <alignment vertical="center"/>
    </xf>
    <xf numFmtId="0" fontId="5" fillId="0" borderId="0" xfId="0" applyNumberFormat="1" applyFont="1" applyAlignment="1">
      <alignment vertical="center"/>
    </xf>
    <xf numFmtId="0" fontId="68" fillId="0" borderId="0" xfId="0" applyNumberFormat="1" applyFont="1" applyAlignment="1">
      <alignment vertical="center"/>
    </xf>
    <xf numFmtId="0" fontId="22" fillId="0" borderId="0" xfId="0" applyNumberFormat="1" applyFont="1" applyAlignment="1">
      <alignment vertical="center"/>
    </xf>
    <xf numFmtId="0" fontId="5" fillId="0" borderId="0" xfId="0" applyNumberFormat="1" applyFont="1" applyAlignment="1">
      <alignment vertical="center" wrapText="1"/>
    </xf>
    <xf numFmtId="0" fontId="22" fillId="0" borderId="0" xfId="0" applyNumberFormat="1" applyFont="1" applyAlignment="1">
      <alignment vertical="center"/>
    </xf>
    <xf numFmtId="0" fontId="68" fillId="0" borderId="0" xfId="0" applyNumberFormat="1" applyFont="1" applyAlignment="1">
      <alignment vertical="center"/>
    </xf>
    <xf numFmtId="0" fontId="34" fillId="0" borderId="0" xfId="0" applyNumberFormat="1" applyFont="1" applyAlignment="1">
      <alignment vertical="center"/>
    </xf>
    <xf numFmtId="0" fontId="5" fillId="0" borderId="0" xfId="0" applyNumberFormat="1" applyFont="1" applyAlignment="1">
      <alignment horizontal="center" vertical="center" wrapText="1"/>
    </xf>
    <xf numFmtId="49" fontId="17" fillId="0" borderId="0" xfId="0" applyNumberFormat="1" applyFont="1" applyAlignment="1">
      <alignment horizontal="center" vertical="center" wrapText="1"/>
    </xf>
    <xf numFmtId="49" fontId="17" fillId="0" borderId="3" xfId="0" applyNumberFormat="1" applyFont="1" applyBorder="1" applyAlignment="1">
      <alignment horizontal="center" vertical="center" wrapText="1"/>
    </xf>
    <xf numFmtId="0" fontId="28" fillId="0" borderId="0" xfId="0" applyNumberFormat="1" applyFont="1" applyAlignment="1">
      <alignment vertical="center"/>
    </xf>
    <xf numFmtId="0" fontId="0" fillId="0" borderId="0" xfId="0" applyNumberFormat="1" applyFont="1" applyAlignment="1">
      <alignment vertical="center"/>
    </xf>
    <xf numFmtId="0" fontId="29" fillId="0" borderId="0" xfId="0" applyNumberFormat="1" applyFont="1" applyAlignment="1">
      <alignment horizontal="center" vertical="center"/>
    </xf>
    <xf numFmtId="0" fontId="5" fillId="0" borderId="0" xfId="0" applyNumberFormat="1" applyFont="1" applyAlignment="1">
      <alignment horizontal="center" vertical="center" wrapText="1"/>
    </xf>
    <xf numFmtId="0" fontId="5" fillId="10" borderId="5" xfId="0" applyNumberFormat="1" applyFont="1" applyFill="1" applyBorder="1" applyAlignment="1">
      <alignment horizontal="center" vertical="center" wrapText="1"/>
    </xf>
    <xf numFmtId="49" fontId="5" fillId="10" borderId="6" xfId="0" applyNumberFormat="1" applyFont="1" applyFill="1" applyBorder="1" applyAlignment="1">
      <alignment horizontal="center" vertical="center" wrapText="1"/>
    </xf>
    <xf numFmtId="0" fontId="0" fillId="10" borderId="4" xfId="0" applyNumberFormat="1" applyFont="1" applyFill="1" applyBorder="1" applyAlignment="1">
      <alignment vertical="center"/>
    </xf>
    <xf numFmtId="49" fontId="5" fillId="0" borderId="8" xfId="0" applyNumberFormat="1" applyFont="1" applyBorder="1" applyAlignment="1">
      <alignment horizontal="center" vertical="center" wrapText="1"/>
    </xf>
    <xf numFmtId="49" fontId="57" fillId="0" borderId="3" xfId="0" applyNumberFormat="1" applyFont="1" applyBorder="1" applyAlignment="1">
      <alignment horizontal="left" vertical="center" wrapText="1" indent="1"/>
    </xf>
    <xf numFmtId="0" fontId="28" fillId="0" borderId="0" xfId="0" applyNumberFormat="1" applyFont="1" applyAlignment="1">
      <alignment vertical="center"/>
    </xf>
    <xf numFmtId="0" fontId="56" fillId="0" borderId="0" xfId="0" applyNumberFormat="1" applyFont="1" applyAlignment="1">
      <alignment vertical="center"/>
    </xf>
    <xf numFmtId="0" fontId="0" fillId="0" borderId="0" xfId="0" applyNumberFormat="1" applyFont="1" applyAlignment="1">
      <alignment vertical="center"/>
    </xf>
    <xf numFmtId="49" fontId="21" fillId="10" borderId="4" xfId="0" applyNumberFormat="1" applyFont="1" applyFill="1" applyBorder="1" applyAlignment="1">
      <alignment horizontal="left" vertical="center" indent="1"/>
    </xf>
    <xf numFmtId="49" fontId="31" fillId="10" borderId="4" xfId="0" applyNumberFormat="1" applyFont="1" applyFill="1" applyBorder="1" applyAlignment="1">
      <alignment horizontal="right" vertical="center" wrapText="1"/>
    </xf>
    <xf numFmtId="0" fontId="57" fillId="15" borderId="0" xfId="0" applyNumberFormat="1" applyFont="1" applyFill="1">
      <alignment vertical="top"/>
    </xf>
    <xf numFmtId="49" fontId="13" fillId="0" borderId="0" xfId="0" applyNumberFormat="1" applyFont="1" applyAlignment="1">
      <alignment horizontal="center" vertical="center" wrapText="1"/>
    </xf>
    <xf numFmtId="0" fontId="29" fillId="0" borderId="0" xfId="0" applyNumberFormat="1" applyFont="1" applyAlignment="1">
      <alignment vertical="center" wrapText="1"/>
    </xf>
    <xf numFmtId="0" fontId="13" fillId="0" borderId="0" xfId="0" applyNumberFormat="1" applyFont="1" applyAlignment="1">
      <alignment vertical="center" wrapText="1"/>
    </xf>
    <xf numFmtId="0" fontId="5" fillId="0" borderId="0" xfId="0" applyNumberFormat="1" applyFont="1" applyAlignment="1">
      <alignment horizontal="center" vertical="center" wrapText="1"/>
    </xf>
    <xf numFmtId="0" fontId="31" fillId="0" borderId="0" xfId="0" applyNumberFormat="1" applyFont="1" applyAlignment="1">
      <alignment horizontal="center" vertical="center" wrapText="1"/>
    </xf>
    <xf numFmtId="49" fontId="13" fillId="0" borderId="0" xfId="0" applyNumberFormat="1" applyFont="1" applyAlignment="1">
      <alignment horizontal="center" vertical="center" wrapText="1"/>
    </xf>
    <xf numFmtId="4" fontId="5" fillId="0" borderId="0" xfId="0" applyNumberFormat="1" applyFont="1" applyAlignment="1">
      <alignment horizontal="right" vertical="center" wrapText="1"/>
    </xf>
    <xf numFmtId="9" fontId="31" fillId="0" borderId="0" xfId="0" applyNumberFormat="1" applyFont="1" applyAlignment="1">
      <alignment horizontal="center" vertical="center" wrapText="1"/>
    </xf>
    <xf numFmtId="0" fontId="53" fillId="0" borderId="0" xfId="0" applyNumberFormat="1" applyFont="1" applyAlignment="1">
      <alignment vertical="center" wrapText="1"/>
    </xf>
    <xf numFmtId="0" fontId="29" fillId="0" borderId="0" xfId="0" applyNumberFormat="1" applyFont="1" applyAlignment="1">
      <alignment vertical="center" wrapText="1"/>
    </xf>
    <xf numFmtId="0" fontId="13" fillId="0" borderId="0" xfId="0" applyNumberFormat="1" applyFont="1" applyAlignment="1">
      <alignment vertical="center" wrapText="1"/>
    </xf>
    <xf numFmtId="49" fontId="45" fillId="0" borderId="0" xfId="0" applyNumberFormat="1" applyFont="1" applyAlignment="1">
      <alignment horizontal="center" vertical="center" wrapText="1"/>
    </xf>
    <xf numFmtId="0" fontId="45" fillId="0" borderId="0" xfId="0" applyNumberFormat="1" applyFont="1" applyAlignment="1">
      <alignment vertical="center" wrapText="1"/>
    </xf>
    <xf numFmtId="0" fontId="0" fillId="0" borderId="0" xfId="0" applyNumberFormat="1" applyFont="1">
      <alignment vertical="top"/>
    </xf>
    <xf numFmtId="49" fontId="0" fillId="0" borderId="0" xfId="0" applyNumberFormat="1" applyFont="1">
      <alignment vertical="top"/>
    </xf>
    <xf numFmtId="49" fontId="29" fillId="0" borderId="0" xfId="0" applyNumberFormat="1" applyFont="1">
      <alignment vertical="top"/>
    </xf>
    <xf numFmtId="49" fontId="28" fillId="0" borderId="0" xfId="0" applyNumberFormat="1" applyFont="1">
      <alignment vertical="top"/>
    </xf>
    <xf numFmtId="49" fontId="29" fillId="0" borderId="0" xfId="0" applyNumberFormat="1" applyFont="1">
      <alignment vertical="top"/>
    </xf>
    <xf numFmtId="49" fontId="28" fillId="0" borderId="0" xfId="0" applyNumberFormat="1" applyFont="1">
      <alignment vertical="top"/>
    </xf>
    <xf numFmtId="49" fontId="28" fillId="0" borderId="0" xfId="0" applyNumberFormat="1" applyFont="1">
      <alignment vertical="top"/>
    </xf>
    <xf numFmtId="0" fontId="28" fillId="0" borderId="0" xfId="0" applyNumberFormat="1" applyFont="1">
      <alignment vertical="top"/>
    </xf>
    <xf numFmtId="0" fontId="56" fillId="0" borderId="0" xfId="0" applyNumberFormat="1" applyFont="1">
      <alignment vertical="top"/>
    </xf>
    <xf numFmtId="0" fontId="69" fillId="0" borderId="0" xfId="0" applyNumberFormat="1" applyFont="1">
      <alignment vertical="top"/>
    </xf>
    <xf numFmtId="0" fontId="28" fillId="0" borderId="0" xfId="0" applyNumberFormat="1" applyFont="1" applyAlignment="1">
      <alignment horizontal="center" vertical="center" wrapText="1"/>
    </xf>
    <xf numFmtId="0" fontId="29" fillId="0" borderId="0" xfId="0" applyNumberFormat="1" applyFont="1" applyAlignment="1">
      <alignment horizontal="center" vertical="center" wrapText="1"/>
    </xf>
    <xf numFmtId="0" fontId="29" fillId="0" borderId="3" xfId="0" applyNumberFormat="1" applyFont="1" applyBorder="1" applyAlignment="1">
      <alignment horizontal="left" vertical="center" wrapText="1"/>
    </xf>
    <xf numFmtId="0" fontId="29" fillId="0" borderId="3" xfId="0" applyNumberFormat="1" applyFont="1" applyBorder="1" applyAlignment="1">
      <alignment vertical="center" wrapText="1"/>
    </xf>
    <xf numFmtId="49" fontId="0" fillId="0" borderId="4" xfId="0" applyNumberFormat="1" applyFont="1" applyBorder="1" applyAlignment="1">
      <alignment horizontal="center" vertical="center" wrapText="1"/>
    </xf>
    <xf numFmtId="49" fontId="0" fillId="0" borderId="3" xfId="0" applyNumberFormat="1" applyFont="1" applyBorder="1" applyAlignment="1">
      <alignment horizontal="center" vertical="center"/>
    </xf>
    <xf numFmtId="4" fontId="0" fillId="7" borderId="3" xfId="0" applyNumberFormat="1" applyFont="1" applyFill="1" applyBorder="1" applyAlignment="1">
      <alignment horizontal="right" vertical="center" wrapText="1"/>
    </xf>
    <xf numFmtId="0" fontId="0" fillId="0" borderId="3" xfId="0" applyNumberFormat="1" applyFont="1" applyBorder="1" applyAlignment="1">
      <alignment vertical="center" wrapText="1"/>
    </xf>
    <xf numFmtId="49" fontId="0" fillId="0" borderId="20" xfId="0" applyNumberFormat="1" applyFont="1" applyBorder="1" applyAlignment="1">
      <alignment horizontal="center" vertical="center" wrapText="1"/>
    </xf>
    <xf numFmtId="4" fontId="0" fillId="12" borderId="3" xfId="0" applyNumberFormat="1" applyFont="1" applyFill="1" applyBorder="1" applyAlignment="1" applyProtection="1">
      <alignment horizontal="right" vertical="center" wrapText="1"/>
      <protection locked="0"/>
    </xf>
    <xf numFmtId="49" fontId="0" fillId="12" borderId="3" xfId="0" applyNumberFormat="1" applyFont="1" applyFill="1" applyBorder="1" applyAlignment="1" applyProtection="1">
      <alignment horizontal="center" vertical="center" wrapText="1"/>
      <protection locked="0"/>
    </xf>
    <xf numFmtId="4" fontId="28" fillId="0" borderId="3" xfId="0" applyNumberFormat="1" applyFont="1" applyBorder="1" applyAlignment="1">
      <alignment horizontal="right" vertical="center" wrapText="1"/>
    </xf>
    <xf numFmtId="49" fontId="0" fillId="10" borderId="21" xfId="0" applyNumberFormat="1" applyFont="1" applyFill="1" applyBorder="1" applyAlignment="1">
      <alignment horizontal="center" vertical="center"/>
    </xf>
    <xf numFmtId="49" fontId="0" fillId="10" borderId="6" xfId="0" applyNumberFormat="1" applyFont="1" applyFill="1" applyBorder="1" applyAlignment="1">
      <alignment horizontal="center" vertical="center"/>
    </xf>
    <xf numFmtId="49" fontId="21" fillId="10" borderId="6" xfId="0" applyNumberFormat="1" applyFont="1" applyFill="1" applyBorder="1" applyAlignment="1">
      <alignment horizontal="left" vertical="center"/>
    </xf>
    <xf numFmtId="49" fontId="21" fillId="10" borderId="4" xfId="0" applyNumberFormat="1" applyFont="1" applyFill="1" applyBorder="1" applyAlignment="1">
      <alignment horizontal="left" vertical="center" indent="1"/>
    </xf>
    <xf numFmtId="49" fontId="21" fillId="10" borderId="5" xfId="0" applyNumberFormat="1" applyFont="1" applyFill="1" applyBorder="1" applyAlignment="1">
      <alignment horizontal="left" vertical="center"/>
    </xf>
    <xf numFmtId="49" fontId="21" fillId="10" borderId="6" xfId="0" applyNumberFormat="1" applyFont="1" applyFill="1" applyBorder="1" applyAlignment="1">
      <alignment horizontal="left" vertical="center" indent="1"/>
    </xf>
    <xf numFmtId="49" fontId="21" fillId="10" borderId="6" xfId="0" applyNumberFormat="1" applyFont="1" applyFill="1" applyBorder="1" applyAlignment="1">
      <alignment horizontal="left" vertical="center"/>
    </xf>
    <xf numFmtId="49" fontId="21" fillId="10" borderId="4" xfId="0" applyNumberFormat="1" applyFont="1" applyFill="1" applyBorder="1" applyAlignment="1">
      <alignment horizontal="left" vertical="center" indent="1"/>
    </xf>
    <xf numFmtId="0" fontId="21" fillId="0" borderId="3" xfId="0" applyNumberFormat="1" applyFont="1" applyBorder="1" applyAlignment="1">
      <alignment horizontal="left" vertical="center" indent="1"/>
    </xf>
    <xf numFmtId="0" fontId="5" fillId="0" borderId="0" xfId="0" applyNumberFormat="1" applyFont="1" applyAlignment="1">
      <alignment horizontal="right" vertical="center" wrapText="1"/>
    </xf>
    <xf numFmtId="0" fontId="0" fillId="0" borderId="0" xfId="0" applyNumberFormat="1" applyFont="1" applyAlignment="1">
      <alignment vertical="center"/>
    </xf>
    <xf numFmtId="0" fontId="26" fillId="0" borderId="0" xfId="0" applyNumberFormat="1" applyFont="1" applyAlignment="1">
      <alignment horizontal="right" vertical="top" wrapText="1"/>
    </xf>
    <xf numFmtId="0" fontId="5" fillId="0" borderId="0" xfId="0" applyNumberFormat="1" applyFont="1" applyAlignment="1">
      <alignment vertical="top" wrapText="1"/>
    </xf>
    <xf numFmtId="0" fontId="5" fillId="0" borderId="0" xfId="0" applyNumberFormat="1" applyFont="1" applyAlignment="1">
      <alignment horizontal="left" vertical="top" wrapText="1"/>
    </xf>
    <xf numFmtId="0" fontId="17" fillId="0" borderId="0" xfId="0" applyNumberFormat="1" applyFont="1" applyAlignment="1">
      <alignment horizontal="center" vertical="center" wrapText="1"/>
    </xf>
    <xf numFmtId="4" fontId="5" fillId="0" borderId="3" xfId="0" applyNumberFormat="1" applyFont="1" applyBorder="1" applyAlignment="1">
      <alignment horizontal="center" vertical="center" wrapText="1"/>
    </xf>
    <xf numFmtId="49" fontId="35" fillId="9" borderId="5" xfId="0" applyNumberFormat="1" applyFont="1" applyFill="1" applyBorder="1" applyAlignment="1" applyProtection="1">
      <alignment horizontal="left" vertical="center" wrapText="1"/>
      <protection locked="0"/>
    </xf>
    <xf numFmtId="49" fontId="35" fillId="9" borderId="5" xfId="0" applyNumberFormat="1" applyFont="1" applyFill="1" applyBorder="1" applyAlignment="1" applyProtection="1">
      <alignment horizontal="left" vertical="center" wrapText="1"/>
      <protection locked="0"/>
    </xf>
    <xf numFmtId="49" fontId="5" fillId="12" borderId="3" xfId="0" applyNumberFormat="1" applyFont="1" applyFill="1" applyBorder="1" applyAlignment="1" applyProtection="1">
      <alignment horizontal="left" vertical="center" wrapText="1"/>
      <protection locked="0"/>
    </xf>
    <xf numFmtId="0" fontId="26" fillId="0" borderId="0" xfId="0" applyNumberFormat="1" applyFont="1">
      <alignment vertical="top"/>
    </xf>
    <xf numFmtId="49" fontId="5" fillId="0" borderId="22" xfId="0" applyNumberFormat="1" applyFont="1" applyBorder="1" applyAlignment="1">
      <alignment horizontal="center" vertical="center" wrapText="1"/>
    </xf>
    <xf numFmtId="0" fontId="5" fillId="0" borderId="22" xfId="0" applyNumberFormat="1" applyFont="1" applyBorder="1" applyAlignment="1">
      <alignment horizontal="left" vertical="center" wrapText="1"/>
    </xf>
    <xf numFmtId="0" fontId="5" fillId="0" borderId="22" xfId="0" applyNumberFormat="1" applyFont="1" applyBorder="1" applyAlignment="1">
      <alignment horizontal="left" vertical="center" wrapText="1" indent="1"/>
    </xf>
    <xf numFmtId="4" fontId="5" fillId="12" borderId="22" xfId="0" applyNumberFormat="1" applyFont="1" applyFill="1" applyBorder="1" applyAlignment="1" applyProtection="1">
      <alignment horizontal="right" vertical="center" wrapText="1"/>
      <protection locked="0"/>
    </xf>
    <xf numFmtId="49" fontId="5" fillId="0" borderId="23" xfId="0" applyNumberFormat="1" applyFont="1" applyBorder="1" applyAlignment="1">
      <alignment horizontal="center" vertical="center" wrapText="1"/>
    </xf>
    <xf numFmtId="49" fontId="5" fillId="12" borderId="3" xfId="0" applyNumberFormat="1" applyFont="1" applyFill="1" applyBorder="1" applyAlignment="1" applyProtection="1">
      <alignment horizontal="left" vertical="center" wrapText="1" indent="1"/>
      <protection locked="0"/>
    </xf>
    <xf numFmtId="0" fontId="5" fillId="0" borderId="22" xfId="0" applyNumberFormat="1" applyFont="1" applyBorder="1" applyAlignment="1">
      <alignment horizontal="left" vertical="center" wrapText="1" indent="2"/>
    </xf>
    <xf numFmtId="0" fontId="28" fillId="0" borderId="0" xfId="0" applyNumberFormat="1" applyFont="1" applyAlignment="1">
      <alignment horizontal="center" vertical="center" wrapText="1"/>
    </xf>
    <xf numFmtId="49" fontId="5" fillId="0" borderId="0" xfId="0" applyNumberFormat="1" applyFont="1" applyAlignment="1">
      <alignment horizontal="left" vertical="center" wrapText="1"/>
    </xf>
    <xf numFmtId="0" fontId="65" fillId="0" borderId="0" xfId="0" applyNumberFormat="1" applyFont="1" applyAlignment="1">
      <alignment vertical="center" wrapText="1"/>
    </xf>
    <xf numFmtId="0" fontId="65" fillId="0" borderId="0" xfId="0" applyNumberFormat="1" applyFont="1" applyAlignment="1">
      <alignment vertical="center" wrapText="1"/>
    </xf>
    <xf numFmtId="0" fontId="5" fillId="0" borderId="0" xfId="0" applyNumberFormat="1" applyFont="1" applyAlignment="1">
      <alignment horizontal="left" vertical="center" wrapText="1"/>
    </xf>
    <xf numFmtId="0" fontId="5" fillId="0" borderId="3" xfId="0" applyNumberFormat="1" applyFont="1" applyBorder="1" applyAlignment="1">
      <alignment horizontal="left" vertical="center" wrapText="1"/>
    </xf>
    <xf numFmtId="3" fontId="5" fillId="0" borderId="5" xfId="0" applyNumberFormat="1" applyFont="1" applyBorder="1" applyAlignment="1">
      <alignment vertical="center" wrapText="1"/>
    </xf>
    <xf numFmtId="0" fontId="5" fillId="0" borderId="4" xfId="0" applyNumberFormat="1" applyFont="1" applyBorder="1" applyAlignment="1">
      <alignment vertical="center" wrapText="1"/>
    </xf>
    <xf numFmtId="4" fontId="5" fillId="9" borderId="5" xfId="0" applyNumberFormat="1" applyFont="1" applyFill="1" applyBorder="1" applyAlignment="1" applyProtection="1">
      <alignment horizontal="right" vertical="center" wrapText="1"/>
      <protection locked="0"/>
    </xf>
    <xf numFmtId="4" fontId="5" fillId="0" borderId="5" xfId="0" applyNumberFormat="1" applyFont="1" applyBorder="1" applyAlignment="1">
      <alignment horizontal="right" vertical="center" wrapText="1"/>
    </xf>
    <xf numFmtId="4" fontId="5" fillId="0" borderId="21" xfId="0" applyNumberFormat="1" applyFont="1" applyBorder="1" applyAlignment="1">
      <alignment horizontal="right" vertical="center" wrapText="1"/>
    </xf>
    <xf numFmtId="0" fontId="17" fillId="0" borderId="0" xfId="0" applyNumberFormat="1" applyFont="1" applyAlignment="1">
      <alignment horizontal="center" vertical="center" wrapText="1"/>
    </xf>
    <xf numFmtId="0" fontId="5" fillId="0" borderId="5" xfId="0" applyNumberFormat="1" applyFont="1" applyBorder="1" applyAlignment="1">
      <alignment horizontal="center" vertical="center" wrapText="1"/>
    </xf>
    <xf numFmtId="3" fontId="5" fillId="12" borderId="5" xfId="0" applyNumberFormat="1" applyFont="1" applyFill="1" applyBorder="1" applyAlignment="1" applyProtection="1">
      <alignment vertical="center" wrapText="1"/>
      <protection locked="0"/>
    </xf>
    <xf numFmtId="49" fontId="5" fillId="9" borderId="5" xfId="0" applyNumberFormat="1" applyFont="1" applyFill="1" applyBorder="1" applyAlignment="1" applyProtection="1">
      <alignment horizontal="left" vertical="center" wrapText="1"/>
      <protection locked="0"/>
    </xf>
    <xf numFmtId="4" fontId="5" fillId="7" borderId="5" xfId="0" applyNumberFormat="1" applyFont="1" applyFill="1" applyBorder="1" applyAlignment="1">
      <alignment horizontal="right" vertical="center" wrapText="1"/>
    </xf>
    <xf numFmtId="0" fontId="5" fillId="0" borderId="0" xfId="0" applyNumberFormat="1" applyFont="1" applyAlignment="1">
      <alignment horizontal="left" vertical="center" wrapText="1"/>
    </xf>
    <xf numFmtId="0" fontId="0" fillId="0" borderId="5" xfId="0" applyNumberFormat="1" applyFont="1" applyBorder="1" applyAlignment="1">
      <alignment horizontal="center" vertical="center"/>
    </xf>
    <xf numFmtId="49" fontId="0" fillId="0" borderId="3" xfId="0" applyNumberFormat="1" applyFont="1" applyBorder="1" applyAlignment="1">
      <alignment horizontal="left" vertical="center" wrapText="1" indent="1"/>
    </xf>
    <xf numFmtId="0" fontId="5" fillId="0" borderId="4" xfId="0" applyNumberFormat="1" applyFont="1" applyBorder="1" applyAlignment="1">
      <alignment horizontal="center" vertical="center" wrapText="1"/>
    </xf>
    <xf numFmtId="49" fontId="0" fillId="0" borderId="5" xfId="0" applyNumberFormat="1" applyFont="1" applyBorder="1" applyAlignment="1">
      <alignment horizontal="center" vertical="center"/>
    </xf>
    <xf numFmtId="49" fontId="0" fillId="0" borderId="3" xfId="0" applyNumberFormat="1" applyFont="1" applyBorder="1" applyAlignment="1">
      <alignment vertical="center" wrapText="1"/>
    </xf>
    <xf numFmtId="0" fontId="5" fillId="10" borderId="10" xfId="0" applyNumberFormat="1" applyFont="1" applyFill="1" applyBorder="1" applyAlignment="1">
      <alignment vertical="center" wrapText="1"/>
    </xf>
    <xf numFmtId="0" fontId="5" fillId="0" borderId="6" xfId="0" applyNumberFormat="1" applyFont="1" applyBorder="1" applyAlignment="1">
      <alignment horizontal="center" vertical="center" wrapText="1"/>
    </xf>
    <xf numFmtId="0" fontId="5" fillId="10" borderId="18" xfId="0" applyNumberFormat="1" applyFont="1" applyFill="1" applyBorder="1" applyAlignment="1">
      <alignment vertical="center" wrapText="1"/>
    </xf>
    <xf numFmtId="49" fontId="5" fillId="12" borderId="5" xfId="0" applyNumberFormat="1" applyFont="1" applyFill="1" applyBorder="1" applyAlignment="1" applyProtection="1">
      <alignment horizontal="left" vertical="center" wrapText="1"/>
      <protection locked="0"/>
    </xf>
    <xf numFmtId="49" fontId="0" fillId="9" borderId="3" xfId="0" applyNumberFormat="1" applyFont="1" applyFill="1" applyBorder="1" applyAlignment="1" applyProtection="1">
      <alignment horizontal="left" vertical="center" wrapText="1"/>
      <protection locked="0"/>
    </xf>
    <xf numFmtId="0" fontId="27" fillId="0" borderId="0" xfId="0" applyNumberFormat="1" applyFont="1" applyAlignment="1">
      <alignment horizontal="left" vertical="center" wrapText="1" indent="1"/>
    </xf>
    <xf numFmtId="0" fontId="70" fillId="0" borderId="0" xfId="0" applyNumberFormat="1" applyFont="1" applyAlignment="1">
      <alignment vertical="center" wrapText="1"/>
    </xf>
    <xf numFmtId="0" fontId="70" fillId="8" borderId="0" xfId="0" applyNumberFormat="1" applyFont="1" applyFill="1" applyAlignment="1">
      <alignment horizontal="center" vertical="center" wrapText="1"/>
    </xf>
    <xf numFmtId="0" fontId="70" fillId="8" borderId="0" xfId="0" applyNumberFormat="1" applyFont="1" applyFill="1" applyAlignment="1">
      <alignment horizontal="right" vertical="center" wrapText="1"/>
    </xf>
    <xf numFmtId="0" fontId="5" fillId="0" borderId="3" xfId="0" applyNumberFormat="1" applyFont="1" applyBorder="1" applyAlignment="1">
      <alignment horizontal="center" vertical="center" wrapText="1"/>
    </xf>
    <xf numFmtId="49" fontId="28" fillId="0" borderId="0" xfId="0" applyNumberFormat="1" applyFont="1" applyAlignment="1">
      <alignment horizontal="center" vertical="center" wrapText="1"/>
    </xf>
    <xf numFmtId="0" fontId="5" fillId="0" borderId="3" xfId="0" applyNumberFormat="1" applyFont="1" applyBorder="1" applyAlignment="1">
      <alignment horizontal="center" vertical="center" wrapText="1"/>
    </xf>
    <xf numFmtId="0" fontId="28" fillId="0" borderId="0" xfId="0" applyNumberFormat="1" applyFont="1" applyAlignment="1">
      <alignment horizontal="center" vertical="top"/>
    </xf>
    <xf numFmtId="0" fontId="5" fillId="0" borderId="3" xfId="0" applyNumberFormat="1" applyFont="1" applyBorder="1" applyAlignment="1">
      <alignment horizontal="left" vertical="center" wrapText="1"/>
    </xf>
    <xf numFmtId="0" fontId="29" fillId="0" borderId="0" xfId="0" applyNumberFormat="1" applyFont="1" applyAlignment="1">
      <alignment horizontal="center" vertical="center" wrapText="1"/>
    </xf>
    <xf numFmtId="0" fontId="5" fillId="0" borderId="3" xfId="0" applyNumberFormat="1" applyFont="1" applyBorder="1" applyAlignment="1">
      <alignment horizontal="left" vertical="center" wrapText="1"/>
    </xf>
    <xf numFmtId="49" fontId="5" fillId="13" borderId="3" xfId="0" applyNumberFormat="1" applyFont="1" applyFill="1" applyBorder="1" applyAlignment="1">
      <alignment horizontal="left" vertical="center" wrapText="1" indent="1"/>
    </xf>
    <xf numFmtId="0" fontId="5" fillId="0" borderId="5" xfId="0" applyNumberFormat="1" applyFont="1" applyBorder="1" applyAlignment="1">
      <alignment vertical="center" wrapText="1"/>
    </xf>
    <xf numFmtId="0" fontId="5" fillId="0" borderId="0" xfId="0" applyNumberFormat="1" applyFont="1" applyAlignment="1">
      <alignment horizontal="right" vertical="center"/>
    </xf>
    <xf numFmtId="49" fontId="35" fillId="10" borderId="4" xfId="0" applyNumberFormat="1" applyFont="1" applyFill="1" applyBorder="1" applyAlignment="1">
      <alignment horizontal="left" vertical="center" wrapText="1"/>
    </xf>
    <xf numFmtId="0" fontId="71" fillId="0" borderId="0" xfId="0" applyNumberFormat="1" applyFont="1" applyAlignment="1">
      <alignment vertical="center"/>
    </xf>
    <xf numFmtId="0" fontId="72" fillId="0" borderId="0" xfId="0" applyNumberFormat="1" applyFont="1" applyAlignment="1">
      <alignment vertical="center"/>
    </xf>
    <xf numFmtId="49" fontId="29" fillId="0" borderId="13" xfId="0" applyNumberFormat="1" applyFont="1" applyBorder="1">
      <alignment vertical="top"/>
    </xf>
    <xf numFmtId="49" fontId="29" fillId="0" borderId="13" xfId="0" applyNumberFormat="1" applyFont="1" applyBorder="1">
      <alignment vertical="top"/>
    </xf>
    <xf numFmtId="0" fontId="29" fillId="0" borderId="13" xfId="0" applyNumberFormat="1" applyFont="1" applyBorder="1" applyAlignment="1">
      <alignment vertical="center" wrapText="1"/>
    </xf>
    <xf numFmtId="0" fontId="5" fillId="0" borderId="4" xfId="0" applyNumberFormat="1" applyFont="1" applyBorder="1" applyAlignment="1">
      <alignment horizontal="left" vertical="center" wrapText="1" indent="1"/>
    </xf>
    <xf numFmtId="0" fontId="53" fillId="0" borderId="13" xfId="0" applyNumberFormat="1" applyFont="1" applyBorder="1" applyAlignment="1">
      <alignment vertical="center" wrapText="1"/>
    </xf>
    <xf numFmtId="4" fontId="5" fillId="0" borderId="22" xfId="0" applyNumberFormat="1" applyFont="1" applyBorder="1" applyAlignment="1">
      <alignment horizontal="center" vertical="center" wrapText="1"/>
    </xf>
    <xf numFmtId="0" fontId="5" fillId="0" borderId="24" xfId="0" applyNumberFormat="1" applyFont="1" applyBorder="1" applyAlignment="1">
      <alignment horizontal="left" vertical="center" wrapText="1"/>
    </xf>
    <xf numFmtId="0" fontId="5" fillId="0" borderId="24" xfId="0" applyNumberFormat="1" applyFont="1" applyBorder="1" applyAlignment="1">
      <alignment horizontal="left" vertical="center" wrapText="1" indent="1"/>
    </xf>
    <xf numFmtId="4" fontId="5" fillId="12" borderId="24" xfId="0" applyNumberFormat="1" applyFont="1" applyFill="1" applyBorder="1" applyAlignment="1" applyProtection="1">
      <alignment horizontal="right" vertical="center" wrapText="1"/>
      <protection locked="0"/>
    </xf>
    <xf numFmtId="4" fontId="5" fillId="0" borderId="24" xfId="0" applyNumberFormat="1" applyFont="1" applyBorder="1" applyAlignment="1">
      <alignment horizontal="center" vertical="center" wrapText="1"/>
    </xf>
    <xf numFmtId="49" fontId="5" fillId="0" borderId="25" xfId="0" applyNumberFormat="1" applyFont="1" applyBorder="1" applyAlignment="1">
      <alignment horizontal="center" vertical="center" wrapText="1"/>
    </xf>
    <xf numFmtId="4" fontId="5" fillId="12" borderId="5" xfId="0" applyNumberFormat="1" applyFont="1" applyFill="1" applyBorder="1" applyAlignment="1" applyProtection="1">
      <alignment horizontal="right" vertical="center" wrapText="1"/>
      <protection locked="0"/>
    </xf>
    <xf numFmtId="4" fontId="5" fillId="12" borderId="25" xfId="0" applyNumberFormat="1" applyFont="1" applyFill="1" applyBorder="1" applyAlignment="1" applyProtection="1">
      <alignment horizontal="right" vertical="center" wrapText="1"/>
      <protection locked="0"/>
    </xf>
    <xf numFmtId="0" fontId="28" fillId="0" borderId="0" xfId="0" applyNumberFormat="1" applyFont="1" applyAlignment="1">
      <alignment horizontal="left" vertical="center" wrapText="1"/>
    </xf>
    <xf numFmtId="0" fontId="29" fillId="0" borderId="0" xfId="0" applyNumberFormat="1" applyFont="1" applyAlignment="1">
      <alignment horizontal="left" vertical="center" wrapText="1"/>
    </xf>
    <xf numFmtId="0" fontId="36" fillId="0" borderId="0" xfId="0" applyNumberFormat="1" applyFont="1" applyAlignment="1">
      <alignment horizontal="left" vertical="center" wrapText="1"/>
    </xf>
    <xf numFmtId="0" fontId="13" fillId="0" borderId="0" xfId="0" applyNumberFormat="1" applyFont="1" applyAlignment="1">
      <alignment horizontal="left" vertical="center" wrapText="1"/>
    </xf>
    <xf numFmtId="49" fontId="5" fillId="0" borderId="0" xfId="0" applyNumberFormat="1" applyFont="1" applyAlignment="1">
      <alignment horizontal="center" vertical="center" wrapText="1"/>
    </xf>
    <xf numFmtId="0" fontId="66" fillId="0" borderId="0" xfId="0" applyNumberFormat="1" applyFont="1" applyAlignment="1">
      <alignment vertical="center" wrapText="1"/>
    </xf>
    <xf numFmtId="0" fontId="29" fillId="0" borderId="0" xfId="0" applyNumberFormat="1" applyFont="1" applyAlignment="1">
      <alignment vertical="center" wrapText="1"/>
    </xf>
    <xf numFmtId="0" fontId="36" fillId="0" borderId="0" xfId="0" applyNumberFormat="1" applyFont="1" applyAlignment="1">
      <alignment vertical="center" wrapText="1"/>
    </xf>
    <xf numFmtId="0" fontId="13" fillId="0" borderId="0" xfId="0" applyNumberFormat="1" applyFont="1" applyAlignment="1">
      <alignment vertical="center" wrapText="1"/>
    </xf>
    <xf numFmtId="49" fontId="31" fillId="0" borderId="0" xfId="0" applyNumberFormat="1" applyFont="1" applyAlignment="1">
      <alignment horizontal="center" vertical="center"/>
    </xf>
    <xf numFmtId="0" fontId="5" fillId="0" borderId="0" xfId="0" applyNumberFormat="1" applyFont="1" applyAlignment="1">
      <alignment vertical="center" wrapText="1"/>
    </xf>
    <xf numFmtId="4" fontId="5" fillId="0" borderId="26" xfId="0" applyNumberFormat="1" applyFont="1" applyBorder="1" applyAlignment="1">
      <alignment horizontal="center" vertical="center" wrapText="1"/>
    </xf>
    <xf numFmtId="4" fontId="5" fillId="12" borderId="26" xfId="0" applyNumberFormat="1" applyFont="1" applyFill="1" applyBorder="1" applyAlignment="1" applyProtection="1">
      <alignment horizontal="right" vertical="center" wrapText="1"/>
      <protection locked="0"/>
    </xf>
    <xf numFmtId="4" fontId="5" fillId="12" borderId="14" xfId="0" applyNumberFormat="1" applyFont="1" applyFill="1" applyBorder="1" applyAlignment="1" applyProtection="1">
      <alignment horizontal="right" vertical="center" wrapText="1"/>
      <protection locked="0"/>
    </xf>
    <xf numFmtId="49" fontId="5" fillId="0" borderId="24" xfId="0" applyNumberFormat="1" applyFont="1" applyBorder="1" applyAlignment="1">
      <alignment horizontal="center" vertical="center" wrapText="1"/>
    </xf>
    <xf numFmtId="0" fontId="5" fillId="0" borderId="26" xfId="0" applyNumberFormat="1" applyFont="1" applyBorder="1" applyAlignment="1">
      <alignment horizontal="left" vertical="center" wrapText="1"/>
    </xf>
    <xf numFmtId="0" fontId="5" fillId="0" borderId="11" xfId="0" applyNumberFormat="1" applyFont="1" applyBorder="1" applyAlignment="1">
      <alignment vertical="center" wrapText="1"/>
    </xf>
    <xf numFmtId="0" fontId="18" fillId="0" borderId="0" xfId="0" applyNumberFormat="1" applyFont="1" applyAlignment="1">
      <alignment horizontal="center" vertical="center" wrapText="1"/>
    </xf>
    <xf numFmtId="0" fontId="5" fillId="10" borderId="6" xfId="0" applyNumberFormat="1" applyFont="1" applyFill="1" applyBorder="1" applyAlignment="1">
      <alignment vertical="center" wrapText="1"/>
    </xf>
    <xf numFmtId="0" fontId="28" fillId="10" borderId="4" xfId="0" applyNumberFormat="1" applyFont="1" applyFill="1" applyBorder="1" applyAlignment="1">
      <alignment vertical="center" wrapText="1"/>
    </xf>
    <xf numFmtId="167" fontId="5" fillId="7" borderId="3" xfId="0" applyNumberFormat="1" applyFont="1" applyFill="1" applyBorder="1" applyAlignment="1">
      <alignment horizontal="right" vertical="center" wrapText="1"/>
    </xf>
    <xf numFmtId="0" fontId="0" fillId="0" borderId="0" xfId="0" applyNumberFormat="1" applyFont="1" applyAlignment="1">
      <alignment vertical="center"/>
    </xf>
    <xf numFmtId="4" fontId="5" fillId="9" borderId="3" xfId="0" applyNumberFormat="1" applyFont="1" applyFill="1" applyBorder="1" applyAlignment="1" applyProtection="1">
      <alignment horizontal="right" vertical="center" wrapText="1"/>
      <protection locked="0"/>
    </xf>
    <xf numFmtId="0" fontId="55" fillId="8" borderId="0" xfId="0" applyNumberFormat="1" applyFont="1" applyFill="1" applyAlignment="1">
      <alignment horizontal="right" vertical="center"/>
    </xf>
    <xf numFmtId="49" fontId="0" fillId="0" borderId="3" xfId="0" applyNumberFormat="1" applyFont="1" applyBorder="1">
      <alignment vertical="top"/>
    </xf>
    <xf numFmtId="0" fontId="5" fillId="0" borderId="5" xfId="0" applyNumberFormat="1" applyFont="1" applyBorder="1" applyAlignment="1">
      <alignment horizontal="center" vertical="center" wrapText="1"/>
    </xf>
    <xf numFmtId="49" fontId="0" fillId="5" borderId="8" xfId="0" applyNumberFormat="1" applyFont="1" applyFill="1" applyBorder="1">
      <alignment vertical="top"/>
    </xf>
    <xf numFmtId="0" fontId="5" fillId="0" borderId="0" xfId="0" applyNumberFormat="1" applyFont="1" applyAlignment="1">
      <alignment vertical="center" wrapText="1"/>
    </xf>
    <xf numFmtId="0" fontId="13" fillId="0" borderId="0" xfId="0" applyNumberFormat="1" applyFont="1" applyAlignment="1">
      <alignment vertical="center" wrapText="1"/>
    </xf>
    <xf numFmtId="0" fontId="5" fillId="0" borderId="3" xfId="0" applyNumberFormat="1" applyFont="1" applyBorder="1" applyAlignment="1">
      <alignment horizontal="center" vertical="center" wrapText="1"/>
    </xf>
    <xf numFmtId="0" fontId="5" fillId="0" borderId="3" xfId="0" applyNumberFormat="1" applyFont="1" applyBorder="1" applyAlignment="1">
      <alignment horizontal="center" vertical="center" wrapText="1"/>
    </xf>
    <xf numFmtId="49" fontId="5" fillId="0" borderId="0" xfId="0" applyNumberFormat="1" applyFont="1" applyAlignment="1">
      <alignment vertical="center" wrapText="1"/>
    </xf>
    <xf numFmtId="0" fontId="5" fillId="0" borderId="0" xfId="0" applyNumberFormat="1" applyFont="1" applyAlignment="1">
      <alignment horizontal="center" vertical="center" wrapText="1"/>
    </xf>
    <xf numFmtId="49" fontId="0" fillId="0" borderId="5" xfId="0" applyNumberFormat="1" applyFont="1" applyBorder="1">
      <alignment vertical="top"/>
    </xf>
    <xf numFmtId="49" fontId="0" fillId="0" borderId="5" xfId="0" applyNumberFormat="1" applyFont="1" applyBorder="1" applyAlignment="1">
      <alignment horizontal="center" vertical="top"/>
    </xf>
    <xf numFmtId="49" fontId="0" fillId="0" borderId="6" xfId="0" applyNumberFormat="1" applyFont="1" applyBorder="1" applyAlignment="1">
      <alignment horizontal="center" vertical="top"/>
    </xf>
    <xf numFmtId="49" fontId="0" fillId="0" borderId="0" xfId="0" applyNumberFormat="1" applyFont="1">
      <alignment vertical="top"/>
    </xf>
    <xf numFmtId="0" fontId="5" fillId="0" borderId="0" xfId="0" applyNumberFormat="1" applyFont="1" applyAlignment="1">
      <alignment horizontal="center" vertical="center" wrapText="1"/>
    </xf>
    <xf numFmtId="0" fontId="31" fillId="8" borderId="0" xfId="0" applyNumberFormat="1" applyFont="1" applyFill="1" applyAlignment="1">
      <alignment vertical="center" wrapText="1"/>
    </xf>
    <xf numFmtId="0" fontId="35" fillId="0" borderId="0" xfId="0" applyNumberFormat="1" applyFont="1" applyAlignment="1">
      <alignment horizontal="left" vertical="center" indent="1"/>
    </xf>
    <xf numFmtId="0" fontId="0" fillId="8" borderId="0" xfId="0" applyNumberFormat="1" applyFont="1" applyFill="1" applyAlignment="1">
      <alignment horizontal="right" vertical="center" wrapText="1" indent="1"/>
    </xf>
    <xf numFmtId="0" fontId="0" fillId="8" borderId="0" xfId="0" applyNumberFormat="1" applyFont="1" applyFill="1" applyAlignment="1">
      <alignment horizontal="left" vertical="center" wrapText="1" indent="1"/>
    </xf>
    <xf numFmtId="14" fontId="5" fillId="8" borderId="0" xfId="0" applyNumberFormat="1" applyFont="1" applyFill="1" applyAlignment="1">
      <alignment horizontal="center" vertical="center" wrapText="1"/>
    </xf>
    <xf numFmtId="169" fontId="5" fillId="0" borderId="5" xfId="0" applyNumberFormat="1" applyFont="1" applyBorder="1" applyAlignment="1">
      <alignment horizontal="center" vertical="center" wrapText="1"/>
    </xf>
    <xf numFmtId="49" fontId="17" fillId="0" borderId="6" xfId="0" applyNumberFormat="1" applyFont="1" applyBorder="1" applyAlignment="1">
      <alignment horizontal="center" vertical="center" wrapText="1"/>
    </xf>
    <xf numFmtId="49" fontId="5" fillId="0" borderId="0" xfId="0" applyNumberFormat="1" applyFont="1" applyAlignment="1">
      <alignment horizontal="center" vertical="center" wrapText="1"/>
    </xf>
    <xf numFmtId="0" fontId="5" fillId="0" borderId="14" xfId="0" applyNumberFormat="1" applyFont="1" applyBorder="1" applyAlignment="1">
      <alignment horizontal="center" vertical="center" wrapText="1"/>
    </xf>
    <xf numFmtId="0" fontId="18" fillId="0" borderId="0" xfId="0" applyNumberFormat="1" applyFont="1" applyAlignment="1">
      <alignment horizontal="center" vertical="center" wrapText="1"/>
    </xf>
    <xf numFmtId="0" fontId="73" fillId="0" borderId="0" xfId="0" applyNumberFormat="1" applyFont="1" applyAlignment="1">
      <alignment horizontal="left" vertical="center" wrapText="1"/>
    </xf>
    <xf numFmtId="0" fontId="73" fillId="0" borderId="0" xfId="0" applyNumberFormat="1" applyFont="1" applyAlignment="1">
      <alignment horizontal="left" vertical="center" wrapText="1"/>
    </xf>
    <xf numFmtId="14" fontId="73" fillId="8" borderId="0" xfId="0" applyNumberFormat="1" applyFont="1" applyFill="1" applyAlignment="1">
      <alignment horizontal="left" vertical="center" wrapText="1"/>
    </xf>
    <xf numFmtId="14" fontId="74" fillId="0" borderId="0" xfId="0" applyNumberFormat="1" applyFont="1" applyAlignment="1">
      <alignment horizontal="center" vertical="center" wrapText="1"/>
    </xf>
    <xf numFmtId="0" fontId="73" fillId="0" borderId="0" xfId="0" applyNumberFormat="1" applyFont="1" applyAlignment="1">
      <alignment horizontal="left" vertical="center" wrapText="1"/>
    </xf>
    <xf numFmtId="14" fontId="75" fillId="0" borderId="3" xfId="0" applyNumberFormat="1" applyFont="1" applyBorder="1" applyAlignment="1">
      <alignment horizontal="left" vertical="center" wrapText="1"/>
    </xf>
    <xf numFmtId="0" fontId="29" fillId="0" borderId="0" xfId="0" applyNumberFormat="1" applyFont="1" applyAlignment="1">
      <alignment vertical="center"/>
    </xf>
    <xf numFmtId="49" fontId="5" fillId="10" borderId="10" xfId="0" applyNumberFormat="1" applyFont="1" applyFill="1" applyBorder="1" applyAlignment="1">
      <alignment horizontal="center" vertical="center" wrapText="1"/>
    </xf>
    <xf numFmtId="49" fontId="5" fillId="7" borderId="14" xfId="0" applyNumberFormat="1" applyFont="1" applyFill="1" applyBorder="1" applyAlignment="1">
      <alignment horizontal="center" vertical="center" wrapText="1"/>
    </xf>
    <xf numFmtId="49" fontId="28" fillId="0" borderId="3" xfId="0" applyNumberFormat="1" applyFont="1" applyBorder="1" applyAlignment="1">
      <alignment horizontal="left" vertical="center" wrapText="1"/>
    </xf>
    <xf numFmtId="14" fontId="5" fillId="13" borderId="14" xfId="0" applyNumberFormat="1" applyFont="1" applyFill="1" applyBorder="1" applyAlignment="1">
      <alignment horizontal="left" vertical="center" wrapText="1" indent="1"/>
    </xf>
    <xf numFmtId="49" fontId="5" fillId="10" borderId="5" xfId="0" applyNumberFormat="1" applyFont="1" applyFill="1" applyBorder="1" applyAlignment="1">
      <alignment horizontal="right" vertical="center" wrapText="1"/>
    </xf>
    <xf numFmtId="0" fontId="29" fillId="0" borderId="14" xfId="0" applyNumberFormat="1" applyFont="1" applyBorder="1" applyAlignment="1">
      <alignment horizontal="center" vertical="center" wrapText="1"/>
    </xf>
    <xf numFmtId="49" fontId="5" fillId="0" borderId="4" xfId="0" applyNumberFormat="1" applyFont="1" applyBorder="1" applyAlignment="1">
      <alignment horizontal="center" vertical="top"/>
    </xf>
    <xf numFmtId="49" fontId="5" fillId="0" borderId="3" xfId="0" applyNumberFormat="1" applyFont="1" applyBorder="1" applyAlignment="1">
      <alignment horizontal="center" vertical="top"/>
    </xf>
    <xf numFmtId="0" fontId="5" fillId="0" borderId="14" xfId="0" applyNumberFormat="1" applyFont="1" applyBorder="1" applyAlignment="1">
      <alignment horizontal="center" vertical="center" wrapText="1"/>
    </xf>
    <xf numFmtId="49" fontId="5" fillId="0" borderId="5" xfId="0" applyNumberFormat="1" applyFont="1" applyBorder="1" applyAlignment="1">
      <alignment horizontal="center" vertical="top"/>
    </xf>
    <xf numFmtId="0" fontId="17" fillId="0" borderId="15" xfId="0" applyNumberFormat="1" applyFont="1" applyBorder="1" applyAlignment="1">
      <alignment vertical="top" wrapText="1"/>
    </xf>
    <xf numFmtId="0" fontId="17" fillId="0" borderId="0" xfId="0" applyNumberFormat="1" applyFont="1" applyAlignment="1">
      <alignment vertical="top" wrapText="1"/>
    </xf>
    <xf numFmtId="0" fontId="29" fillId="0" borderId="3" xfId="0" applyNumberFormat="1" applyFont="1" applyBorder="1" applyAlignment="1">
      <alignment horizontal="center" vertical="center" wrapText="1"/>
    </xf>
    <xf numFmtId="0" fontId="28" fillId="0" borderId="14" xfId="0" applyNumberFormat="1" applyFont="1" applyBorder="1" applyAlignment="1">
      <alignment horizontal="center" vertical="center" wrapText="1"/>
    </xf>
    <xf numFmtId="0" fontId="29" fillId="0" borderId="3" xfId="0" applyNumberFormat="1" applyFont="1" applyBorder="1" applyAlignment="1">
      <alignment horizontal="center" vertical="center"/>
    </xf>
    <xf numFmtId="0" fontId="5" fillId="0" borderId="3" xfId="0" applyNumberFormat="1" applyFont="1" applyBorder="1" applyAlignment="1">
      <alignment horizontal="center" vertical="center" wrapText="1"/>
    </xf>
    <xf numFmtId="49" fontId="5" fillId="0" borderId="0" xfId="0" applyNumberFormat="1" applyFont="1" applyAlignment="1">
      <alignment horizontal="center" vertical="center" wrapText="1"/>
    </xf>
    <xf numFmtId="0" fontId="5" fillId="0" borderId="3" xfId="0" applyNumberFormat="1" applyFont="1" applyBorder="1" applyAlignment="1">
      <alignment horizontal="center" vertical="center" wrapText="1"/>
    </xf>
    <xf numFmtId="0" fontId="5" fillId="0" borderId="5" xfId="0" applyNumberFormat="1" applyFont="1" applyBorder="1" applyAlignment="1">
      <alignment horizontal="center" vertical="center" wrapText="1"/>
    </xf>
    <xf numFmtId="0" fontId="5" fillId="0" borderId="3" xfId="0" applyNumberFormat="1" applyFont="1" applyBorder="1" applyAlignment="1">
      <alignment horizontal="center" vertical="center" wrapText="1"/>
    </xf>
    <xf numFmtId="0" fontId="5" fillId="0" borderId="8" xfId="0" applyNumberFormat="1" applyFont="1" applyBorder="1" applyAlignment="1">
      <alignment horizontal="center" vertical="center" wrapText="1"/>
    </xf>
    <xf numFmtId="49" fontId="57" fillId="12" borderId="3" xfId="0" applyNumberFormat="1" applyFont="1" applyFill="1" applyBorder="1" applyAlignment="1" applyProtection="1">
      <alignment horizontal="left" vertical="center" wrapText="1" indent="1"/>
      <protection locked="0"/>
    </xf>
    <xf numFmtId="0" fontId="28" fillId="0" borderId="13" xfId="0" applyNumberFormat="1" applyFont="1" applyBorder="1" applyAlignment="1">
      <alignment vertical="center"/>
    </xf>
    <xf numFmtId="0" fontId="5" fillId="0" borderId="4" xfId="0" applyNumberFormat="1" applyFont="1" applyBorder="1" applyAlignment="1">
      <alignment horizontal="center" vertical="center" wrapText="1"/>
    </xf>
    <xf numFmtId="49" fontId="5" fillId="13" borderId="3" xfId="0" applyNumberFormat="1" applyFont="1" applyFill="1" applyBorder="1" applyAlignment="1">
      <alignment horizontal="center" vertical="center" wrapText="1"/>
    </xf>
    <xf numFmtId="0" fontId="5" fillId="0" borderId="3" xfId="0" applyNumberFormat="1" applyFont="1" applyBorder="1" applyAlignment="1">
      <alignment horizontal="center" vertical="center" wrapText="1"/>
    </xf>
    <xf numFmtId="0" fontId="5" fillId="7" borderId="5" xfId="0" applyNumberFormat="1" applyFont="1" applyFill="1" applyBorder="1" applyAlignment="1">
      <alignment horizontal="left" vertical="top" wrapText="1" indent="1"/>
    </xf>
    <xf numFmtId="3" fontId="5" fillId="9" borderId="5" xfId="0" applyNumberFormat="1" applyFont="1" applyFill="1" applyBorder="1" applyAlignment="1" applyProtection="1">
      <alignment horizontal="right" vertical="center" wrapText="1"/>
      <protection locked="0"/>
    </xf>
    <xf numFmtId="49" fontId="35" fillId="9" borderId="3" xfId="0" applyNumberFormat="1" applyFont="1" applyFill="1" applyBorder="1" applyAlignment="1" applyProtection="1">
      <alignment horizontal="left" vertical="center" wrapText="1"/>
      <protection locked="0"/>
    </xf>
    <xf numFmtId="0" fontId="35" fillId="0" borderId="0" xfId="0" applyNumberFormat="1" applyFont="1" applyAlignment="1">
      <alignment vertical="center" wrapText="1"/>
    </xf>
    <xf numFmtId="0" fontId="5" fillId="0" borderId="4" xfId="0" applyNumberFormat="1" applyFont="1" applyBorder="1" applyAlignment="1">
      <alignment horizontal="center" vertical="center" wrapText="1"/>
    </xf>
    <xf numFmtId="0" fontId="5" fillId="0" borderId="3" xfId="0" applyNumberFormat="1" applyFont="1" applyBorder="1" applyAlignment="1">
      <alignment horizontal="center" vertical="center" wrapText="1"/>
    </xf>
    <xf numFmtId="0" fontId="18" fillId="8" borderId="0" xfId="0" applyNumberFormat="1" applyFont="1" applyFill="1" applyAlignment="1">
      <alignment horizontal="center" vertical="center" wrapText="1"/>
    </xf>
    <xf numFmtId="0" fontId="5" fillId="8" borderId="3" xfId="0" applyNumberFormat="1" applyFont="1" applyFill="1" applyBorder="1" applyAlignment="1">
      <alignment horizontal="center" vertical="center" wrapText="1"/>
    </xf>
    <xf numFmtId="0" fontId="0" fillId="0" borderId="11" xfId="0" applyNumberFormat="1" applyFont="1" applyBorder="1" applyAlignment="1">
      <alignment horizontal="center" vertical="center" wrapText="1"/>
    </xf>
    <xf numFmtId="0" fontId="0" fillId="0" borderId="20" xfId="0" applyNumberFormat="1" applyFont="1" applyBorder="1" applyAlignment="1">
      <alignment horizontal="center" vertical="center" wrapText="1"/>
    </xf>
    <xf numFmtId="0" fontId="0" fillId="0" borderId="8" xfId="0" applyNumberFormat="1" applyFont="1" applyBorder="1" applyAlignment="1">
      <alignment horizontal="center" vertical="center" wrapText="1"/>
    </xf>
    <xf numFmtId="0" fontId="0" fillId="0" borderId="14" xfId="0" applyNumberFormat="1" applyFont="1" applyBorder="1" applyAlignment="1">
      <alignment horizontal="center" vertical="center" wrapText="1"/>
    </xf>
    <xf numFmtId="0" fontId="0" fillId="0" borderId="8" xfId="0" applyNumberFormat="1" applyFont="1" applyBorder="1" applyAlignment="1">
      <alignment horizontal="center" vertical="center" wrapText="1"/>
    </xf>
    <xf numFmtId="0" fontId="0" fillId="0" borderId="14" xfId="0" applyNumberFormat="1" applyFont="1" applyBorder="1" applyAlignment="1">
      <alignment horizontal="center" vertical="center" wrapText="1"/>
    </xf>
    <xf numFmtId="49" fontId="17" fillId="8" borderId="6" xfId="0" applyNumberFormat="1" applyFont="1" applyFill="1" applyBorder="1" applyAlignment="1">
      <alignment horizontal="center" vertical="center" wrapText="1"/>
    </xf>
    <xf numFmtId="0" fontId="5" fillId="0" borderId="0" xfId="0" applyNumberFormat="1" applyFont="1" applyAlignment="1">
      <alignment horizontal="left" vertical="center" wrapText="1" indent="1"/>
    </xf>
    <xf numFmtId="0" fontId="63" fillId="0" borderId="8" xfId="0" applyNumberFormat="1" applyFont="1" applyBorder="1" applyAlignment="1">
      <alignment horizontal="center" vertical="center" wrapText="1"/>
    </xf>
    <xf numFmtId="49" fontId="28" fillId="0" borderId="0" xfId="0" applyNumberFormat="1" applyFont="1">
      <alignment vertical="top"/>
    </xf>
    <xf numFmtId="0" fontId="76" fillId="0" borderId="0" xfId="0" applyNumberFormat="1" applyFont="1" applyAlignment="1">
      <alignment vertical="center" wrapText="1"/>
    </xf>
    <xf numFmtId="0" fontId="0" fillId="0" borderId="0" xfId="0" applyNumberFormat="1" applyFont="1">
      <alignment vertical="top"/>
    </xf>
    <xf numFmtId="49" fontId="0" fillId="0" borderId="3" xfId="0" applyNumberFormat="1" applyFont="1" applyBorder="1">
      <alignment vertical="top"/>
    </xf>
    <xf numFmtId="49" fontId="5" fillId="0" borderId="0" xfId="0" applyNumberFormat="1" applyFont="1">
      <alignment vertical="top"/>
    </xf>
    <xf numFmtId="0" fontId="5" fillId="0" borderId="3" xfId="0" applyNumberFormat="1" applyFont="1" applyBorder="1" applyAlignment="1">
      <alignment horizontal="left" vertical="top" wrapText="1"/>
    </xf>
    <xf numFmtId="49" fontId="77" fillId="0" borderId="0" xfId="0" applyNumberFormat="1" applyFont="1" applyAlignment="1">
      <alignment horizontal="center" vertical="top" wrapText="1"/>
    </xf>
    <xf numFmtId="49" fontId="77" fillId="0" borderId="0" xfId="0" applyNumberFormat="1" applyFont="1" applyAlignment="1">
      <alignment vertical="top" wrapText="1"/>
    </xf>
    <xf numFmtId="49" fontId="73" fillId="14" borderId="3" xfId="0" applyNumberFormat="1" applyFont="1" applyFill="1" applyBorder="1" applyAlignment="1">
      <alignment horizontal="center" vertical="top" wrapText="1"/>
    </xf>
    <xf numFmtId="49" fontId="77" fillId="0" borderId="0" xfId="0" applyNumberFormat="1" applyFont="1" applyAlignment="1">
      <alignment horizontal="left" vertical="top" wrapText="1"/>
    </xf>
    <xf numFmtId="49" fontId="77" fillId="0" borderId="3" xfId="0" applyNumberFormat="1" applyFont="1" applyBorder="1" applyAlignment="1">
      <alignment horizontal="left" vertical="top" wrapText="1"/>
    </xf>
    <xf numFmtId="0" fontId="77" fillId="0" borderId="3" xfId="0" applyNumberFormat="1" applyFont="1" applyBorder="1" applyAlignment="1">
      <alignment horizontal="left" vertical="top" wrapText="1"/>
    </xf>
    <xf numFmtId="0" fontId="77" fillId="14" borderId="3" xfId="0" applyNumberFormat="1" applyFont="1" applyFill="1" applyBorder="1" applyAlignment="1">
      <alignment horizontal="right" vertical="center" wrapText="1"/>
    </xf>
    <xf numFmtId="49" fontId="77" fillId="0" borderId="3" xfId="0" applyNumberFormat="1" applyFont="1" applyBorder="1" applyAlignment="1">
      <alignment vertical="top" wrapText="1"/>
    </xf>
    <xf numFmtId="0" fontId="77" fillId="0" borderId="8" xfId="0" applyNumberFormat="1" applyFont="1" applyBorder="1" applyAlignment="1">
      <alignment horizontal="left" vertical="top" wrapText="1"/>
    </xf>
    <xf numFmtId="0" fontId="77" fillId="0" borderId="4" xfId="0" applyNumberFormat="1" applyFont="1" applyBorder="1" applyAlignment="1">
      <alignment horizontal="left" vertical="top" wrapText="1"/>
    </xf>
    <xf numFmtId="0" fontId="77" fillId="0" borderId="3" xfId="0" applyNumberFormat="1" applyFont="1" applyBorder="1" applyAlignment="1">
      <alignment vertical="top" wrapText="1"/>
    </xf>
    <xf numFmtId="0" fontId="73" fillId="14" borderId="3" xfId="0" applyNumberFormat="1" applyFont="1" applyFill="1" applyBorder="1" applyAlignment="1">
      <alignment horizontal="center" vertical="top" wrapText="1"/>
    </xf>
    <xf numFmtId="0" fontId="77" fillId="0" borderId="0" xfId="0" applyNumberFormat="1" applyFont="1" applyAlignment="1">
      <alignment vertical="top" wrapText="1"/>
    </xf>
    <xf numFmtId="0" fontId="72" fillId="0" borderId="0" xfId="0" applyNumberFormat="1" applyFont="1" applyAlignment="1">
      <alignment vertical="center" wrapText="1"/>
    </xf>
    <xf numFmtId="0" fontId="27" fillId="0" borderId="0" xfId="0" applyNumberFormat="1" applyFont="1" applyAlignment="1">
      <alignment horizontal="left" vertical="center" wrapText="1" indent="3"/>
    </xf>
    <xf numFmtId="3" fontId="0" fillId="0" borderId="4" xfId="0" applyNumberFormat="1" applyFont="1" applyBorder="1" applyAlignment="1">
      <alignment horizontal="right" vertical="center" wrapText="1"/>
    </xf>
    <xf numFmtId="0" fontId="5" fillId="13" borderId="5" xfId="0" applyNumberFormat="1" applyFont="1" applyFill="1" applyBorder="1" applyAlignment="1">
      <alignment horizontal="left" vertical="center" wrapText="1"/>
    </xf>
    <xf numFmtId="49" fontId="17" fillId="8" borderId="3" xfId="0" applyNumberFormat="1" applyFont="1" applyFill="1" applyBorder="1" applyAlignment="1">
      <alignment horizontal="center" vertical="center" wrapText="1"/>
    </xf>
    <xf numFmtId="49" fontId="55" fillId="10" borderId="4" xfId="0" applyNumberFormat="1" applyFont="1" applyFill="1" applyBorder="1" applyAlignment="1">
      <alignment vertical="center"/>
    </xf>
    <xf numFmtId="49" fontId="5" fillId="8" borderId="0" xfId="0" applyNumberFormat="1" applyFont="1" applyFill="1" applyAlignment="1">
      <alignment horizontal="center" vertical="center" wrapText="1"/>
    </xf>
    <xf numFmtId="0" fontId="5" fillId="8" borderId="0" xfId="0" applyNumberFormat="1" applyFont="1" applyFill="1" applyAlignment="1">
      <alignment horizontal="center" vertical="top" wrapText="1"/>
    </xf>
    <xf numFmtId="49" fontId="0" fillId="12" borderId="3" xfId="0" applyNumberFormat="1" applyFont="1" applyFill="1" applyBorder="1" applyAlignment="1" applyProtection="1">
      <alignment horizontal="left" vertical="center" wrapText="1" indent="1"/>
      <protection locked="0"/>
    </xf>
    <xf numFmtId="49" fontId="5" fillId="12" borderId="5" xfId="0" applyNumberFormat="1" applyFont="1" applyFill="1" applyBorder="1" applyAlignment="1" applyProtection="1">
      <alignment horizontal="left" vertical="center" wrapText="1"/>
      <protection locked="0"/>
    </xf>
    <xf numFmtId="49" fontId="5" fillId="12" borderId="3" xfId="0" quotePrefix="1" applyNumberFormat="1" applyFont="1" applyFill="1" applyBorder="1" applyAlignment="1" applyProtection="1">
      <alignment horizontal="left" vertical="center" wrapText="1"/>
      <protection locked="0"/>
    </xf>
    <xf numFmtId="14" fontId="5" fillId="13" borderId="14" xfId="0" applyNumberFormat="1" applyFont="1" applyFill="1" applyBorder="1" applyAlignment="1">
      <alignment horizontal="left" vertical="center" wrapText="1"/>
    </xf>
    <xf numFmtId="0" fontId="29" fillId="8" borderId="14" xfId="0" applyNumberFormat="1" applyFont="1" applyFill="1" applyBorder="1" applyAlignment="1">
      <alignment horizontal="center" vertical="center" wrapText="1"/>
    </xf>
    <xf numFmtId="0" fontId="18" fillId="8" borderId="15" xfId="0" applyNumberFormat="1" applyFont="1" applyFill="1" applyBorder="1" applyAlignment="1">
      <alignment vertical="top" wrapText="1"/>
    </xf>
    <xf numFmtId="0" fontId="18" fillId="8" borderId="0" xfId="0" applyNumberFormat="1" applyFont="1" applyFill="1" applyAlignment="1">
      <alignment vertical="top" wrapText="1"/>
    </xf>
    <xf numFmtId="14" fontId="5" fillId="13" borderId="20" xfId="0" applyNumberFormat="1" applyFont="1" applyFill="1" applyBorder="1" applyAlignment="1">
      <alignment horizontal="left" vertical="center" wrapText="1"/>
    </xf>
    <xf numFmtId="0" fontId="29" fillId="8" borderId="3" xfId="0" applyNumberFormat="1" applyFont="1" applyFill="1" applyBorder="1" applyAlignment="1">
      <alignment horizontal="center" vertical="center" wrapText="1"/>
    </xf>
    <xf numFmtId="0" fontId="21" fillId="10" borderId="6" xfId="0" applyNumberFormat="1" applyFont="1" applyFill="1" applyBorder="1" applyAlignment="1">
      <alignment vertical="center"/>
    </xf>
    <xf numFmtId="0" fontId="30" fillId="0" borderId="0" xfId="0" applyNumberFormat="1" applyFont="1" applyAlignment="1">
      <alignment vertical="center"/>
    </xf>
    <xf numFmtId="0" fontId="29" fillId="0" borderId="0" xfId="0" applyNumberFormat="1" applyFont="1" applyAlignment="1">
      <alignment vertical="center" wrapText="1"/>
    </xf>
    <xf numFmtId="49" fontId="28" fillId="0" borderId="0" xfId="0" applyNumberFormat="1" applyFont="1" applyAlignment="1">
      <alignment vertical="center" wrapText="1"/>
    </xf>
    <xf numFmtId="49" fontId="28" fillId="0" borderId="0" xfId="0" applyNumberFormat="1" applyFont="1">
      <alignment vertical="top"/>
    </xf>
    <xf numFmtId="0" fontId="70" fillId="0" borderId="0" xfId="0" applyNumberFormat="1" applyFont="1" applyAlignment="1">
      <alignment vertical="center" wrapText="1"/>
    </xf>
    <xf numFmtId="0" fontId="78" fillId="0" borderId="0" xfId="0" applyNumberFormat="1" applyFont="1" applyAlignment="1">
      <alignment vertical="center" wrapText="1"/>
    </xf>
    <xf numFmtId="0" fontId="28" fillId="0" borderId="0" xfId="0" applyNumberFormat="1" applyFont="1" applyAlignment="1">
      <alignment vertical="center" wrapText="1"/>
    </xf>
    <xf numFmtId="0" fontId="70" fillId="0" borderId="0" xfId="0" applyNumberFormat="1" applyFont="1" applyAlignment="1">
      <alignment horizontal="center" vertical="center" wrapText="1"/>
    </xf>
    <xf numFmtId="0" fontId="28" fillId="0" borderId="0" xfId="0" applyNumberFormat="1" applyFont="1" applyAlignment="1">
      <alignment vertical="center" wrapText="1"/>
    </xf>
    <xf numFmtId="14" fontId="5" fillId="8" borderId="0" xfId="0" applyNumberFormat="1" applyFont="1" applyFill="1" applyAlignment="1">
      <alignment horizontal="left" vertical="center" wrapText="1"/>
    </xf>
    <xf numFmtId="49" fontId="0" fillId="0" borderId="3" xfId="0" applyNumberFormat="1" applyFont="1" applyBorder="1" applyAlignment="1">
      <alignment horizontal="left" vertical="center" wrapText="1"/>
    </xf>
    <xf numFmtId="49" fontId="5" fillId="0" borderId="0" xfId="0" applyNumberFormat="1" applyFont="1" applyAlignment="1">
      <alignment vertical="center" wrapText="1"/>
    </xf>
    <xf numFmtId="0" fontId="0" fillId="0" borderId="3" xfId="0" applyNumberFormat="1" applyFont="1" applyBorder="1" applyAlignment="1">
      <alignment horizontal="left" vertical="center" wrapText="1" indent="1"/>
    </xf>
    <xf numFmtId="49" fontId="0" fillId="8" borderId="3" xfId="0" applyNumberFormat="1" applyFont="1" applyFill="1" applyBorder="1" applyAlignment="1">
      <alignment horizontal="center" vertical="center" wrapText="1"/>
    </xf>
    <xf numFmtId="0" fontId="0" fillId="8" borderId="3" xfId="0" applyNumberFormat="1" applyFont="1" applyFill="1" applyBorder="1" applyAlignment="1">
      <alignment horizontal="center" vertical="center" wrapText="1"/>
    </xf>
    <xf numFmtId="0" fontId="0" fillId="12" borderId="5" xfId="0" applyNumberFormat="1" applyFont="1" applyFill="1" applyBorder="1" applyAlignment="1" applyProtection="1">
      <alignment horizontal="left" vertical="center" wrapText="1" indent="2"/>
      <protection locked="0"/>
    </xf>
    <xf numFmtId="0" fontId="5" fillId="0" borderId="6" xfId="0" applyNumberFormat="1" applyFont="1" applyBorder="1" applyAlignment="1">
      <alignment horizontal="right" vertical="center" wrapText="1" indent="1"/>
    </xf>
    <xf numFmtId="0" fontId="5" fillId="0" borderId="4" xfId="0" applyNumberFormat="1" applyFont="1" applyBorder="1" applyAlignment="1">
      <alignment horizontal="right" vertical="center" wrapText="1" indent="1"/>
    </xf>
    <xf numFmtId="0" fontId="79" fillId="8" borderId="0" xfId="0" applyNumberFormat="1" applyFont="1" applyFill="1" applyAlignment="1">
      <alignment horizontal="right" vertical="center"/>
    </xf>
    <xf numFmtId="49" fontId="77" fillId="0" borderId="4" xfId="0" applyNumberFormat="1" applyFont="1" applyBorder="1" applyAlignment="1">
      <alignment horizontal="left" vertical="top" wrapText="1"/>
    </xf>
    <xf numFmtId="49" fontId="77" fillId="0" borderId="5" xfId="0" applyNumberFormat="1" applyFont="1" applyBorder="1" applyAlignment="1">
      <alignment horizontal="left" vertical="top" wrapText="1"/>
    </xf>
    <xf numFmtId="0" fontId="77" fillId="0" borderId="8" xfId="0" applyNumberFormat="1" applyFont="1" applyBorder="1" applyAlignment="1">
      <alignment vertical="top" wrapText="1"/>
    </xf>
    <xf numFmtId="0" fontId="77" fillId="0" borderId="27" xfId="0" applyNumberFormat="1" applyFont="1" applyBorder="1" applyAlignment="1">
      <alignment horizontal="left" vertical="top" wrapText="1"/>
    </xf>
    <xf numFmtId="49" fontId="77" fillId="0" borderId="21" xfId="0" applyNumberFormat="1" applyFont="1" applyBorder="1" applyAlignment="1">
      <alignment horizontal="left" vertical="top" wrapText="1"/>
    </xf>
    <xf numFmtId="49" fontId="28" fillId="0" borderId="0" xfId="0" applyNumberFormat="1" applyFont="1" applyAlignment="1">
      <alignment horizontal="center" vertical="center" wrapText="1"/>
    </xf>
    <xf numFmtId="49" fontId="29" fillId="0" borderId="0" xfId="0" applyNumberFormat="1" applyFont="1" applyAlignment="1">
      <alignment horizontal="center" vertical="center" wrapText="1"/>
    </xf>
    <xf numFmtId="0" fontId="5" fillId="0" borderId="3" xfId="0" applyNumberFormat="1" applyFont="1" applyBorder="1" applyAlignment="1">
      <alignment horizontal="left" vertical="center" wrapText="1"/>
    </xf>
    <xf numFmtId="49" fontId="77" fillId="0" borderId="3" xfId="0" applyNumberFormat="1" applyFont="1" applyBorder="1" applyAlignment="1">
      <alignment horizontal="center" vertical="top" wrapText="1"/>
    </xf>
    <xf numFmtId="0" fontId="77" fillId="14" borderId="3" xfId="0" applyNumberFormat="1" applyFont="1" applyFill="1" applyBorder="1" applyAlignment="1">
      <alignment horizontal="center" vertical="center" wrapText="1"/>
    </xf>
    <xf numFmtId="49" fontId="77" fillId="0" borderId="28" xfId="0" applyNumberFormat="1" applyFont="1" applyBorder="1" applyAlignment="1">
      <alignment horizontal="center" vertical="top" wrapText="1"/>
    </xf>
    <xf numFmtId="49" fontId="77" fillId="0" borderId="8" xfId="0" applyNumberFormat="1" applyFont="1" applyBorder="1" applyAlignment="1">
      <alignment horizontal="center" vertical="top" wrapText="1"/>
    </xf>
    <xf numFmtId="49" fontId="21" fillId="10" borderId="5" xfId="0" applyNumberFormat="1" applyFont="1" applyFill="1" applyBorder="1" applyAlignment="1">
      <alignment horizontal="left" vertical="center" indent="1"/>
    </xf>
    <xf numFmtId="0" fontId="0" fillId="8" borderId="8" xfId="0" applyNumberFormat="1" applyFont="1" applyFill="1" applyBorder="1" applyAlignment="1">
      <alignment horizontal="center" vertical="center" wrapText="1"/>
    </xf>
    <xf numFmtId="0" fontId="5" fillId="8" borderId="8" xfId="0" applyNumberFormat="1" applyFont="1" applyFill="1" applyBorder="1" applyAlignment="1">
      <alignment horizontal="center" vertical="center" wrapText="1"/>
    </xf>
    <xf numFmtId="49" fontId="80" fillId="0" borderId="0" xfId="0" applyNumberFormat="1" applyFont="1" applyAlignment="1">
      <alignment horizontal="center" vertical="center" wrapText="1"/>
    </xf>
    <xf numFmtId="0" fontId="5" fillId="0" borderId="0" xfId="0" applyNumberFormat="1" applyFont="1" applyAlignment="1">
      <alignment vertical="center" wrapText="1"/>
    </xf>
    <xf numFmtId="49" fontId="5" fillId="0" borderId="0" xfId="0" applyNumberFormat="1" applyFont="1">
      <alignment vertical="top"/>
    </xf>
    <xf numFmtId="0" fontId="5" fillId="8" borderId="0" xfId="0" applyNumberFormat="1" applyFont="1" applyFill="1" applyAlignment="1">
      <alignment vertical="center" wrapText="1"/>
    </xf>
    <xf numFmtId="0" fontId="5" fillId="0" borderId="29" xfId="0" applyNumberFormat="1" applyFont="1" applyBorder="1" applyAlignment="1">
      <alignment vertical="center" wrapText="1"/>
    </xf>
    <xf numFmtId="0" fontId="28" fillId="0" borderId="0" xfId="0" applyNumberFormat="1" applyFont="1" applyAlignment="1">
      <alignment vertical="center" wrapText="1"/>
    </xf>
    <xf numFmtId="49" fontId="5" fillId="0" borderId="0" xfId="0" applyNumberFormat="1" applyFont="1">
      <alignment vertical="top"/>
    </xf>
    <xf numFmtId="0" fontId="5" fillId="8" borderId="0" xfId="0" applyNumberFormat="1" applyFont="1" applyFill="1" applyAlignment="1">
      <alignment vertical="center" wrapText="1"/>
    </xf>
    <xf numFmtId="49" fontId="5" fillId="0" borderId="0" xfId="0" applyNumberFormat="1" applyFont="1">
      <alignment vertical="top"/>
    </xf>
    <xf numFmtId="0" fontId="5" fillId="0" borderId="0" xfId="0" applyNumberFormat="1" applyFont="1" applyAlignment="1">
      <alignment vertical="center"/>
    </xf>
    <xf numFmtId="0" fontId="0" fillId="8" borderId="8" xfId="0" applyNumberFormat="1" applyFont="1" applyFill="1" applyBorder="1" applyAlignment="1">
      <alignment horizontal="center" vertical="center" wrapText="1"/>
    </xf>
    <xf numFmtId="0" fontId="0" fillId="8" borderId="28" xfId="0" applyNumberFormat="1" applyFont="1" applyFill="1" applyBorder="1" applyAlignment="1">
      <alignment horizontal="center" vertical="center" wrapText="1"/>
    </xf>
    <xf numFmtId="0" fontId="5" fillId="10" borderId="20" xfId="0" applyNumberFormat="1" applyFont="1" applyFill="1" applyBorder="1" applyAlignment="1">
      <alignment vertical="center" wrapText="1"/>
    </xf>
    <xf numFmtId="0" fontId="5" fillId="0" borderId="0" xfId="0" applyNumberFormat="1" applyFont="1" applyAlignment="1">
      <alignment vertical="center" wrapText="1"/>
    </xf>
    <xf numFmtId="0" fontId="5" fillId="8" borderId="30" xfId="0" applyNumberFormat="1" applyFont="1" applyFill="1" applyBorder="1" applyAlignment="1">
      <alignment vertical="center" wrapText="1"/>
    </xf>
    <xf numFmtId="0" fontId="31" fillId="8" borderId="30" xfId="0" applyNumberFormat="1" applyFont="1" applyFill="1" applyBorder="1" applyAlignment="1">
      <alignment horizontal="center" wrapText="1"/>
    </xf>
    <xf numFmtId="49" fontId="55" fillId="0" borderId="30" xfId="0" applyNumberFormat="1" applyFont="1" applyBorder="1">
      <alignment vertical="top"/>
    </xf>
    <xf numFmtId="49" fontId="26" fillId="0" borderId="0" xfId="0" applyNumberFormat="1" applyFont="1" applyAlignment="1">
      <alignment vertical="center"/>
    </xf>
    <xf numFmtId="49" fontId="81" fillId="0" borderId="0" xfId="0" applyNumberFormat="1" applyFont="1" applyAlignment="1">
      <alignment vertical="center"/>
    </xf>
    <xf numFmtId="49" fontId="26" fillId="0" borderId="0" xfId="0" applyNumberFormat="1" applyFont="1" applyAlignment="1">
      <alignment vertical="center"/>
    </xf>
    <xf numFmtId="49" fontId="26" fillId="0" borderId="0" xfId="0" applyNumberFormat="1" applyFont="1" applyAlignment="1">
      <alignment vertical="center"/>
    </xf>
    <xf numFmtId="49" fontId="26" fillId="0" borderId="0" xfId="0" applyNumberFormat="1" applyFont="1" applyAlignment="1">
      <alignment vertical="center" wrapText="1"/>
    </xf>
    <xf numFmtId="49" fontId="81" fillId="0" borderId="0" xfId="0" applyNumberFormat="1" applyFont="1" applyAlignment="1">
      <alignment vertical="center" wrapText="1"/>
    </xf>
    <xf numFmtId="49" fontId="26" fillId="0" borderId="0" xfId="0" applyNumberFormat="1" applyFont="1" applyAlignment="1">
      <alignment vertical="center" wrapText="1"/>
    </xf>
    <xf numFmtId="49" fontId="26" fillId="0" borderId="0" xfId="0" applyNumberFormat="1" applyFont="1">
      <alignment vertical="top"/>
    </xf>
    <xf numFmtId="49" fontId="26" fillId="0" borderId="0" xfId="0" applyNumberFormat="1" applyFont="1" applyAlignment="1">
      <alignment vertical="center" wrapText="1"/>
    </xf>
    <xf numFmtId="49" fontId="26" fillId="0" borderId="0" xfId="0" applyNumberFormat="1" applyFont="1" applyAlignment="1">
      <alignment horizontal="center" vertical="center" wrapText="1"/>
    </xf>
    <xf numFmtId="49" fontId="81" fillId="0" borderId="0" xfId="0" applyNumberFormat="1" applyFont="1" applyAlignment="1">
      <alignment horizontal="center" vertical="center" wrapText="1"/>
    </xf>
    <xf numFmtId="49" fontId="26" fillId="0" borderId="0" xfId="0" applyNumberFormat="1" applyFont="1" applyAlignment="1">
      <alignment horizontal="center" vertical="center" wrapText="1"/>
    </xf>
    <xf numFmtId="49" fontId="81" fillId="0" borderId="0" xfId="0" applyNumberFormat="1" applyFont="1" applyAlignment="1">
      <alignment horizontal="center" vertical="center" wrapText="1"/>
    </xf>
    <xf numFmtId="0" fontId="26" fillId="0" borderId="0" xfId="0" applyNumberFormat="1" applyFont="1" applyAlignment="1">
      <alignment horizontal="center" vertical="center" wrapText="1"/>
    </xf>
    <xf numFmtId="49" fontId="81" fillId="0" borderId="0" xfId="0" applyNumberFormat="1" applyFont="1" applyAlignment="1">
      <alignment vertical="center" wrapText="1"/>
    </xf>
    <xf numFmtId="49" fontId="26" fillId="8" borderId="0" xfId="0" applyNumberFormat="1" applyFont="1" applyFill="1" applyAlignment="1">
      <alignment vertical="center" wrapText="1"/>
    </xf>
    <xf numFmtId="49" fontId="26" fillId="0" borderId="0" xfId="0" applyNumberFormat="1" applyFont="1">
      <alignment vertical="top"/>
    </xf>
    <xf numFmtId="49" fontId="26" fillId="8" borderId="0" xfId="0" applyNumberFormat="1" applyFont="1" applyFill="1" applyAlignment="1">
      <alignment vertical="center"/>
    </xf>
    <xf numFmtId="49" fontId="81" fillId="0" borderId="0" xfId="0" applyNumberFormat="1" applyFont="1" applyAlignment="1">
      <alignment vertical="center"/>
    </xf>
    <xf numFmtId="49" fontId="26" fillId="0" borderId="0" xfId="0" applyNumberFormat="1" applyFont="1">
      <alignment vertical="top"/>
    </xf>
    <xf numFmtId="4" fontId="26" fillId="8" borderId="0" xfId="0" applyNumberFormat="1" applyFont="1" applyFill="1" applyAlignment="1">
      <alignment vertical="center"/>
    </xf>
    <xf numFmtId="49" fontId="13" fillId="0" borderId="0" xfId="0" applyNumberFormat="1" applyFont="1" applyAlignment="1">
      <alignment horizontal="center" vertical="center" wrapText="1"/>
    </xf>
    <xf numFmtId="49" fontId="5" fillId="0" borderId="0" xfId="0" applyNumberFormat="1" applyFont="1" applyAlignment="1">
      <alignment horizontal="center" vertical="center" wrapText="1"/>
    </xf>
    <xf numFmtId="49" fontId="5" fillId="8" borderId="0" xfId="0" applyNumberFormat="1" applyFont="1" applyFill="1" applyAlignment="1">
      <alignment horizontal="center" vertical="center" wrapText="1"/>
    </xf>
    <xf numFmtId="49" fontId="29" fillId="0" borderId="4" xfId="0" applyNumberFormat="1" applyFont="1" applyBorder="1" applyAlignment="1">
      <alignment horizontal="left" vertical="center" indent="1"/>
    </xf>
    <xf numFmtId="0" fontId="5" fillId="0" borderId="15" xfId="0" applyNumberFormat="1" applyFont="1" applyBorder="1" applyAlignment="1">
      <alignment vertical="top" wrapText="1"/>
    </xf>
    <xf numFmtId="0" fontId="5" fillId="0" borderId="5" xfId="0" applyNumberFormat="1" applyFont="1" applyBorder="1" applyAlignment="1">
      <alignment horizontal="center" vertical="center" wrapText="1"/>
    </xf>
    <xf numFmtId="0" fontId="5" fillId="0" borderId="8" xfId="0" applyNumberFormat="1" applyFont="1" applyBorder="1" applyAlignment="1">
      <alignment horizontal="center" vertical="center" wrapText="1"/>
    </xf>
    <xf numFmtId="0" fontId="5" fillId="0" borderId="3" xfId="0" applyNumberFormat="1" applyFont="1" applyBorder="1" applyAlignment="1">
      <alignment horizontal="center" vertical="center" wrapText="1"/>
    </xf>
    <xf numFmtId="49" fontId="28" fillId="0" borderId="0" xfId="0" applyNumberFormat="1" applyFont="1" applyAlignment="1">
      <alignment horizontal="center" vertical="center" wrapText="1"/>
    </xf>
    <xf numFmtId="49" fontId="29" fillId="0" borderId="0" xfId="0" applyNumberFormat="1" applyFont="1" applyAlignment="1">
      <alignment horizontal="center" vertical="center" wrapText="1"/>
    </xf>
    <xf numFmtId="49" fontId="5" fillId="0" borderId="3" xfId="0" applyNumberFormat="1" applyFont="1" applyBorder="1" applyAlignment="1">
      <alignment horizontal="center" vertical="center" wrapText="1"/>
    </xf>
    <xf numFmtId="0" fontId="5" fillId="0" borderId="3" xfId="0" applyNumberFormat="1" applyFont="1" applyBorder="1" applyAlignment="1">
      <alignment horizontal="left" vertical="center" wrapText="1" indent="1"/>
    </xf>
    <xf numFmtId="49" fontId="5" fillId="12" borderId="3" xfId="0" applyNumberFormat="1" applyFont="1" applyFill="1" applyBorder="1" applyAlignment="1" applyProtection="1">
      <alignment horizontal="left" vertical="center" wrapText="1"/>
      <protection locked="0"/>
    </xf>
    <xf numFmtId="0" fontId="18" fillId="0" borderId="0" xfId="0" applyNumberFormat="1" applyFont="1" applyAlignment="1">
      <alignment horizontal="center" vertical="center" wrapText="1"/>
    </xf>
    <xf numFmtId="49" fontId="73" fillId="0" borderId="3" xfId="0" applyNumberFormat="1" applyFont="1" applyBorder="1" applyAlignment="1">
      <alignment horizontal="center" vertical="center" wrapText="1"/>
    </xf>
    <xf numFmtId="0" fontId="73" fillId="0" borderId="3" xfId="0" applyNumberFormat="1" applyFont="1" applyBorder="1" applyAlignment="1">
      <alignment horizontal="center" vertical="center" wrapText="1"/>
    </xf>
    <xf numFmtId="49" fontId="73" fillId="0" borderId="8" xfId="0" applyNumberFormat="1" applyFont="1" applyBorder="1" applyAlignment="1">
      <alignment horizontal="center" vertical="center" wrapText="1"/>
    </xf>
    <xf numFmtId="49" fontId="73" fillId="0" borderId="14" xfId="0" applyNumberFormat="1" applyFont="1" applyBorder="1" applyAlignment="1">
      <alignment horizontal="center" vertical="center" wrapText="1"/>
    </xf>
    <xf numFmtId="0" fontId="73" fillId="0" borderId="8" xfId="0" applyNumberFormat="1" applyFont="1" applyBorder="1" applyAlignment="1">
      <alignment horizontal="center" vertical="center" wrapText="1"/>
    </xf>
    <xf numFmtId="49" fontId="77" fillId="0" borderId="13" xfId="0" applyNumberFormat="1" applyFont="1" applyBorder="1" applyAlignment="1">
      <alignment horizontal="center" vertical="top" wrapText="1"/>
    </xf>
    <xf numFmtId="49" fontId="77" fillId="0" borderId="27" xfId="0" applyNumberFormat="1" applyFont="1" applyBorder="1" applyAlignment="1">
      <alignment horizontal="left" vertical="top" wrapText="1"/>
    </xf>
    <xf numFmtId="0" fontId="73" fillId="0" borderId="3" xfId="0" applyNumberFormat="1" applyFont="1" applyBorder="1" applyAlignment="1">
      <alignment vertical="center" wrapText="1"/>
    </xf>
    <xf numFmtId="0" fontId="73" fillId="0" borderId="8" xfId="0" applyNumberFormat="1" applyFont="1" applyBorder="1" applyAlignment="1">
      <alignment vertical="center" wrapText="1"/>
    </xf>
    <xf numFmtId="0" fontId="73" fillId="0" borderId="14" xfId="0" applyNumberFormat="1" applyFont="1" applyBorder="1" applyAlignment="1">
      <alignment vertical="center" wrapText="1"/>
    </xf>
    <xf numFmtId="49" fontId="73" fillId="0" borderId="3" xfId="0" applyNumberFormat="1" applyFont="1" applyBorder="1" applyAlignment="1">
      <alignment horizontal="left" vertical="top" wrapText="1"/>
    </xf>
    <xf numFmtId="167" fontId="5" fillId="12" borderId="8" xfId="0" applyNumberFormat="1" applyFont="1" applyFill="1" applyBorder="1" applyAlignment="1" applyProtection="1">
      <alignment horizontal="right" vertical="center" wrapText="1"/>
      <protection locked="0"/>
    </xf>
    <xf numFmtId="0" fontId="5" fillId="0" borderId="4" xfId="0" applyNumberFormat="1" applyFont="1" applyBorder="1" applyAlignment="1">
      <alignment horizontal="center" vertical="center" wrapText="1"/>
    </xf>
    <xf numFmtId="0" fontId="5" fillId="0" borderId="11" xfId="0" applyNumberFormat="1" applyFont="1" applyBorder="1" applyAlignment="1">
      <alignment horizontal="center" vertical="center" wrapText="1"/>
    </xf>
    <xf numFmtId="49" fontId="5" fillId="10" borderId="28" xfId="0" applyNumberFormat="1" applyFont="1" applyFill="1" applyBorder="1" applyAlignment="1">
      <alignment vertical="center" wrapText="1"/>
    </xf>
    <xf numFmtId="49" fontId="21" fillId="10" borderId="10" xfId="0" applyNumberFormat="1" applyFont="1" applyFill="1" applyBorder="1" applyAlignment="1">
      <alignment horizontal="left" vertical="center" indent="1"/>
    </xf>
    <xf numFmtId="49" fontId="5" fillId="10" borderId="28" xfId="0" applyNumberFormat="1" applyFont="1" applyFill="1" applyBorder="1" applyAlignment="1">
      <alignment vertical="center" wrapText="1"/>
    </xf>
    <xf numFmtId="49" fontId="21" fillId="10" borderId="10" xfId="0" applyNumberFormat="1" applyFont="1" applyFill="1" applyBorder="1" applyAlignment="1">
      <alignment horizontal="left" vertical="center" indent="1"/>
    </xf>
    <xf numFmtId="0" fontId="54" fillId="0" borderId="0" xfId="0" applyNumberFormat="1" applyFont="1" applyAlignment="1">
      <alignment horizontal="center" vertical="center" wrapText="1"/>
    </xf>
    <xf numFmtId="4" fontId="5" fillId="12" borderId="4" xfId="0" applyNumberFormat="1" applyFont="1" applyFill="1" applyBorder="1" applyAlignment="1" applyProtection="1">
      <alignment horizontal="right" vertical="center" wrapText="1"/>
      <protection locked="0"/>
    </xf>
    <xf numFmtId="167" fontId="5" fillId="12" borderId="4" xfId="0" applyNumberFormat="1" applyFont="1" applyFill="1" applyBorder="1" applyAlignment="1" applyProtection="1">
      <alignment horizontal="right" vertical="center" wrapText="1"/>
      <protection locked="0"/>
    </xf>
    <xf numFmtId="167" fontId="5" fillId="7" borderId="4" xfId="0" applyNumberFormat="1" applyFont="1" applyFill="1" applyBorder="1" applyAlignment="1">
      <alignment horizontal="right" vertical="center" wrapText="1"/>
    </xf>
    <xf numFmtId="4" fontId="5" fillId="12" borderId="20" xfId="0" applyNumberFormat="1" applyFont="1" applyFill="1" applyBorder="1" applyAlignment="1" applyProtection="1">
      <alignment horizontal="right" vertical="center" wrapText="1"/>
      <protection locked="0"/>
    </xf>
    <xf numFmtId="49" fontId="73" fillId="14" borderId="3" xfId="0" applyNumberFormat="1" applyFont="1" applyFill="1" applyBorder="1" applyAlignment="1">
      <alignment horizontal="center" vertical="top"/>
    </xf>
    <xf numFmtId="49" fontId="77" fillId="0" borderId="0" xfId="0" applyNumberFormat="1" applyFont="1">
      <alignment vertical="top"/>
    </xf>
    <xf numFmtId="49" fontId="73" fillId="0" borderId="3" xfId="0" applyNumberFormat="1" applyFont="1" applyBorder="1" applyAlignment="1">
      <alignment horizontal="center" vertical="top" wrapText="1"/>
    </xf>
    <xf numFmtId="49" fontId="73" fillId="0" borderId="3" xfId="0" applyNumberFormat="1" applyFont="1" applyBorder="1" applyAlignment="1">
      <alignment vertical="top" wrapText="1"/>
    </xf>
    <xf numFmtId="0" fontId="73" fillId="0" borderId="3" xfId="0" applyNumberFormat="1" applyFont="1" applyBorder="1" applyAlignment="1">
      <alignment vertical="top" wrapText="1"/>
    </xf>
    <xf numFmtId="49" fontId="73" fillId="0" borderId="3" xfId="0" applyNumberFormat="1" applyFont="1" applyBorder="1">
      <alignment vertical="top"/>
    </xf>
    <xf numFmtId="49" fontId="77" fillId="0" borderId="3" xfId="0" applyNumberFormat="1" applyFont="1" applyBorder="1">
      <alignment vertical="top"/>
    </xf>
    <xf numFmtId="49" fontId="73" fillId="0" borderId="0" xfId="0" applyNumberFormat="1" applyFont="1" applyAlignment="1">
      <alignment horizontal="center" vertical="center" wrapText="1"/>
    </xf>
    <xf numFmtId="49" fontId="73" fillId="0" borderId="0" xfId="0" applyNumberFormat="1" applyFont="1" applyAlignment="1">
      <alignment horizontal="left" vertical="center" wrapText="1"/>
    </xf>
    <xf numFmtId="49" fontId="73" fillId="19" borderId="0" xfId="0" applyNumberFormat="1" applyFont="1" applyFill="1" applyAlignment="1">
      <alignment horizontal="center" vertical="center" wrapText="1"/>
    </xf>
    <xf numFmtId="0" fontId="73" fillId="0" borderId="0" xfId="0" applyNumberFormat="1" applyFont="1" applyAlignment="1">
      <alignment vertical="center" wrapText="1"/>
    </xf>
    <xf numFmtId="0" fontId="29" fillId="0" borderId="3" xfId="0" applyNumberFormat="1" applyFont="1" applyBorder="1" applyAlignment="1">
      <alignment horizontal="left" vertical="center" wrapText="1" indent="3"/>
    </xf>
    <xf numFmtId="49" fontId="29" fillId="0" borderId="3" xfId="0" applyNumberFormat="1" applyFont="1" applyBorder="1" applyAlignment="1">
      <alignment vertical="center" wrapText="1"/>
    </xf>
    <xf numFmtId="0" fontId="29" fillId="0" borderId="8" xfId="0" applyNumberFormat="1" applyFont="1" applyBorder="1" applyAlignment="1">
      <alignment vertical="top" wrapText="1"/>
    </xf>
    <xf numFmtId="0" fontId="29" fillId="0" borderId="27" xfId="0" applyNumberFormat="1" applyFont="1" applyBorder="1" applyAlignment="1">
      <alignment horizontal="left" vertical="center" wrapText="1" indent="1"/>
    </xf>
    <xf numFmtId="0" fontId="29" fillId="0" borderId="27" xfId="0" applyNumberFormat="1" applyFont="1" applyBorder="1" applyAlignment="1">
      <alignment horizontal="center" vertical="center" wrapText="1"/>
    </xf>
    <xf numFmtId="0" fontId="29" fillId="0" borderId="8" xfId="0" applyNumberFormat="1" applyFont="1" applyBorder="1" applyAlignment="1">
      <alignment vertical="center" wrapText="1"/>
    </xf>
    <xf numFmtId="0" fontId="29" fillId="0" borderId="14" xfId="0" applyNumberFormat="1" applyFont="1" applyBorder="1" applyAlignment="1">
      <alignment horizontal="left" vertical="center" wrapText="1" indent="1"/>
    </xf>
    <xf numFmtId="0" fontId="29" fillId="0" borderId="8" xfId="0" applyNumberFormat="1" applyFont="1" applyBorder="1" applyAlignment="1">
      <alignment horizontal="left" vertical="center" wrapText="1" indent="1"/>
    </xf>
    <xf numFmtId="49" fontId="77" fillId="14" borderId="3" xfId="0" applyNumberFormat="1" applyFont="1" applyFill="1" applyBorder="1" applyAlignment="1">
      <alignment horizontal="center" vertical="top" wrapText="1"/>
    </xf>
    <xf numFmtId="49" fontId="77" fillId="14" borderId="3" xfId="0" applyNumberFormat="1" applyFont="1" applyFill="1" applyBorder="1" applyAlignment="1">
      <alignment horizontal="left" vertical="top" wrapText="1"/>
    </xf>
    <xf numFmtId="49" fontId="77" fillId="14" borderId="0" xfId="0" applyNumberFormat="1" applyFont="1" applyFill="1" applyAlignment="1">
      <alignment horizontal="left" vertical="top" wrapText="1"/>
    </xf>
    <xf numFmtId="0" fontId="73" fillId="0" borderId="5" xfId="0" applyNumberFormat="1" applyFont="1" applyBorder="1" applyAlignment="1">
      <alignment horizontal="center" vertical="center" wrapText="1"/>
    </xf>
    <xf numFmtId="0" fontId="5" fillId="0" borderId="14" xfId="0" applyNumberFormat="1" applyFont="1" applyBorder="1" applyAlignment="1">
      <alignment vertical="top" wrapText="1"/>
    </xf>
    <xf numFmtId="0" fontId="5" fillId="0" borderId="14" xfId="0" applyNumberFormat="1" applyFont="1" applyBorder="1" applyAlignment="1">
      <alignment vertical="top" wrapText="1"/>
    </xf>
    <xf numFmtId="0" fontId="73" fillId="0" borderId="5" xfId="0" applyNumberFormat="1" applyFont="1" applyBorder="1" applyAlignment="1">
      <alignment horizontal="center" vertical="center"/>
    </xf>
    <xf numFmtId="49" fontId="29" fillId="8" borderId="3" xfId="0" applyNumberFormat="1" applyFont="1" applyFill="1" applyBorder="1" applyAlignment="1">
      <alignment horizontal="center" vertical="center"/>
    </xf>
    <xf numFmtId="0" fontId="29" fillId="8" borderId="3" xfId="0" applyNumberFormat="1" applyFont="1" applyFill="1" applyBorder="1" applyAlignment="1">
      <alignment horizontal="left" vertical="center" wrapText="1" indent="1"/>
    </xf>
    <xf numFmtId="0" fontId="29" fillId="8" borderId="3" xfId="0" applyNumberFormat="1" applyFont="1" applyFill="1" applyBorder="1" applyAlignment="1">
      <alignment vertical="center" wrapText="1"/>
    </xf>
    <xf numFmtId="49" fontId="29" fillId="0" borderId="3" xfId="0" applyNumberFormat="1" applyFont="1" applyBorder="1" applyAlignment="1">
      <alignment horizontal="center" vertical="center"/>
    </xf>
    <xf numFmtId="0" fontId="29" fillId="0" borderId="3" xfId="0" applyNumberFormat="1" applyFont="1" applyBorder="1" applyAlignment="1">
      <alignment horizontal="left" vertical="center" wrapText="1" indent="1"/>
    </xf>
    <xf numFmtId="0" fontId="29" fillId="0" borderId="3" xfId="0" applyNumberFormat="1" applyFont="1" applyBorder="1" applyAlignment="1">
      <alignment horizontal="left" vertical="center" wrapText="1"/>
    </xf>
    <xf numFmtId="0" fontId="29" fillId="0" borderId="3" xfId="0" applyNumberFormat="1" applyFont="1" applyBorder="1" applyAlignment="1">
      <alignment vertical="center" wrapText="1"/>
    </xf>
    <xf numFmtId="0" fontId="29" fillId="0" borderId="3" xfId="0" applyNumberFormat="1" applyFont="1" applyBorder="1" applyAlignment="1">
      <alignment horizontal="center" vertical="center" wrapText="1"/>
    </xf>
    <xf numFmtId="0" fontId="29" fillId="8" borderId="3" xfId="0" applyNumberFormat="1" applyFont="1" applyFill="1" applyBorder="1" applyAlignment="1">
      <alignment horizontal="left" vertical="center" wrapText="1" indent="2"/>
    </xf>
    <xf numFmtId="49" fontId="29" fillId="0" borderId="3" xfId="0" applyNumberFormat="1" applyFont="1" applyBorder="1" applyAlignment="1">
      <alignment horizontal="left" vertical="center" wrapText="1"/>
    </xf>
    <xf numFmtId="49" fontId="29" fillId="0" borderId="3" xfId="0" applyNumberFormat="1" applyFont="1" applyBorder="1" applyAlignment="1">
      <alignment horizontal="left" vertical="center" wrapText="1"/>
    </xf>
    <xf numFmtId="2" fontId="5" fillId="0" borderId="14" xfId="0" applyNumberFormat="1" applyFont="1" applyBorder="1" applyAlignment="1">
      <alignment horizontal="center" vertical="center" wrapText="1"/>
    </xf>
    <xf numFmtId="0" fontId="82" fillId="0" borderId="0" xfId="0" applyNumberFormat="1" applyFont="1" applyAlignment="1">
      <alignment horizontal="center" vertical="center" wrapText="1"/>
    </xf>
    <xf numFmtId="0" fontId="83" fillId="8" borderId="0" xfId="0" applyNumberFormat="1" applyFont="1" applyFill="1" applyAlignment="1">
      <alignment horizontal="right" vertical="center"/>
    </xf>
    <xf numFmtId="0" fontId="5" fillId="0" borderId="14" xfId="0" applyNumberFormat="1" applyFont="1" applyBorder="1" applyAlignment="1">
      <alignment horizontal="left" vertical="center" wrapText="1"/>
    </xf>
    <xf numFmtId="49" fontId="28" fillId="0" borderId="0" xfId="0" applyNumberFormat="1" applyFont="1" applyAlignment="1">
      <alignment horizontal="center" vertical="center" wrapText="1"/>
    </xf>
    <xf numFmtId="0" fontId="29" fillId="0" borderId="18" xfId="0" applyNumberFormat="1" applyFont="1" applyBorder="1" applyAlignment="1">
      <alignment vertical="center" wrapText="1"/>
    </xf>
    <xf numFmtId="49" fontId="35" fillId="0" borderId="5" xfId="0" applyNumberFormat="1" applyFont="1" applyBorder="1" applyAlignment="1">
      <alignment horizontal="left" vertical="center" wrapText="1"/>
    </xf>
    <xf numFmtId="49" fontId="35" fillId="0" borderId="6" xfId="0" applyNumberFormat="1" applyFont="1" applyBorder="1" applyAlignment="1">
      <alignment horizontal="left" vertical="center" wrapText="1"/>
    </xf>
    <xf numFmtId="49" fontId="29" fillId="0" borderId="0" xfId="0" applyNumberFormat="1" applyFont="1" applyAlignment="1">
      <alignment horizontal="center" vertical="center" wrapText="1"/>
    </xf>
    <xf numFmtId="0" fontId="29" fillId="0" borderId="0" xfId="0" applyNumberFormat="1" applyFont="1" applyAlignment="1">
      <alignment horizontal="center" vertical="center" wrapText="1"/>
    </xf>
    <xf numFmtId="4" fontId="5" fillId="0" borderId="8" xfId="0" applyNumberFormat="1" applyFont="1" applyBorder="1" applyAlignment="1">
      <alignment horizontal="center" vertical="center" wrapText="1"/>
    </xf>
    <xf numFmtId="4" fontId="5" fillId="0" borderId="23" xfId="0" applyNumberFormat="1" applyFont="1" applyBorder="1" applyAlignment="1">
      <alignment horizontal="center" vertical="center" wrapText="1"/>
    </xf>
    <xf numFmtId="49" fontId="35" fillId="0" borderId="28" xfId="0" applyNumberFormat="1" applyFont="1" applyBorder="1" applyAlignment="1">
      <alignment horizontal="left" vertical="center" wrapText="1"/>
    </xf>
    <xf numFmtId="49" fontId="35" fillId="0" borderId="21" xfId="0" applyNumberFormat="1" applyFont="1" applyBorder="1" applyAlignment="1">
      <alignment horizontal="left" vertical="center" wrapText="1"/>
    </xf>
    <xf numFmtId="0" fontId="5" fillId="0" borderId="27" xfId="0" applyNumberFormat="1" applyFont="1" applyBorder="1" applyAlignment="1">
      <alignment vertical="center" wrapText="1"/>
    </xf>
    <xf numFmtId="0" fontId="5" fillId="0" borderId="23" xfId="0" applyNumberFormat="1" applyFont="1" applyBorder="1" applyAlignment="1">
      <alignment horizontal="left" vertical="center" wrapText="1"/>
    </xf>
    <xf numFmtId="49" fontId="28" fillId="0" borderId="0" xfId="0" applyNumberFormat="1" applyFont="1" applyAlignment="1">
      <alignment horizontal="center" vertical="center" wrapText="1"/>
    </xf>
    <xf numFmtId="0" fontId="5" fillId="0" borderId="0" xfId="0" applyNumberFormat="1" applyFont="1" applyAlignment="1">
      <alignment vertical="top" wrapText="1"/>
    </xf>
    <xf numFmtId="0" fontId="5" fillId="0" borderId="0" xfId="0" applyNumberFormat="1" applyFont="1">
      <alignment vertical="top"/>
    </xf>
    <xf numFmtId="4" fontId="5" fillId="0" borderId="31" xfId="0" applyNumberFormat="1" applyFont="1" applyBorder="1" applyAlignment="1">
      <alignment horizontal="center" vertical="center" wrapText="1"/>
    </xf>
    <xf numFmtId="0" fontId="29" fillId="0" borderId="0" xfId="0" applyNumberFormat="1" applyFont="1" applyAlignment="1">
      <alignment horizontal="center" vertical="top"/>
    </xf>
    <xf numFmtId="49" fontId="29" fillId="0" borderId="0" xfId="0" applyNumberFormat="1" applyFont="1">
      <alignment vertical="top"/>
    </xf>
    <xf numFmtId="0" fontId="29" fillId="0" borderId="14" xfId="0" applyNumberFormat="1" applyFont="1" applyBorder="1" applyAlignment="1">
      <alignment vertical="center" wrapText="1"/>
    </xf>
    <xf numFmtId="4" fontId="29" fillId="0" borderId="3" xfId="0" applyNumberFormat="1" applyFont="1" applyBorder="1" applyAlignment="1">
      <alignment horizontal="right" vertical="center" wrapText="1"/>
    </xf>
    <xf numFmtId="2" fontId="29" fillId="0" borderId="14" xfId="0" applyNumberFormat="1" applyFont="1" applyBorder="1" applyAlignment="1">
      <alignment horizontal="center" vertical="center" wrapText="1"/>
    </xf>
    <xf numFmtId="0" fontId="29" fillId="0" borderId="3" xfId="0" applyNumberFormat="1" applyFont="1" applyBorder="1" applyAlignment="1">
      <alignment horizontal="left" vertical="center" wrapText="1"/>
    </xf>
    <xf numFmtId="49" fontId="29" fillId="0" borderId="5" xfId="0" applyNumberFormat="1" applyFont="1" applyBorder="1" applyAlignment="1">
      <alignment horizontal="left" vertical="center"/>
    </xf>
    <xf numFmtId="49" fontId="29" fillId="0" borderId="6" xfId="0" applyNumberFormat="1" applyFont="1" applyBorder="1" applyAlignment="1">
      <alignment horizontal="left" vertical="center" indent="1"/>
    </xf>
    <xf numFmtId="49" fontId="29" fillId="0" borderId="6" xfId="0" applyNumberFormat="1" applyFont="1" applyBorder="1" applyAlignment="1">
      <alignment horizontal="left" vertical="center"/>
    </xf>
    <xf numFmtId="0" fontId="29" fillId="0" borderId="3" xfId="0" applyNumberFormat="1" applyFont="1" applyBorder="1" applyAlignment="1">
      <alignment horizontal="left" vertical="center" indent="1"/>
    </xf>
    <xf numFmtId="49" fontId="21" fillId="0" borderId="10" xfId="0" applyNumberFormat="1" applyFont="1" applyBorder="1" applyAlignment="1">
      <alignment horizontal="right" vertical="center"/>
    </xf>
    <xf numFmtId="0" fontId="5" fillId="13" borderId="3" xfId="0" applyNumberFormat="1" applyFont="1" applyFill="1" applyBorder="1" applyAlignment="1">
      <alignment horizontal="left" vertical="center" wrapText="1" indent="1"/>
    </xf>
    <xf numFmtId="0" fontId="5" fillId="0" borderId="3" xfId="0" applyNumberFormat="1" applyFont="1" applyBorder="1" applyAlignment="1">
      <alignment horizontal="center" vertical="center" wrapText="1"/>
    </xf>
    <xf numFmtId="0" fontId="29" fillId="0" borderId="0" xfId="0" applyNumberFormat="1" applyFont="1" applyAlignment="1">
      <alignment horizontal="center" vertical="center" wrapText="1"/>
    </xf>
    <xf numFmtId="49" fontId="28" fillId="0" borderId="0" xfId="0" applyNumberFormat="1" applyFont="1" applyAlignment="1">
      <alignment horizontal="center" vertical="center" wrapText="1"/>
    </xf>
    <xf numFmtId="49" fontId="29" fillId="0" borderId="0" xfId="0" applyNumberFormat="1" applyFont="1" applyAlignment="1">
      <alignment horizontal="center" vertical="center" wrapText="1"/>
    </xf>
    <xf numFmtId="0" fontId="43" fillId="8" borderId="0" xfId="0" applyNumberFormat="1" applyFont="1" applyFill="1" applyAlignment="1">
      <alignment horizontal="left" vertical="center" wrapText="1" indent="1"/>
    </xf>
    <xf numFmtId="0" fontId="5" fillId="0" borderId="0" xfId="0" applyNumberFormat="1" applyFont="1" applyAlignment="1">
      <alignment horizontal="left" vertical="center" wrapText="1" indent="1"/>
    </xf>
    <xf numFmtId="49" fontId="35" fillId="9" borderId="4" xfId="0" applyNumberFormat="1" applyFont="1" applyFill="1" applyBorder="1" applyAlignment="1" applyProtection="1">
      <alignment horizontal="left" vertical="center" wrapText="1"/>
      <protection locked="0"/>
    </xf>
    <xf numFmtId="49" fontId="5" fillId="0" borderId="0" xfId="0" applyNumberFormat="1" applyFont="1" applyAlignment="1">
      <alignment horizontal="center" vertical="center" wrapText="1"/>
    </xf>
    <xf numFmtId="0" fontId="5" fillId="0" borderId="10" xfId="0" applyNumberFormat="1" applyFont="1" applyBorder="1" applyAlignment="1">
      <alignment vertical="center" wrapText="1"/>
    </xf>
    <xf numFmtId="0" fontId="5" fillId="0" borderId="18" xfId="0" applyNumberFormat="1" applyFont="1" applyBorder="1" applyAlignment="1">
      <alignment vertical="center" wrapText="1"/>
    </xf>
    <xf numFmtId="49" fontId="5" fillId="10" borderId="32" xfId="0" applyNumberFormat="1" applyFont="1" applyFill="1" applyBorder="1" applyAlignment="1">
      <alignment horizontal="center" vertical="center" wrapText="1"/>
    </xf>
    <xf numFmtId="49" fontId="31" fillId="10" borderId="33" xfId="0" applyNumberFormat="1" applyFont="1" applyFill="1" applyBorder="1" applyAlignment="1">
      <alignment horizontal="right" vertical="center" wrapText="1"/>
    </xf>
    <xf numFmtId="49" fontId="31" fillId="10" borderId="34" xfId="0" applyNumberFormat="1" applyFont="1" applyFill="1" applyBorder="1" applyAlignment="1">
      <alignment horizontal="right" vertical="center" wrapText="1"/>
    </xf>
    <xf numFmtId="49" fontId="26" fillId="0" borderId="0" xfId="0" applyNumberFormat="1" applyFont="1">
      <alignment vertical="top"/>
    </xf>
    <xf numFmtId="49" fontId="26" fillId="0" borderId="0" xfId="0" applyNumberFormat="1" applyFont="1" applyAlignment="1">
      <alignment vertical="center" wrapText="1"/>
    </xf>
    <xf numFmtId="0" fontId="26" fillId="0" borderId="0" xfId="0" applyNumberFormat="1" applyFont="1" applyAlignment="1">
      <alignment vertical="center" wrapText="1"/>
    </xf>
    <xf numFmtId="49" fontId="76" fillId="0" borderId="0" xfId="0" applyNumberFormat="1" applyFont="1" applyAlignment="1">
      <alignment vertical="center" wrapText="1"/>
    </xf>
    <xf numFmtId="49" fontId="0" fillId="0" borderId="0" xfId="0" applyNumberFormat="1" applyFont="1" applyAlignment="1">
      <alignment vertical="center" wrapText="1"/>
    </xf>
    <xf numFmtId="49" fontId="13" fillId="20" borderId="0" xfId="0" applyNumberFormat="1" applyFont="1" applyFill="1" applyAlignment="1">
      <alignment horizontal="center" vertical="center"/>
    </xf>
    <xf numFmtId="0" fontId="0" fillId="21" borderId="0" xfId="0" applyNumberFormat="1" applyFont="1" applyFill="1" applyAlignment="1">
      <alignment horizontal="left" vertical="center"/>
    </xf>
    <xf numFmtId="0" fontId="0" fillId="22" borderId="3" xfId="0" applyNumberFormat="1" applyFont="1" applyFill="1" applyBorder="1" applyAlignment="1">
      <alignment horizontal="center" vertical="center"/>
    </xf>
    <xf numFmtId="49" fontId="0" fillId="0" borderId="0" xfId="0" applyNumberFormat="1" applyFont="1" applyAlignment="1">
      <alignment vertical="center"/>
    </xf>
    <xf numFmtId="49" fontId="28" fillId="20" borderId="3" xfId="0" applyNumberFormat="1" applyFont="1" applyFill="1" applyBorder="1" applyAlignment="1">
      <alignment horizontal="center" vertical="center"/>
    </xf>
    <xf numFmtId="49" fontId="28" fillId="23" borderId="3" xfId="0" applyNumberFormat="1" applyFont="1" applyFill="1" applyBorder="1" applyAlignment="1">
      <alignment horizontal="center" vertical="center"/>
    </xf>
    <xf numFmtId="49" fontId="0" fillId="24" borderId="3" xfId="0" applyNumberFormat="1" applyFont="1" applyFill="1" applyBorder="1" applyAlignment="1">
      <alignment horizontal="center" vertical="center"/>
    </xf>
    <xf numFmtId="49" fontId="5" fillId="0" borderId="0" xfId="0" applyNumberFormat="1" applyFont="1">
      <alignment vertical="top"/>
    </xf>
    <xf numFmtId="0" fontId="5" fillId="0" borderId="3" xfId="0" applyNumberFormat="1" applyFont="1" applyBorder="1" applyAlignment="1">
      <alignment vertical="center"/>
    </xf>
    <xf numFmtId="0" fontId="0" fillId="0" borderId="3" xfId="0" applyNumberFormat="1" applyFont="1" applyBorder="1" applyAlignment="1">
      <alignment vertical="center"/>
    </xf>
    <xf numFmtId="0" fontId="0" fillId="0" borderId="3" xfId="0" applyNumberFormat="1" applyFont="1" applyBorder="1" applyAlignment="1">
      <alignment vertical="center"/>
    </xf>
    <xf numFmtId="0" fontId="0" fillId="0" borderId="5" xfId="0" applyNumberFormat="1" applyFont="1" applyBorder="1" applyAlignment="1">
      <alignment vertical="center"/>
    </xf>
    <xf numFmtId="0" fontId="0" fillId="0" borderId="5" xfId="0" applyNumberFormat="1" applyFont="1" applyBorder="1" applyAlignment="1">
      <alignment vertical="center"/>
    </xf>
    <xf numFmtId="49" fontId="5" fillId="0" borderId="35" xfId="0" applyNumberFormat="1" applyFont="1" applyBorder="1" applyAlignment="1">
      <alignment vertical="center"/>
    </xf>
    <xf numFmtId="49" fontId="5" fillId="0" borderId="36" xfId="0" applyNumberFormat="1" applyFont="1" applyBorder="1">
      <alignment vertical="top"/>
    </xf>
    <xf numFmtId="0" fontId="0" fillId="0" borderId="4" xfId="0" applyNumberFormat="1" applyFont="1" applyBorder="1" applyAlignment="1">
      <alignment vertical="center"/>
    </xf>
    <xf numFmtId="0" fontId="0" fillId="0" borderId="3" xfId="0" applyNumberFormat="1" applyFont="1" applyBorder="1" applyAlignment="1">
      <alignment horizontal="right" vertical="top"/>
    </xf>
    <xf numFmtId="0" fontId="0" fillId="0" borderId="3" xfId="0" applyNumberFormat="1" applyFont="1" applyBorder="1">
      <alignment vertical="top"/>
    </xf>
    <xf numFmtId="0" fontId="5" fillId="0" borderId="4" xfId="0" applyNumberFormat="1" applyFont="1" applyBorder="1" applyAlignment="1">
      <alignment vertical="center"/>
    </xf>
    <xf numFmtId="49" fontId="5" fillId="0" borderId="3" xfId="0" applyNumberFormat="1" applyFont="1" applyBorder="1" applyAlignment="1">
      <alignment vertical="center"/>
    </xf>
    <xf numFmtId="0" fontId="0" fillId="0" borderId="0" xfId="0" applyNumberFormat="1" applyFont="1">
      <alignment vertical="top"/>
    </xf>
    <xf numFmtId="0" fontId="5" fillId="0" borderId="3" xfId="0" applyNumberFormat="1" applyFont="1" applyBorder="1">
      <alignment vertical="top"/>
    </xf>
    <xf numFmtId="49" fontId="5" fillId="0" borderId="3" xfId="0" applyNumberFormat="1" applyFont="1" applyBorder="1">
      <alignment vertical="top"/>
    </xf>
    <xf numFmtId="0" fontId="5" fillId="0" borderId="0" xfId="0" applyNumberFormat="1" applyFont="1" applyAlignment="1">
      <alignment vertical="center"/>
    </xf>
    <xf numFmtId="49" fontId="5" fillId="0" borderId="5" xfId="0" applyNumberFormat="1" applyFont="1" applyBorder="1">
      <alignment vertical="top"/>
    </xf>
    <xf numFmtId="0" fontId="0" fillId="0" borderId="0" xfId="0" applyNumberFormat="1" applyFont="1" applyAlignment="1">
      <alignment vertical="center"/>
    </xf>
    <xf numFmtId="0" fontId="5" fillId="0" borderId="0" xfId="0" applyNumberFormat="1" applyFont="1">
      <alignment vertical="top"/>
    </xf>
    <xf numFmtId="49" fontId="5" fillId="0" borderId="3" xfId="0" applyNumberFormat="1" applyFont="1" applyBorder="1">
      <alignment vertical="top"/>
    </xf>
    <xf numFmtId="49" fontId="0" fillId="0" borderId="5" xfId="0" applyNumberFormat="1" applyFont="1" applyBorder="1">
      <alignment vertical="top"/>
    </xf>
    <xf numFmtId="0" fontId="0" fillId="0" borderId="8" xfId="0" applyNumberFormat="1" applyFont="1" applyBorder="1">
      <alignment vertical="top"/>
    </xf>
    <xf numFmtId="0" fontId="5" fillId="0" borderId="8" xfId="0" applyNumberFormat="1" applyFont="1" applyBorder="1" applyAlignment="1">
      <alignment vertical="center"/>
    </xf>
    <xf numFmtId="49" fontId="5" fillId="0" borderId="22" xfId="0" applyNumberFormat="1" applyFont="1" applyBorder="1" applyAlignment="1">
      <alignment horizontal="center" vertical="center"/>
    </xf>
    <xf numFmtId="49" fontId="5" fillId="0" borderId="0" xfId="0" applyNumberFormat="1" applyFont="1">
      <alignment vertical="top"/>
    </xf>
    <xf numFmtId="49" fontId="0" fillId="9" borderId="22" xfId="0" applyNumberFormat="1" applyFont="1" applyFill="1" applyBorder="1" applyAlignment="1" applyProtection="1">
      <alignment horizontal="left" vertical="center"/>
      <protection locked="0"/>
    </xf>
    <xf numFmtId="49" fontId="0" fillId="0" borderId="3" xfId="0" applyNumberFormat="1" applyFont="1" applyBorder="1" applyAlignment="1">
      <alignment horizontal="center" vertical="center"/>
    </xf>
    <xf numFmtId="49" fontId="0" fillId="0" borderId="22" xfId="0" applyNumberFormat="1" applyFont="1" applyBorder="1" applyAlignment="1">
      <alignment horizontal="right" vertical="center"/>
    </xf>
    <xf numFmtId="0" fontId="0" fillId="7" borderId="22" xfId="0" applyNumberFormat="1" applyFont="1" applyFill="1" applyBorder="1" applyAlignment="1">
      <alignment horizontal="center" vertical="center"/>
    </xf>
    <xf numFmtId="49" fontId="0" fillId="0" borderId="22" xfId="0" applyNumberFormat="1" applyFont="1" applyBorder="1" applyAlignment="1">
      <alignment horizontal="center" vertical="center"/>
    </xf>
    <xf numFmtId="49" fontId="0" fillId="0" borderId="0" xfId="0" applyNumberFormat="1" applyFont="1" applyAlignment="1">
      <alignment horizontal="left" vertical="center"/>
    </xf>
    <xf numFmtId="0" fontId="0" fillId="0" borderId="0" xfId="0" applyNumberFormat="1" applyFont="1" applyAlignment="1">
      <alignment horizontal="center" vertical="center"/>
    </xf>
    <xf numFmtId="0" fontId="84" fillId="0" borderId="37" xfId="0" applyNumberFormat="1" applyFont="1" applyBorder="1" applyAlignment="1">
      <alignment horizontal="center" vertical="center"/>
    </xf>
    <xf numFmtId="0" fontId="0" fillId="0" borderId="37" xfId="0" applyNumberFormat="1" applyFont="1" applyBorder="1" applyAlignment="1">
      <alignment horizontal="center" vertical="center"/>
    </xf>
    <xf numFmtId="49" fontId="13" fillId="20" borderId="3" xfId="0" applyNumberFormat="1" applyFont="1" applyFill="1" applyBorder="1" applyAlignment="1">
      <alignment horizontal="right" vertical="center"/>
    </xf>
    <xf numFmtId="49" fontId="5" fillId="9" borderId="28" xfId="0" applyNumberFormat="1" applyFont="1" applyFill="1" applyBorder="1" applyProtection="1">
      <alignment vertical="top"/>
      <protection locked="0"/>
    </xf>
    <xf numFmtId="0" fontId="5" fillId="0" borderId="3" xfId="0" applyNumberFormat="1" applyFont="1" applyBorder="1">
      <alignment vertical="top"/>
    </xf>
    <xf numFmtId="49" fontId="5" fillId="14" borderId="14" xfId="0" applyNumberFormat="1" applyFont="1" applyFill="1" applyBorder="1">
      <alignment vertical="top"/>
    </xf>
    <xf numFmtId="49" fontId="5" fillId="14" borderId="3" xfId="0" applyNumberFormat="1" applyFont="1" applyFill="1" applyBorder="1">
      <alignment vertical="top"/>
    </xf>
    <xf numFmtId="0" fontId="0" fillId="0" borderId="23" xfId="0" applyNumberFormat="1" applyFont="1" applyBorder="1" applyAlignment="1">
      <alignment horizontal="center" vertical="center"/>
    </xf>
    <xf numFmtId="49" fontId="0" fillId="0" borderId="0" xfId="0" applyNumberFormat="1" applyFont="1" applyAlignment="1">
      <alignment vertical="center"/>
    </xf>
    <xf numFmtId="49" fontId="13" fillId="20" borderId="5" xfId="0" applyNumberFormat="1" applyFont="1" applyFill="1" applyBorder="1" applyAlignment="1">
      <alignment horizontal="right" vertical="center"/>
    </xf>
    <xf numFmtId="0" fontId="0" fillId="21" borderId="0" xfId="0" applyNumberFormat="1" applyFont="1" applyFill="1" applyAlignment="1">
      <alignment horizontal="right" vertical="center"/>
    </xf>
    <xf numFmtId="0" fontId="85" fillId="0" borderId="38" xfId="0" applyNumberFormat="1" applyFont="1" applyBorder="1" applyAlignment="1">
      <alignment horizontal="left" vertical="center" indent="1"/>
    </xf>
    <xf numFmtId="0" fontId="85" fillId="0" borderId="39" xfId="0" applyNumberFormat="1" applyFont="1" applyBorder="1" applyAlignment="1">
      <alignment horizontal="left" vertical="center" indent="1"/>
    </xf>
    <xf numFmtId="0" fontId="85" fillId="0" borderId="40" xfId="0" applyNumberFormat="1" applyFont="1" applyBorder="1" applyAlignment="1">
      <alignment horizontal="left" vertical="center" indent="1"/>
    </xf>
    <xf numFmtId="0" fontId="5" fillId="8" borderId="0" xfId="0" applyNumberFormat="1" applyFont="1" applyFill="1" applyAlignment="1">
      <alignment vertical="center" wrapText="1"/>
    </xf>
    <xf numFmtId="0" fontId="5" fillId="0" borderId="0" xfId="0" applyNumberFormat="1" applyFont="1" applyAlignment="1">
      <alignment vertical="center" wrapText="1"/>
    </xf>
    <xf numFmtId="0" fontId="13" fillId="0" borderId="0" xfId="0" applyNumberFormat="1" applyFont="1" applyAlignment="1">
      <alignment vertical="center" wrapText="1"/>
    </xf>
    <xf numFmtId="49" fontId="5" fillId="0" borderId="0" xfId="0" applyNumberFormat="1" applyFont="1">
      <alignment vertical="top"/>
    </xf>
    <xf numFmtId="0" fontId="28" fillId="0" borderId="0" xfId="0" applyNumberFormat="1" applyFont="1" applyAlignment="1">
      <alignment vertical="center" wrapText="1"/>
    </xf>
    <xf numFmtId="49" fontId="80" fillId="0" borderId="0" xfId="0" applyNumberFormat="1" applyFont="1" applyAlignment="1">
      <alignment horizontal="center" vertical="center" wrapText="1"/>
    </xf>
    <xf numFmtId="0" fontId="5" fillId="8" borderId="0" xfId="0" applyNumberFormat="1" applyFont="1" applyFill="1" applyAlignment="1">
      <alignment vertical="center" wrapText="1"/>
    </xf>
    <xf numFmtId="0" fontId="5" fillId="0" borderId="0" xfId="0" applyNumberFormat="1" applyFont="1" applyAlignment="1">
      <alignment vertical="center" wrapText="1"/>
    </xf>
    <xf numFmtId="0" fontId="31" fillId="8" borderId="30" xfId="0" applyNumberFormat="1" applyFont="1" applyFill="1" applyBorder="1" applyAlignment="1">
      <alignment horizontal="center" wrapText="1"/>
    </xf>
    <xf numFmtId="49" fontId="55" fillId="0" borderId="30" xfId="0" applyNumberFormat="1" applyFont="1" applyBorder="1">
      <alignment vertical="top"/>
    </xf>
    <xf numFmtId="0" fontId="0" fillId="0" borderId="3" xfId="0" applyNumberFormat="1" applyFont="1" applyBorder="1" applyAlignment="1">
      <alignment horizontal="center" vertical="center" wrapText="1"/>
    </xf>
    <xf numFmtId="0" fontId="5" fillId="0" borderId="0" xfId="0" applyNumberFormat="1" applyFont="1" applyAlignment="1">
      <alignment horizontal="left" vertical="center" wrapText="1" indent="3"/>
    </xf>
    <xf numFmtId="0" fontId="5" fillId="0" borderId="0" xfId="0" applyNumberFormat="1" applyFont="1" applyAlignment="1">
      <alignment horizontal="left" vertical="center" wrapText="1" indent="3"/>
    </xf>
    <xf numFmtId="0" fontId="5" fillId="0" borderId="0" xfId="0" applyNumberFormat="1" applyFont="1" applyAlignment="1">
      <alignment vertical="center" wrapText="1"/>
    </xf>
    <xf numFmtId="0" fontId="13" fillId="0" borderId="0" xfId="0" applyNumberFormat="1" applyFont="1" applyAlignment="1">
      <alignment vertical="center" wrapText="1"/>
    </xf>
    <xf numFmtId="49" fontId="5" fillId="0" borderId="0" xfId="0" applyNumberFormat="1" applyFont="1">
      <alignment vertical="top"/>
    </xf>
    <xf numFmtId="0" fontId="28" fillId="0" borderId="0" xfId="0" applyNumberFormat="1" applyFont="1" applyAlignment="1">
      <alignment vertical="center" wrapText="1"/>
    </xf>
    <xf numFmtId="0" fontId="5" fillId="0" borderId="3" xfId="0" applyNumberFormat="1" applyFont="1" applyBorder="1" applyAlignment="1">
      <alignment horizontal="center" vertical="center" wrapText="1"/>
    </xf>
    <xf numFmtId="0" fontId="5" fillId="0" borderId="0" xfId="0" applyNumberFormat="1" applyFont="1" applyAlignment="1">
      <alignment vertical="center" wrapText="1"/>
    </xf>
    <xf numFmtId="0" fontId="5" fillId="8" borderId="30" xfId="0" applyNumberFormat="1" applyFont="1" applyFill="1" applyBorder="1" applyAlignment="1">
      <alignment vertical="center" wrapText="1"/>
    </xf>
    <xf numFmtId="0" fontId="5" fillId="0" borderId="0" xfId="0" applyNumberFormat="1" applyFont="1" applyAlignment="1">
      <alignment vertical="center" wrapText="1"/>
    </xf>
    <xf numFmtId="0" fontId="13" fillId="0" borderId="0" xfId="0" applyNumberFormat="1" applyFont="1" applyAlignment="1">
      <alignment vertical="center" wrapText="1"/>
    </xf>
    <xf numFmtId="49" fontId="5" fillId="0" borderId="0" xfId="0" applyNumberFormat="1" applyFont="1">
      <alignment vertical="top"/>
    </xf>
    <xf numFmtId="0" fontId="28" fillId="0" borderId="0" xfId="0" applyNumberFormat="1" applyFont="1" applyAlignment="1">
      <alignment vertical="center" wrapText="1"/>
    </xf>
    <xf numFmtId="0" fontId="5" fillId="0" borderId="0" xfId="0" applyNumberFormat="1" applyFont="1" applyAlignment="1">
      <alignment vertical="center" wrapText="1"/>
    </xf>
    <xf numFmtId="0" fontId="5" fillId="0" borderId="0" xfId="0" applyNumberFormat="1" applyFont="1" applyAlignment="1">
      <alignment vertical="center" wrapText="1"/>
    </xf>
    <xf numFmtId="0" fontId="5" fillId="8" borderId="30" xfId="0" applyNumberFormat="1" applyFont="1" applyFill="1" applyBorder="1" applyAlignment="1">
      <alignment vertical="center" wrapText="1"/>
    </xf>
    <xf numFmtId="0" fontId="5" fillId="12" borderId="3" xfId="0" applyNumberFormat="1" applyFont="1" applyFill="1" applyBorder="1" applyAlignment="1" applyProtection="1">
      <alignment horizontal="left" vertical="center" wrapText="1" indent="1"/>
      <protection locked="0"/>
    </xf>
    <xf numFmtId="49" fontId="28" fillId="20" borderId="0" xfId="0" applyNumberFormat="1" applyFont="1" applyFill="1" applyAlignment="1">
      <alignment horizontal="center" vertical="center" wrapText="1"/>
    </xf>
    <xf numFmtId="0" fontId="5" fillId="0" borderId="3" xfId="0" applyNumberFormat="1" applyFont="1" applyBorder="1" applyAlignment="1">
      <alignment horizontal="center" vertical="center" wrapText="1"/>
    </xf>
    <xf numFmtId="0" fontId="5" fillId="0" borderId="3" xfId="0" applyNumberFormat="1" applyFont="1" applyBorder="1" applyAlignment="1">
      <alignment horizontal="center" vertical="center" wrapText="1"/>
    </xf>
    <xf numFmtId="0" fontId="5" fillId="0" borderId="0" xfId="0" applyNumberFormat="1" applyFont="1" applyAlignment="1">
      <alignment vertical="center" wrapText="1"/>
    </xf>
    <xf numFmtId="0" fontId="13" fillId="0" borderId="0" xfId="0" applyNumberFormat="1" applyFont="1" applyAlignment="1">
      <alignment vertical="center" wrapText="1"/>
    </xf>
    <xf numFmtId="49" fontId="5" fillId="0" borderId="0" xfId="0" applyNumberFormat="1" applyFont="1">
      <alignment vertical="top"/>
    </xf>
    <xf numFmtId="49" fontId="86" fillId="0" borderId="7" xfId="0" applyNumberFormat="1" applyFont="1" applyBorder="1">
      <alignment vertical="top"/>
    </xf>
    <xf numFmtId="0" fontId="0" fillId="0" borderId="0" xfId="0" applyNumberFormat="1" applyFont="1">
      <alignment vertical="top"/>
    </xf>
    <xf numFmtId="0" fontId="28" fillId="0" borderId="0" xfId="0" applyNumberFormat="1" applyFont="1" applyAlignment="1">
      <alignment vertical="center" wrapText="1"/>
    </xf>
    <xf numFmtId="49" fontId="35" fillId="12" borderId="3" xfId="0" applyNumberFormat="1" applyFont="1" applyFill="1" applyBorder="1" applyAlignment="1" applyProtection="1">
      <alignment horizontal="left" vertical="center" wrapText="1"/>
      <protection locked="0"/>
    </xf>
    <xf numFmtId="0" fontId="5" fillId="0" borderId="5" xfId="0" applyNumberFormat="1" applyFont="1" applyBorder="1" applyAlignment="1">
      <alignment horizontal="left" vertical="center"/>
    </xf>
    <xf numFmtId="0" fontId="0" fillId="0" borderId="5" xfId="0" applyNumberFormat="1" applyFont="1" applyBorder="1" applyAlignment="1">
      <alignment horizontal="left" vertical="center"/>
    </xf>
    <xf numFmtId="49" fontId="35" fillId="12" borderId="3" xfId="0" applyNumberFormat="1" applyFont="1" applyFill="1" applyBorder="1" applyAlignment="1" applyProtection="1">
      <alignment horizontal="left" vertical="center" wrapText="1"/>
      <protection locked="0"/>
    </xf>
    <xf numFmtId="0" fontId="5" fillId="8" borderId="17" xfId="0" applyNumberFormat="1" applyFont="1" applyFill="1" applyBorder="1" applyAlignment="1">
      <alignment horizontal="right" vertical="center" wrapText="1" indent="1"/>
    </xf>
    <xf numFmtId="49" fontId="28" fillId="0" borderId="0" xfId="0" applyNumberFormat="1" applyFont="1" applyAlignment="1">
      <alignment horizontal="center" vertical="center" wrapText="1"/>
    </xf>
    <xf numFmtId="49" fontId="29" fillId="0" borderId="0" xfId="0" applyNumberFormat="1" applyFont="1" applyAlignment="1">
      <alignment horizontal="center" vertical="center" wrapText="1"/>
    </xf>
    <xf numFmtId="49" fontId="21" fillId="10" borderId="6" xfId="0" applyNumberFormat="1" applyFont="1" applyFill="1" applyBorder="1" applyAlignment="1">
      <alignment horizontal="left" vertical="center" indent="1"/>
    </xf>
    <xf numFmtId="4" fontId="5" fillId="12" borderId="22" xfId="0" applyNumberFormat="1" applyFont="1" applyFill="1" applyBorder="1" applyAlignment="1" applyProtection="1">
      <alignment horizontal="right" vertical="center" wrapText="1"/>
      <protection locked="0"/>
    </xf>
    <xf numFmtId="0" fontId="5" fillId="8" borderId="0" xfId="0" applyNumberFormat="1" applyFont="1" applyFill="1" applyAlignment="1">
      <alignment vertical="center" wrapText="1"/>
    </xf>
    <xf numFmtId="0" fontId="5" fillId="0" borderId="0" xfId="0" applyNumberFormat="1" applyFont="1" applyAlignment="1">
      <alignment vertical="center"/>
    </xf>
    <xf numFmtId="0" fontId="5" fillId="0" borderId="0" xfId="0" applyNumberFormat="1" applyFont="1" applyAlignment="1">
      <alignment vertical="center" wrapText="1"/>
    </xf>
    <xf numFmtId="0" fontId="5" fillId="10" borderId="41" xfId="0" applyNumberFormat="1" applyFont="1" applyFill="1" applyBorder="1" applyAlignment="1">
      <alignment vertical="center" wrapText="1"/>
    </xf>
    <xf numFmtId="0" fontId="5" fillId="10" borderId="42" xfId="0" applyNumberFormat="1" applyFont="1" applyFill="1" applyBorder="1" applyAlignment="1">
      <alignment vertical="center" wrapText="1"/>
    </xf>
    <xf numFmtId="49" fontId="87" fillId="10" borderId="5" xfId="0" applyNumberFormat="1" applyFont="1" applyFill="1" applyBorder="1" applyAlignment="1">
      <alignment horizontal="left" vertical="center" indent="1"/>
    </xf>
    <xf numFmtId="49" fontId="87" fillId="10" borderId="6" xfId="0" applyNumberFormat="1" applyFont="1" applyFill="1" applyBorder="1" applyAlignment="1">
      <alignment horizontal="left" vertical="center" indent="1"/>
    </xf>
    <xf numFmtId="49" fontId="76" fillId="10" borderId="34" xfId="0" applyNumberFormat="1" applyFont="1" applyFill="1" applyBorder="1" applyAlignment="1">
      <alignment horizontal="center" vertical="center"/>
    </xf>
    <xf numFmtId="49" fontId="87" fillId="10" borderId="34" xfId="0" applyNumberFormat="1" applyFont="1" applyFill="1" applyBorder="1" applyAlignment="1">
      <alignment horizontal="left" vertical="center" indent="1"/>
    </xf>
    <xf numFmtId="0" fontId="26" fillId="13" borderId="3" xfId="0" applyNumberFormat="1" applyFont="1" applyFill="1" applyBorder="1" applyAlignment="1">
      <alignment horizontal="left" vertical="center" wrapText="1" indent="1"/>
    </xf>
    <xf numFmtId="49" fontId="26" fillId="10" borderId="6" xfId="0" applyNumberFormat="1" applyFont="1" applyFill="1" applyBorder="1" applyAlignment="1">
      <alignment vertical="top" wrapText="1"/>
    </xf>
    <xf numFmtId="49" fontId="26" fillId="10" borderId="4" xfId="0" applyNumberFormat="1" applyFont="1" applyFill="1" applyBorder="1" applyAlignment="1">
      <alignment vertical="top" wrapText="1"/>
    </xf>
    <xf numFmtId="49" fontId="26" fillId="10" borderId="43" xfId="0" applyNumberFormat="1" applyFont="1" applyFill="1" applyBorder="1" applyAlignment="1">
      <alignment vertical="top" wrapText="1"/>
    </xf>
    <xf numFmtId="49" fontId="87" fillId="10" borderId="43" xfId="0" applyNumberFormat="1" applyFont="1" applyFill="1" applyBorder="1" applyAlignment="1">
      <alignment horizontal="left" vertical="center" indent="1"/>
    </xf>
    <xf numFmtId="0" fontId="5" fillId="8" borderId="30" xfId="0" applyNumberFormat="1" applyFont="1" applyFill="1" applyBorder="1" applyAlignment="1">
      <alignment vertical="center" wrapText="1"/>
    </xf>
    <xf numFmtId="0" fontId="0" fillId="0" borderId="40" xfId="0" applyNumberFormat="1" applyFont="1" applyBorder="1" applyAlignment="1">
      <alignment horizontal="left" vertical="center" wrapText="1"/>
    </xf>
    <xf numFmtId="0" fontId="5" fillId="0" borderId="40" xfId="0" applyNumberFormat="1" applyFont="1" applyBorder="1" applyAlignment="1">
      <alignment vertical="center" wrapText="1"/>
    </xf>
    <xf numFmtId="0" fontId="5" fillId="0" borderId="44" xfId="0" applyNumberFormat="1" applyFont="1" applyBorder="1" applyAlignment="1">
      <alignment vertical="center" wrapText="1"/>
    </xf>
    <xf numFmtId="0" fontId="5" fillId="0" borderId="45" xfId="0" applyNumberFormat="1" applyFont="1" applyBorder="1" applyAlignment="1">
      <alignment vertical="center" wrapText="1"/>
    </xf>
    <xf numFmtId="0" fontId="5" fillId="13" borderId="3" xfId="0" applyNumberFormat="1" applyFont="1" applyFill="1" applyBorder="1" applyAlignment="1">
      <alignment horizontal="left" vertical="center" wrapText="1" indent="1"/>
    </xf>
    <xf numFmtId="0" fontId="0" fillId="10" borderId="41" xfId="0" applyNumberFormat="1" applyFont="1" applyFill="1" applyBorder="1" applyAlignment="1">
      <alignment horizontal="left" vertical="center"/>
    </xf>
    <xf numFmtId="0" fontId="5" fillId="8" borderId="3" xfId="0" applyNumberFormat="1" applyFont="1" applyFill="1" applyBorder="1" applyAlignment="1">
      <alignment horizontal="center" vertical="center" wrapText="1"/>
    </xf>
    <xf numFmtId="49" fontId="17" fillId="0" borderId="3" xfId="0" applyNumberFormat="1" applyFont="1" applyBorder="1" applyAlignment="1">
      <alignment horizontal="center" vertical="center"/>
    </xf>
    <xf numFmtId="49" fontId="17" fillId="14" borderId="3" xfId="0" applyNumberFormat="1" applyFont="1" applyFill="1" applyBorder="1" applyAlignment="1">
      <alignment horizontal="center" vertical="center"/>
    </xf>
    <xf numFmtId="0" fontId="17" fillId="0" borderId="3" xfId="0" applyNumberFormat="1" applyFont="1" applyBorder="1" applyAlignment="1">
      <alignment horizontal="center" vertical="center"/>
    </xf>
    <xf numFmtId="49" fontId="17" fillId="0" borderId="14" xfId="0" applyNumberFormat="1" applyFont="1" applyBorder="1" applyAlignment="1">
      <alignment horizontal="center" vertical="center"/>
    </xf>
    <xf numFmtId="49" fontId="5" fillId="0" borderId="0" xfId="0" applyNumberFormat="1" applyFont="1" applyAlignment="1">
      <alignment vertical="center"/>
    </xf>
    <xf numFmtId="49" fontId="28" fillId="0" borderId="8" xfId="0" applyNumberFormat="1" applyFont="1" applyBorder="1" applyAlignment="1">
      <alignment horizontal="center" vertical="center"/>
    </xf>
    <xf numFmtId="49" fontId="5" fillId="0" borderId="8" xfId="0" applyNumberFormat="1" applyFont="1" applyBorder="1" applyAlignment="1">
      <alignment horizontal="center" vertical="center"/>
    </xf>
    <xf numFmtId="0" fontId="5" fillId="0" borderId="8" xfId="0" applyNumberFormat="1" applyFont="1" applyBorder="1" applyAlignment="1">
      <alignment horizontal="right" vertical="center"/>
    </xf>
    <xf numFmtId="0" fontId="5" fillId="0" borderId="8" xfId="0" applyNumberFormat="1" applyFont="1" applyBorder="1" applyAlignment="1">
      <alignment horizontal="center" vertical="center"/>
    </xf>
    <xf numFmtId="0" fontId="5" fillId="0" borderId="3" xfId="0" applyNumberFormat="1" applyFont="1" applyBorder="1" applyAlignment="1">
      <alignment horizontal="right" vertical="center"/>
    </xf>
    <xf numFmtId="49" fontId="5" fillId="0" borderId="0" xfId="0" applyNumberFormat="1" applyFont="1" applyAlignment="1">
      <alignment vertical="center"/>
    </xf>
    <xf numFmtId="49" fontId="5" fillId="0" borderId="46" xfId="0" applyNumberFormat="1" applyFont="1" applyBorder="1" applyAlignment="1">
      <alignment horizontal="center" vertical="center"/>
    </xf>
    <xf numFmtId="0" fontId="5" fillId="0" borderId="46" xfId="0" applyNumberFormat="1" applyFont="1" applyBorder="1" applyAlignment="1">
      <alignment horizontal="right" vertical="center"/>
    </xf>
    <xf numFmtId="0" fontId="5" fillId="0" borderId="46" xfId="0" applyNumberFormat="1" applyFont="1" applyBorder="1" applyAlignment="1">
      <alignment horizontal="center" vertical="center"/>
    </xf>
    <xf numFmtId="0" fontId="5" fillId="0" borderId="6" xfId="0" applyNumberFormat="1" applyFont="1" applyBorder="1" applyAlignment="1">
      <alignment horizontal="right" vertical="center"/>
    </xf>
    <xf numFmtId="0" fontId="5" fillId="0" borderId="4" xfId="0" applyNumberFormat="1" applyFont="1" applyBorder="1" applyAlignment="1">
      <alignment horizontal="right" vertical="center"/>
    </xf>
    <xf numFmtId="0" fontId="5" fillId="8" borderId="3" xfId="0" applyNumberFormat="1" applyFont="1" applyFill="1" applyBorder="1" applyAlignment="1">
      <alignment horizontal="center" vertical="center"/>
    </xf>
    <xf numFmtId="0" fontId="5" fillId="13" borderId="3" xfId="0" applyNumberFormat="1" applyFont="1" applyFill="1" applyBorder="1" applyAlignment="1">
      <alignment horizontal="left" vertical="center" wrapText="1" indent="1"/>
    </xf>
    <xf numFmtId="0" fontId="5" fillId="12" borderId="3" xfId="0" applyNumberFormat="1" applyFont="1" applyFill="1" applyBorder="1" applyAlignment="1" applyProtection="1">
      <alignment horizontal="left" vertical="center" wrapText="1" indent="1"/>
      <protection locked="0"/>
    </xf>
    <xf numFmtId="0" fontId="5" fillId="14" borderId="3" xfId="0" applyNumberFormat="1" applyFont="1" applyFill="1" applyBorder="1" applyAlignment="1">
      <alignment horizontal="right" vertical="center"/>
    </xf>
    <xf numFmtId="4" fontId="5" fillId="9" borderId="3" xfId="0" applyNumberFormat="1" applyFont="1" applyFill="1" applyBorder="1" applyAlignment="1" applyProtection="1">
      <alignment horizontal="right" vertical="center"/>
      <protection locked="0"/>
    </xf>
    <xf numFmtId="49" fontId="21" fillId="10" borderId="47" xfId="0" applyNumberFormat="1" applyFont="1" applyFill="1" applyBorder="1" applyAlignment="1">
      <alignment horizontal="left" vertical="center" indent="1"/>
    </xf>
    <xf numFmtId="49" fontId="21" fillId="10" borderId="42" xfId="0" applyNumberFormat="1" applyFont="1" applyFill="1" applyBorder="1" applyAlignment="1">
      <alignment horizontal="left" vertical="center" indent="1"/>
    </xf>
    <xf numFmtId="49" fontId="21" fillId="25" borderId="4" xfId="0" applyNumberFormat="1" applyFont="1" applyFill="1" applyBorder="1" applyAlignment="1">
      <alignment horizontal="left" vertical="center" indent="1"/>
    </xf>
    <xf numFmtId="49" fontId="5" fillId="0" borderId="0" xfId="0" applyNumberFormat="1" applyFont="1">
      <alignment vertical="top"/>
    </xf>
    <xf numFmtId="0" fontId="5" fillId="21" borderId="0" xfId="0" applyNumberFormat="1" applyFont="1" applyFill="1" applyAlignment="1">
      <alignment horizontal="left" vertical="center"/>
    </xf>
    <xf numFmtId="49" fontId="5" fillId="0" borderId="0" xfId="0" applyNumberFormat="1" applyFont="1" applyAlignment="1">
      <alignment vertical="center" wrapText="1"/>
    </xf>
    <xf numFmtId="0" fontId="5" fillId="0" borderId="0" xfId="0" applyNumberFormat="1" applyFont="1" applyAlignment="1">
      <alignment horizontal="right" vertical="center" wrapText="1"/>
    </xf>
    <xf numFmtId="0" fontId="29" fillId="0" borderId="0" xfId="0" applyNumberFormat="1" applyFont="1" applyAlignment="1">
      <alignment horizontal="center" vertical="center" wrapText="1"/>
    </xf>
    <xf numFmtId="0" fontId="0" fillId="0" borderId="3" xfId="0" applyNumberFormat="1" applyFont="1" applyBorder="1" applyAlignment="1">
      <alignment horizontal="center" vertical="center" wrapText="1"/>
    </xf>
    <xf numFmtId="0" fontId="0" fillId="0" borderId="3" xfId="0" applyNumberFormat="1" applyFont="1" applyBorder="1" applyAlignment="1">
      <alignment horizontal="center" vertical="center" wrapText="1"/>
    </xf>
    <xf numFmtId="49" fontId="5" fillId="0" borderId="3" xfId="0" applyNumberFormat="1" applyFont="1" applyBorder="1" applyAlignment="1">
      <alignment horizontal="left" vertical="center" wrapText="1"/>
    </xf>
    <xf numFmtId="0" fontId="5" fillId="8" borderId="3" xfId="0" applyNumberFormat="1" applyFont="1" applyFill="1" applyBorder="1" applyAlignment="1">
      <alignment horizontal="left" vertical="center" wrapText="1"/>
    </xf>
    <xf numFmtId="49" fontId="0" fillId="0" borderId="3" xfId="0" applyNumberFormat="1" applyFont="1" applyBorder="1" applyAlignment="1">
      <alignment horizontal="center" vertical="center" wrapText="1"/>
    </xf>
    <xf numFmtId="49" fontId="0" fillId="0" borderId="3" xfId="0" applyNumberFormat="1" applyFont="1" applyBorder="1" applyAlignment="1">
      <alignment horizontal="center" vertical="center"/>
    </xf>
    <xf numFmtId="0" fontId="5" fillId="8" borderId="10" xfId="0" applyNumberFormat="1" applyFont="1" applyFill="1" applyBorder="1" applyAlignment="1">
      <alignment vertical="center" wrapText="1"/>
    </xf>
    <xf numFmtId="49" fontId="29" fillId="0" borderId="0" xfId="0" applyNumberFormat="1" applyFont="1">
      <alignment vertical="top"/>
    </xf>
    <xf numFmtId="0" fontId="29" fillId="0" borderId="30" xfId="0" applyNumberFormat="1" applyFont="1" applyBorder="1" applyAlignment="1">
      <alignment vertical="center" wrapText="1"/>
    </xf>
    <xf numFmtId="49" fontId="0" fillId="0" borderId="3" xfId="0" applyNumberFormat="1" applyFont="1" applyBorder="1" applyAlignment="1">
      <alignment horizontal="center" vertical="center"/>
    </xf>
    <xf numFmtId="49" fontId="0" fillId="0" borderId="3" xfId="0" applyNumberFormat="1" applyFont="1" applyBorder="1" applyAlignment="1">
      <alignment horizontal="center" vertical="center" wrapText="1"/>
    </xf>
    <xf numFmtId="49" fontId="0" fillId="7" borderId="3" xfId="0" applyNumberFormat="1" applyFont="1" applyFill="1" applyBorder="1" applyAlignment="1">
      <alignment horizontal="center" vertical="center"/>
    </xf>
    <xf numFmtId="49" fontId="5" fillId="0" borderId="13" xfId="0" applyNumberFormat="1" applyFont="1" applyBorder="1">
      <alignment vertical="top"/>
    </xf>
    <xf numFmtId="0" fontId="5" fillId="0" borderId="13" xfId="0" applyNumberFormat="1" applyFont="1" applyBorder="1" applyAlignment="1">
      <alignment vertical="center" wrapText="1"/>
    </xf>
    <xf numFmtId="4" fontId="0" fillId="9" borderId="3" xfId="0" applyNumberFormat="1" applyFont="1" applyFill="1" applyBorder="1" applyAlignment="1" applyProtection="1">
      <alignment horizontal="right" vertical="center" wrapText="1"/>
      <protection locked="0"/>
    </xf>
    <xf numFmtId="4" fontId="0" fillId="7" borderId="3" xfId="0" applyNumberFormat="1" applyFont="1" applyFill="1" applyBorder="1" applyAlignment="1">
      <alignment horizontal="right" vertical="center" wrapText="1"/>
    </xf>
    <xf numFmtId="49" fontId="0" fillId="0" borderId="3" xfId="0" applyNumberFormat="1" applyFont="1" applyBorder="1" applyAlignment="1">
      <alignment horizontal="left" vertical="center" wrapText="1" indent="2"/>
    </xf>
    <xf numFmtId="49" fontId="0" fillId="0" borderId="3" xfId="0" applyNumberFormat="1" applyFont="1" applyBorder="1" applyAlignment="1">
      <alignment horizontal="left" vertical="center" wrapText="1" indent="3"/>
    </xf>
    <xf numFmtId="49" fontId="0" fillId="0" borderId="3" xfId="0" applyNumberFormat="1" applyFont="1" applyBorder="1" applyAlignment="1">
      <alignment horizontal="left" vertical="center" wrapText="1"/>
    </xf>
    <xf numFmtId="0" fontId="5" fillId="0" borderId="29" xfId="0" applyNumberFormat="1" applyFont="1" applyBorder="1" applyAlignment="1">
      <alignment vertical="center"/>
    </xf>
    <xf numFmtId="49" fontId="21" fillId="10" borderId="6" xfId="0" applyNumberFormat="1" applyFont="1" applyFill="1" applyBorder="1" applyAlignment="1">
      <alignment horizontal="left" vertical="center" indent="1"/>
    </xf>
    <xf numFmtId="49" fontId="5" fillId="12" borderId="8" xfId="0" applyNumberFormat="1" applyFont="1" applyFill="1" applyBorder="1" applyAlignment="1" applyProtection="1">
      <alignment horizontal="left" vertical="center" wrapText="1" indent="1"/>
      <protection locked="0"/>
    </xf>
    <xf numFmtId="0" fontId="27" fillId="0" borderId="0" xfId="0" applyNumberFormat="1" applyFont="1" applyAlignment="1">
      <alignment vertical="center" wrapText="1"/>
    </xf>
    <xf numFmtId="0" fontId="5" fillId="8" borderId="18" xfId="0" applyNumberFormat="1" applyFont="1" applyFill="1" applyBorder="1" applyAlignment="1">
      <alignment vertical="center" wrapText="1"/>
    </xf>
    <xf numFmtId="0" fontId="29" fillId="8" borderId="10" xfId="0" applyNumberFormat="1" applyFont="1" applyFill="1" applyBorder="1" applyAlignment="1">
      <alignment horizontal="center" vertical="center" wrapText="1"/>
    </xf>
    <xf numFmtId="49" fontId="54" fillId="0" borderId="0" xfId="0" applyNumberFormat="1" applyFont="1" applyAlignment="1">
      <alignment vertical="center" wrapText="1"/>
    </xf>
    <xf numFmtId="0" fontId="88" fillId="8" borderId="0" xfId="0" applyNumberFormat="1" applyFont="1" applyFill="1" applyAlignment="1">
      <alignment vertical="center" wrapText="1"/>
    </xf>
    <xf numFmtId="0" fontId="5" fillId="0" borderId="0" xfId="0" applyNumberFormat="1" applyFont="1" applyAlignment="1">
      <alignment vertical="center"/>
    </xf>
    <xf numFmtId="49" fontId="29" fillId="8" borderId="0" xfId="0" applyNumberFormat="1" applyFont="1" applyFill="1" applyAlignment="1">
      <alignment horizontal="center" vertical="center" wrapText="1"/>
    </xf>
    <xf numFmtId="0" fontId="5" fillId="0" borderId="0" xfId="0" applyNumberFormat="1" applyFont="1" applyAlignment="1">
      <alignment horizontal="left" vertical="center" wrapText="1"/>
    </xf>
    <xf numFmtId="0" fontId="29" fillId="0" borderId="0" xfId="0" applyNumberFormat="1" applyFont="1" applyAlignment="1">
      <alignment vertical="center"/>
    </xf>
    <xf numFmtId="0" fontId="5" fillId="0" borderId="0" xfId="0" applyNumberFormat="1" applyFont="1" applyAlignment="1">
      <alignment horizontal="left" vertical="center" wrapText="1" indent="1"/>
    </xf>
    <xf numFmtId="0" fontId="5" fillId="0" borderId="0" xfId="0" applyNumberFormat="1" applyFont="1" applyAlignment="1">
      <alignment horizontal="right" vertical="top" wrapText="1"/>
    </xf>
    <xf numFmtId="0" fontId="89" fillId="8" borderId="0" xfId="0" applyNumberFormat="1" applyFont="1" applyFill="1" applyAlignment="1">
      <alignment vertical="center" wrapText="1"/>
    </xf>
    <xf numFmtId="49" fontId="62" fillId="8" borderId="10" xfId="0" applyNumberFormat="1" applyFont="1" applyFill="1" applyBorder="1" applyAlignment="1">
      <alignment horizontal="center" vertical="center" wrapText="1"/>
    </xf>
    <xf numFmtId="0" fontId="62" fillId="8" borderId="10" xfId="0" applyNumberFormat="1" applyFont="1" applyFill="1" applyBorder="1" applyAlignment="1">
      <alignment horizontal="center" vertical="center" wrapText="1"/>
    </xf>
    <xf numFmtId="166" fontId="5" fillId="9" borderId="3" xfId="0" applyNumberFormat="1" applyFont="1" applyFill="1" applyBorder="1" applyAlignment="1" applyProtection="1">
      <alignment horizontal="right" vertical="center" wrapText="1"/>
      <protection locked="0"/>
    </xf>
    <xf numFmtId="0" fontId="26" fillId="0" borderId="3" xfId="0" applyNumberFormat="1" applyFont="1" applyBorder="1" applyAlignment="1">
      <alignment vertical="top" wrapText="1"/>
    </xf>
    <xf numFmtId="0" fontId="5" fillId="0" borderId="0" xfId="0" applyNumberFormat="1" applyFont="1" applyAlignment="1">
      <alignment vertical="center"/>
    </xf>
    <xf numFmtId="0" fontId="90" fillId="0" borderId="0" xfId="0" applyNumberFormat="1" applyFont="1" applyAlignment="1">
      <alignment vertical="center"/>
    </xf>
    <xf numFmtId="0" fontId="90" fillId="0" borderId="0" xfId="0" applyNumberFormat="1" applyFont="1" applyAlignment="1">
      <alignment vertical="center"/>
    </xf>
    <xf numFmtId="0" fontId="5" fillId="0" borderId="0" xfId="0" applyNumberFormat="1" applyFont="1" applyAlignment="1">
      <alignment vertical="center"/>
    </xf>
    <xf numFmtId="0" fontId="5" fillId="0" borderId="0" xfId="0" applyNumberFormat="1" applyFont="1" applyAlignment="1">
      <alignment vertical="center"/>
    </xf>
    <xf numFmtId="0" fontId="90" fillId="0" borderId="0" xfId="0" applyNumberFormat="1" applyFont="1" applyAlignment="1">
      <alignment vertical="center"/>
    </xf>
    <xf numFmtId="0" fontId="5" fillId="0" borderId="0" xfId="0" applyNumberFormat="1" applyFont="1" applyAlignment="1">
      <alignment vertical="center"/>
    </xf>
    <xf numFmtId="0" fontId="5" fillId="0" borderId="0" xfId="0" applyNumberFormat="1" applyFont="1" applyAlignment="1">
      <alignment vertical="center"/>
    </xf>
    <xf numFmtId="0" fontId="5" fillId="0" borderId="0" xfId="0" applyNumberFormat="1" applyFont="1" applyAlignment="1">
      <alignment horizontal="left" vertical="center" indent="1"/>
    </xf>
    <xf numFmtId="49" fontId="91" fillId="10" borderId="6" xfId="0" applyNumberFormat="1" applyFont="1" applyFill="1" applyBorder="1" applyAlignment="1">
      <alignment horizontal="left" vertical="center" indent="3"/>
    </xf>
    <xf numFmtId="49" fontId="54" fillId="10" borderId="6" xfId="0" applyNumberFormat="1" applyFont="1" applyFill="1" applyBorder="1" applyAlignment="1">
      <alignment horizontal="center" vertical="center" wrapText="1"/>
    </xf>
    <xf numFmtId="49" fontId="49" fillId="10" borderId="6" xfId="0" applyNumberFormat="1" applyFont="1" applyFill="1" applyBorder="1" applyAlignment="1">
      <alignment horizontal="center" vertical="center" wrapText="1"/>
    </xf>
    <xf numFmtId="49" fontId="49" fillId="10" borderId="4" xfId="0" applyNumberFormat="1" applyFont="1" applyFill="1" applyBorder="1" applyAlignment="1">
      <alignment horizontal="center" vertical="center" wrapText="1"/>
    </xf>
    <xf numFmtId="49" fontId="91" fillId="10" borderId="6" xfId="0" applyNumberFormat="1" applyFont="1" applyFill="1" applyBorder="1" applyAlignment="1">
      <alignment horizontal="left" vertical="center" indent="2"/>
    </xf>
    <xf numFmtId="49" fontId="91" fillId="10" borderId="6" xfId="0" applyNumberFormat="1" applyFont="1" applyFill="1" applyBorder="1" applyAlignment="1">
      <alignment horizontal="left" vertical="center" indent="1"/>
    </xf>
    <xf numFmtId="49" fontId="91" fillId="10" borderId="6" xfId="0" applyNumberFormat="1" applyFont="1" applyFill="1" applyBorder="1" applyAlignment="1">
      <alignment horizontal="left" vertical="center"/>
    </xf>
    <xf numFmtId="0" fontId="5" fillId="8" borderId="0" xfId="0" applyNumberFormat="1" applyFont="1" applyFill="1" applyAlignment="1">
      <alignment horizontal="left" vertical="center" wrapText="1"/>
    </xf>
    <xf numFmtId="0" fontId="0" fillId="0" borderId="0" xfId="0" applyNumberFormat="1" applyFont="1" applyAlignment="1">
      <alignment horizontal="left" vertical="center"/>
    </xf>
    <xf numFmtId="49" fontId="62" fillId="8" borderId="10" xfId="0" applyNumberFormat="1" applyFont="1" applyFill="1" applyBorder="1" applyAlignment="1">
      <alignment horizontal="left" vertical="center" wrapText="1"/>
    </xf>
    <xf numFmtId="49" fontId="55" fillId="10" borderId="5" xfId="0" applyNumberFormat="1" applyFont="1" applyFill="1" applyBorder="1" applyAlignment="1">
      <alignment horizontal="left" vertical="center"/>
    </xf>
    <xf numFmtId="49" fontId="83" fillId="10" borderId="5" xfId="0" applyNumberFormat="1" applyFont="1" applyFill="1" applyBorder="1" applyAlignment="1">
      <alignment horizontal="left" vertical="center"/>
    </xf>
    <xf numFmtId="49" fontId="49" fillId="10" borderId="5" xfId="0" applyNumberFormat="1" applyFont="1" applyFill="1" applyBorder="1" applyAlignment="1">
      <alignment horizontal="left" vertical="top"/>
    </xf>
    <xf numFmtId="0" fontId="0" fillId="21" borderId="0" xfId="0" applyNumberFormat="1" applyFont="1" applyFill="1" applyAlignment="1">
      <alignment horizontal="right" vertical="center"/>
    </xf>
    <xf numFmtId="0" fontId="29" fillId="0" borderId="3" xfId="0" applyNumberFormat="1" applyFont="1" applyBorder="1" applyAlignment="1">
      <alignment horizontal="center" vertical="center"/>
    </xf>
    <xf numFmtId="0" fontId="0" fillId="0" borderId="0" xfId="0" applyNumberFormat="1" applyFont="1" applyAlignment="1">
      <alignment vertical="center"/>
    </xf>
    <xf numFmtId="0" fontId="5" fillId="0" borderId="3" xfId="0" applyNumberFormat="1" applyFont="1" applyBorder="1" applyAlignment="1">
      <alignment horizontal="center" vertical="center" wrapText="1"/>
    </xf>
    <xf numFmtId="0" fontId="0" fillId="0" borderId="0" xfId="0" applyNumberFormat="1" applyFont="1" applyAlignment="1">
      <alignment horizontal="left" vertical="top" wrapText="1"/>
    </xf>
    <xf numFmtId="49" fontId="5" fillId="0" borderId="0" xfId="0" applyNumberFormat="1" applyFont="1" applyAlignment="1">
      <alignment vertical="center" wrapText="1"/>
    </xf>
    <xf numFmtId="0" fontId="5" fillId="0" borderId="0" xfId="0" applyNumberFormat="1" applyFont="1" applyAlignment="1">
      <alignment horizontal="right" vertical="center" wrapText="1"/>
    </xf>
    <xf numFmtId="0" fontId="5" fillId="0" borderId="0" xfId="0" applyNumberFormat="1" applyFont="1" applyAlignment="1">
      <alignment horizontal="left" vertical="top" wrapText="1"/>
    </xf>
    <xf numFmtId="0" fontId="62" fillId="8" borderId="10" xfId="0" applyNumberFormat="1" applyFont="1" applyFill="1" applyBorder="1" applyAlignment="1">
      <alignment horizontal="center" vertical="center" wrapText="1"/>
    </xf>
    <xf numFmtId="0" fontId="5" fillId="0" borderId="0" xfId="0" applyNumberFormat="1" applyFont="1" applyAlignment="1">
      <alignment horizontal="center" vertical="center" wrapText="1"/>
    </xf>
    <xf numFmtId="0" fontId="29" fillId="0" borderId="0" xfId="0" applyNumberFormat="1" applyFont="1" applyAlignment="1">
      <alignment horizontal="center" vertical="center" wrapText="1"/>
    </xf>
    <xf numFmtId="0" fontId="0" fillId="0" borderId="3" xfId="0" applyNumberFormat="1" applyFont="1" applyBorder="1" applyAlignment="1">
      <alignment horizontal="center" vertical="center" wrapText="1"/>
    </xf>
    <xf numFmtId="0" fontId="5" fillId="8" borderId="3" xfId="0" applyNumberFormat="1" applyFont="1" applyFill="1" applyBorder="1" applyAlignment="1">
      <alignment horizontal="left" vertical="center" wrapText="1"/>
    </xf>
    <xf numFmtId="49" fontId="5" fillId="0" borderId="3" xfId="0" applyNumberFormat="1" applyFont="1" applyBorder="1" applyAlignment="1">
      <alignment horizontal="left" vertical="center" wrapText="1"/>
    </xf>
    <xf numFmtId="0" fontId="36" fillId="21" borderId="0" xfId="0" applyNumberFormat="1" applyFont="1" applyFill="1" applyAlignment="1">
      <alignment horizontal="left" vertical="center"/>
    </xf>
    <xf numFmtId="49" fontId="5" fillId="0" borderId="11" xfId="0" applyNumberFormat="1" applyFont="1" applyBorder="1" applyAlignment="1">
      <alignment horizontal="left" vertical="center" wrapText="1"/>
    </xf>
    <xf numFmtId="0" fontId="21" fillId="0" borderId="0" xfId="0" applyNumberFormat="1" applyFont="1" applyAlignment="1">
      <alignment horizontal="left" vertical="center"/>
    </xf>
    <xf numFmtId="0" fontId="21" fillId="0" borderId="15" xfId="0" applyNumberFormat="1" applyFont="1" applyBorder="1" applyAlignment="1">
      <alignment horizontal="left" vertical="center"/>
    </xf>
    <xf numFmtId="0" fontId="21" fillId="0" borderId="21" xfId="0" applyNumberFormat="1" applyFont="1" applyBorder="1" applyAlignment="1">
      <alignment horizontal="left" vertical="center"/>
    </xf>
    <xf numFmtId="0" fontId="21" fillId="0" borderId="18" xfId="0" applyNumberFormat="1" applyFont="1" applyBorder="1" applyAlignment="1">
      <alignment horizontal="left" vertical="center"/>
    </xf>
    <xf numFmtId="0" fontId="0" fillId="0" borderId="18" xfId="0" applyNumberFormat="1" applyFont="1" applyBorder="1" applyAlignment="1">
      <alignment vertical="center"/>
    </xf>
    <xf numFmtId="0" fontId="21" fillId="0" borderId="20" xfId="0" applyNumberFormat="1" applyFont="1" applyBorder="1" applyAlignment="1">
      <alignment horizontal="left" vertical="center"/>
    </xf>
    <xf numFmtId="49" fontId="5" fillId="0" borderId="0" xfId="0" applyNumberFormat="1" applyFont="1" applyAlignment="1">
      <alignment vertical="center" wrapText="1"/>
    </xf>
    <xf numFmtId="0" fontId="5" fillId="0" borderId="0" xfId="0" applyNumberFormat="1" applyFont="1" applyAlignment="1">
      <alignment horizontal="center" vertical="center" wrapText="1"/>
    </xf>
    <xf numFmtId="0" fontId="29" fillId="0" borderId="0" xfId="0" applyNumberFormat="1" applyFont="1" applyAlignment="1">
      <alignment horizontal="center" vertical="center" wrapText="1"/>
    </xf>
    <xf numFmtId="49" fontId="5" fillId="0" borderId="3" xfId="0" applyNumberFormat="1" applyFont="1" applyBorder="1" applyAlignment="1">
      <alignment horizontal="left" vertical="center" wrapText="1"/>
    </xf>
    <xf numFmtId="0" fontId="26" fillId="0" borderId="8" xfId="0" applyNumberFormat="1" applyFont="1" applyBorder="1" applyAlignment="1">
      <alignment vertical="top" wrapText="1"/>
    </xf>
    <xf numFmtId="0" fontId="0" fillId="0" borderId="0" xfId="0" applyNumberFormat="1" applyFont="1" applyAlignment="1">
      <alignment vertical="center"/>
    </xf>
    <xf numFmtId="0" fontId="5" fillId="8" borderId="3" xfId="0" applyNumberFormat="1" applyFont="1" applyFill="1" applyBorder="1" applyAlignment="1">
      <alignment horizontal="left" vertical="center" wrapText="1"/>
    </xf>
    <xf numFmtId="0" fontId="5" fillId="0" borderId="0" xfId="0" applyNumberFormat="1" applyFont="1" applyAlignment="1">
      <alignment horizontal="center" vertical="center"/>
    </xf>
    <xf numFmtId="49" fontId="5" fillId="0" borderId="0" xfId="0" applyNumberFormat="1" applyFont="1" applyAlignment="1">
      <alignment vertical="center" wrapText="1"/>
    </xf>
    <xf numFmtId="0" fontId="62" fillId="8" borderId="10" xfId="0" applyNumberFormat="1" applyFont="1" applyFill="1" applyBorder="1" applyAlignment="1">
      <alignment horizontal="center" vertical="center" wrapText="1"/>
    </xf>
    <xf numFmtId="0" fontId="0" fillId="0" borderId="3" xfId="0" applyNumberFormat="1" applyFont="1" applyBorder="1" applyAlignment="1">
      <alignment horizontal="center" vertical="center" wrapText="1"/>
    </xf>
    <xf numFmtId="0" fontId="29" fillId="0" borderId="0" xfId="0" applyNumberFormat="1" applyFont="1" applyAlignment="1">
      <alignment horizontal="left" vertical="center" indent="1"/>
    </xf>
    <xf numFmtId="0" fontId="29" fillId="0" borderId="0" xfId="0" applyNumberFormat="1" applyFont="1" applyAlignment="1">
      <alignment horizontal="left" vertical="center" wrapText="1"/>
    </xf>
    <xf numFmtId="49" fontId="29" fillId="0" borderId="0" xfId="0" applyNumberFormat="1" applyFont="1">
      <alignment vertical="top"/>
    </xf>
    <xf numFmtId="49" fontId="89" fillId="0" borderId="0" xfId="0" applyNumberFormat="1" applyFont="1">
      <alignment vertical="top"/>
    </xf>
    <xf numFmtId="49" fontId="79" fillId="0" borderId="10" xfId="0" applyNumberFormat="1" applyFont="1" applyBorder="1" applyAlignment="1">
      <alignment horizontal="left" vertical="center"/>
    </xf>
    <xf numFmtId="49" fontId="29" fillId="0" borderId="10" xfId="0" applyNumberFormat="1" applyFont="1" applyBorder="1" applyAlignment="1">
      <alignment horizontal="left" vertical="center" indent="3"/>
    </xf>
    <xf numFmtId="49" fontId="29" fillId="0" borderId="10" xfId="0" applyNumberFormat="1" applyFont="1" applyBorder="1" applyAlignment="1">
      <alignment horizontal="center" vertical="center" wrapText="1"/>
    </xf>
    <xf numFmtId="49" fontId="29" fillId="0" borderId="0" xfId="0" applyNumberFormat="1" applyFont="1" applyAlignment="1">
      <alignment horizontal="left" vertical="center"/>
    </xf>
    <xf numFmtId="49" fontId="79" fillId="0" borderId="0" xfId="0" applyNumberFormat="1" applyFont="1" applyAlignment="1">
      <alignment horizontal="left" vertical="center"/>
    </xf>
    <xf numFmtId="49" fontId="29" fillId="0" borderId="0" xfId="0" applyNumberFormat="1" applyFont="1" applyAlignment="1">
      <alignment horizontal="left" vertical="center" indent="2"/>
    </xf>
    <xf numFmtId="49" fontId="29" fillId="0" borderId="0" xfId="0" applyNumberFormat="1" applyFont="1" applyAlignment="1">
      <alignment horizontal="center" vertical="center" wrapText="1"/>
    </xf>
    <xf numFmtId="49" fontId="29" fillId="0" borderId="0" xfId="0" applyNumberFormat="1" applyFont="1" applyAlignment="1">
      <alignment horizontal="left" vertical="center" indent="1"/>
    </xf>
    <xf numFmtId="0" fontId="0" fillId="0" borderId="0" xfId="0" applyNumberFormat="1" applyFont="1" applyAlignment="1">
      <alignment vertical="center"/>
    </xf>
    <xf numFmtId="0" fontId="5" fillId="0" borderId="0" xfId="0" applyNumberFormat="1" applyFont="1" applyAlignment="1">
      <alignment horizontal="center" vertical="center" wrapText="1"/>
    </xf>
    <xf numFmtId="49" fontId="5" fillId="0" borderId="0" xfId="0" applyNumberFormat="1" applyFont="1" applyAlignment="1">
      <alignment vertical="center" wrapText="1"/>
    </xf>
    <xf numFmtId="0" fontId="28" fillId="0" borderId="0" xfId="0" applyNumberFormat="1" applyFont="1" applyAlignment="1">
      <alignment horizontal="center" vertical="center" wrapText="1"/>
    </xf>
    <xf numFmtId="0" fontId="5" fillId="8" borderId="3" xfId="0" applyNumberFormat="1" applyFont="1" applyFill="1" applyBorder="1" applyAlignment="1">
      <alignment horizontal="center" vertical="center" wrapText="1"/>
    </xf>
    <xf numFmtId="0" fontId="29" fillId="0" borderId="0" xfId="0" applyNumberFormat="1" applyFont="1" applyAlignment="1">
      <alignment horizontal="center" vertical="center" wrapText="1"/>
    </xf>
    <xf numFmtId="0" fontId="5" fillId="0" borderId="0" xfId="0" applyNumberFormat="1" applyFont="1" applyAlignment="1">
      <alignment horizontal="center" vertical="center" wrapText="1"/>
    </xf>
    <xf numFmtId="0" fontId="5" fillId="0" borderId="0" xfId="0" applyNumberFormat="1" applyFont="1" applyAlignment="1">
      <alignment horizontal="left" vertical="top" wrapText="1"/>
    </xf>
    <xf numFmtId="0" fontId="0" fillId="0" borderId="4" xfId="0" applyNumberFormat="1" applyFont="1" applyBorder="1" applyAlignment="1">
      <alignment horizontal="center" vertical="center" wrapText="1"/>
    </xf>
    <xf numFmtId="0" fontId="62" fillId="8" borderId="10" xfId="0" applyNumberFormat="1" applyFont="1" applyFill="1" applyBorder="1" applyAlignment="1">
      <alignment horizontal="center" vertical="center" wrapText="1"/>
    </xf>
    <xf numFmtId="0" fontId="5" fillId="8" borderId="3" xfId="0" applyNumberFormat="1" applyFont="1" applyFill="1" applyBorder="1" applyAlignment="1">
      <alignment horizontal="left" vertical="center" wrapText="1"/>
    </xf>
    <xf numFmtId="49" fontId="5" fillId="8" borderId="3" xfId="0" applyNumberFormat="1" applyFont="1" applyFill="1" applyBorder="1" applyAlignment="1">
      <alignment horizontal="center" vertical="center" wrapText="1"/>
    </xf>
    <xf numFmtId="0" fontId="0" fillId="0" borderId="3" xfId="0" applyNumberFormat="1" applyFont="1" applyBorder="1" applyAlignment="1">
      <alignment horizontal="center" vertical="center" wrapText="1"/>
    </xf>
    <xf numFmtId="0" fontId="29" fillId="0" borderId="0" xfId="0" applyNumberFormat="1" applyFont="1" applyAlignment="1">
      <alignment horizontal="center" vertical="center"/>
    </xf>
    <xf numFmtId="0" fontId="5" fillId="0" borderId="0" xfId="0" applyNumberFormat="1" applyFont="1" applyAlignment="1">
      <alignment horizontal="right" vertical="center" wrapText="1"/>
    </xf>
    <xf numFmtId="0" fontId="62" fillId="8" borderId="0" xfId="0" applyNumberFormat="1" applyFont="1" applyFill="1" applyAlignment="1">
      <alignment horizontal="center" vertical="center" wrapText="1"/>
    </xf>
    <xf numFmtId="49" fontId="5" fillId="0" borderId="3" xfId="0" applyNumberFormat="1" applyFont="1" applyBorder="1" applyAlignment="1">
      <alignment horizontal="left" vertical="center" wrapText="1"/>
    </xf>
    <xf numFmtId="0" fontId="29" fillId="0" borderId="0" xfId="0" applyNumberFormat="1" applyFont="1" applyAlignment="1">
      <alignment horizontal="left" vertical="center" indent="1"/>
    </xf>
    <xf numFmtId="49" fontId="89" fillId="0" borderId="0" xfId="0" applyNumberFormat="1" applyFont="1">
      <alignment vertical="top"/>
    </xf>
    <xf numFmtId="49" fontId="5" fillId="0" borderId="3" xfId="0" applyNumberFormat="1" applyFont="1" applyBorder="1" applyAlignment="1">
      <alignment vertical="center" wrapText="1"/>
    </xf>
    <xf numFmtId="0" fontId="29" fillId="0" borderId="0" xfId="0" applyNumberFormat="1" applyFont="1" applyAlignment="1">
      <alignment horizontal="center" vertical="center"/>
    </xf>
    <xf numFmtId="0" fontId="5" fillId="13" borderId="3" xfId="0" applyNumberFormat="1" applyFont="1" applyFill="1" applyBorder="1" applyAlignment="1">
      <alignment horizontal="left" vertical="center" wrapText="1" indent="6"/>
    </xf>
    <xf numFmtId="4" fontId="5" fillId="0" borderId="8" xfId="0" applyNumberFormat="1" applyFont="1" applyBorder="1" applyAlignment="1">
      <alignment horizontal="right" vertical="center" wrapText="1"/>
    </xf>
    <xf numFmtId="4" fontId="5" fillId="0" borderId="14" xfId="0" applyNumberFormat="1" applyFont="1" applyBorder="1" applyAlignment="1">
      <alignment horizontal="right" vertical="center" wrapText="1"/>
    </xf>
    <xf numFmtId="0" fontId="0" fillId="0" borderId="0" xfId="0" applyNumberFormat="1" applyFont="1" applyAlignment="1">
      <alignment vertical="center"/>
    </xf>
    <xf numFmtId="49" fontId="5" fillId="0" borderId="0" xfId="0" applyNumberFormat="1" applyFont="1" applyAlignment="1">
      <alignment vertical="center" wrapText="1"/>
    </xf>
    <xf numFmtId="0" fontId="5" fillId="0" borderId="8" xfId="0" applyNumberFormat="1" applyFont="1" applyBorder="1" applyAlignment="1">
      <alignment horizontal="center" vertical="center" wrapText="1"/>
    </xf>
    <xf numFmtId="0" fontId="62" fillId="8" borderId="10" xfId="0" applyNumberFormat="1" applyFont="1" applyFill="1" applyBorder="1" applyAlignment="1">
      <alignment horizontal="center" vertical="center" wrapText="1"/>
    </xf>
    <xf numFmtId="0" fontId="29" fillId="0" borderId="0" xfId="0" applyNumberFormat="1" applyFont="1" applyAlignment="1">
      <alignment horizontal="center" vertical="center" wrapText="1"/>
    </xf>
    <xf numFmtId="0" fontId="5" fillId="0" borderId="0" xfId="0" applyNumberFormat="1" applyFont="1" applyAlignment="1">
      <alignment horizontal="right" vertical="center" wrapText="1"/>
    </xf>
    <xf numFmtId="0" fontId="5" fillId="0" borderId="0" xfId="0" applyNumberFormat="1" applyFont="1" applyAlignment="1">
      <alignment horizontal="center" vertical="center" wrapText="1"/>
    </xf>
    <xf numFmtId="0" fontId="0" fillId="0" borderId="3" xfId="0" applyNumberFormat="1" applyFont="1" applyBorder="1" applyAlignment="1">
      <alignment horizontal="center" vertical="center" wrapText="1"/>
    </xf>
    <xf numFmtId="0" fontId="5" fillId="8" borderId="3" xfId="0" applyNumberFormat="1" applyFont="1" applyFill="1" applyBorder="1" applyAlignment="1">
      <alignment horizontal="left" vertical="center" wrapText="1"/>
    </xf>
    <xf numFmtId="49" fontId="5" fillId="0" borderId="3" xfId="0" applyNumberFormat="1" applyFont="1" applyBorder="1" applyAlignment="1">
      <alignment horizontal="left" vertical="center" wrapText="1"/>
    </xf>
    <xf numFmtId="4" fontId="28" fillId="0" borderId="3" xfId="0" applyNumberFormat="1" applyFont="1" applyBorder="1" applyAlignment="1">
      <alignment horizontal="right" vertical="center" wrapText="1"/>
    </xf>
    <xf numFmtId="166" fontId="28" fillId="0" borderId="3" xfId="0" applyNumberFormat="1" applyFont="1" applyBorder="1" applyAlignment="1">
      <alignment horizontal="right" vertical="center" wrapText="1"/>
    </xf>
    <xf numFmtId="49" fontId="28" fillId="0" borderId="0" xfId="0" applyNumberFormat="1" applyFont="1" applyAlignment="1">
      <alignment vertical="center" wrapText="1"/>
    </xf>
    <xf numFmtId="0" fontId="28" fillId="0" borderId="0" xfId="0" applyNumberFormat="1" applyFont="1" applyAlignment="1">
      <alignment horizontal="left" vertical="center" indent="1"/>
    </xf>
    <xf numFmtId="0" fontId="28" fillId="0" borderId="0" xfId="0" applyNumberFormat="1" applyFont="1" applyAlignment="1">
      <alignment horizontal="center" vertical="center"/>
    </xf>
    <xf numFmtId="0" fontId="28" fillId="0" borderId="0" xfId="0" applyNumberFormat="1" applyFont="1" applyAlignment="1">
      <alignment horizontal="left" vertical="center" wrapText="1"/>
    </xf>
    <xf numFmtId="0" fontId="28" fillId="0" borderId="0" xfId="0" applyNumberFormat="1" applyFont="1" applyAlignment="1">
      <alignment vertical="center" wrapText="1"/>
    </xf>
    <xf numFmtId="49" fontId="28" fillId="0" borderId="3" xfId="0" applyNumberFormat="1" applyFont="1" applyBorder="1" applyAlignment="1">
      <alignment vertical="center" wrapText="1"/>
    </xf>
    <xf numFmtId="0" fontId="28" fillId="0" borderId="0" xfId="0" applyNumberFormat="1" applyFont="1" applyAlignment="1">
      <alignment vertical="center"/>
    </xf>
    <xf numFmtId="0" fontId="28" fillId="0" borderId="0" xfId="0" applyNumberFormat="1" applyFont="1" applyAlignment="1">
      <alignment horizontal="center" vertical="center"/>
    </xf>
    <xf numFmtId="0" fontId="28" fillId="0" borderId="0" xfId="0" applyNumberFormat="1" applyFont="1" applyAlignment="1">
      <alignment vertical="center"/>
    </xf>
    <xf numFmtId="0" fontId="51" fillId="0" borderId="0" xfId="0" applyNumberFormat="1" applyFont="1" applyAlignment="1">
      <alignment vertical="center" wrapText="1"/>
    </xf>
    <xf numFmtId="0" fontId="0" fillId="0" borderId="6" xfId="0" applyNumberFormat="1" applyFont="1" applyBorder="1" applyAlignment="1">
      <alignment vertical="center"/>
    </xf>
    <xf numFmtId="0" fontId="29" fillId="0" borderId="3" xfId="0" applyNumberFormat="1" applyFont="1" applyBorder="1" applyAlignment="1">
      <alignment horizontal="center" vertical="center" wrapText="1"/>
    </xf>
    <xf numFmtId="0" fontId="54" fillId="0" borderId="0" xfId="0" applyNumberFormat="1" applyFont="1" applyAlignment="1">
      <alignment horizontal="left" vertical="center" indent="1"/>
    </xf>
    <xf numFmtId="0" fontId="54" fillId="0" borderId="0" xfId="0" applyNumberFormat="1" applyFont="1" applyAlignment="1">
      <alignment horizontal="left" vertical="center" indent="1"/>
    </xf>
    <xf numFmtId="0" fontId="29" fillId="0" borderId="3" xfId="0" applyNumberFormat="1" applyFont="1" applyBorder="1" applyAlignment="1">
      <alignment vertical="center" wrapText="1"/>
    </xf>
    <xf numFmtId="0" fontId="54" fillId="0" borderId="0" xfId="0" applyNumberFormat="1" applyFont="1" applyAlignment="1">
      <alignment horizontal="center" vertical="center"/>
    </xf>
    <xf numFmtId="0" fontId="54" fillId="0" borderId="0" xfId="0" applyNumberFormat="1" applyFont="1" applyAlignment="1">
      <alignment horizontal="left" vertical="center" wrapText="1"/>
    </xf>
    <xf numFmtId="49" fontId="54" fillId="0" borderId="0" xfId="0" applyNumberFormat="1" applyFont="1" applyAlignment="1">
      <alignment horizontal="left" vertical="center"/>
    </xf>
    <xf numFmtId="0" fontId="5" fillId="0" borderId="0" xfId="0" applyNumberFormat="1" applyFont="1" applyAlignment="1">
      <alignment horizontal="center" vertical="center"/>
    </xf>
    <xf numFmtId="0" fontId="54" fillId="0" borderId="0" xfId="0" applyNumberFormat="1" applyFont="1" applyAlignment="1">
      <alignment horizontal="center" vertical="center"/>
    </xf>
    <xf numFmtId="4" fontId="5" fillId="0" borderId="4" xfId="0" applyNumberFormat="1" applyFont="1" applyBorder="1" applyAlignment="1">
      <alignment horizontal="right" vertical="center" wrapText="1"/>
    </xf>
    <xf numFmtId="0" fontId="29" fillId="0" borderId="3" xfId="0" applyNumberFormat="1" applyFont="1" applyBorder="1" applyAlignment="1">
      <alignment horizontal="left" vertical="center" wrapText="1" indent="4"/>
    </xf>
    <xf numFmtId="0" fontId="29" fillId="0" borderId="3" xfId="0" applyNumberFormat="1" applyFont="1" applyBorder="1" applyAlignment="1">
      <alignment horizontal="left" vertical="center" wrapText="1" indent="6"/>
    </xf>
    <xf numFmtId="0" fontId="29" fillId="0" borderId="3" xfId="0" applyNumberFormat="1" applyFont="1" applyBorder="1" applyAlignment="1">
      <alignment vertical="top" wrapText="1"/>
    </xf>
    <xf numFmtId="49" fontId="79" fillId="0" borderId="5" xfId="0" applyNumberFormat="1" applyFont="1" applyBorder="1" applyAlignment="1">
      <alignment horizontal="left" vertical="center"/>
    </xf>
    <xf numFmtId="49" fontId="29" fillId="0" borderId="6" xfId="0" applyNumberFormat="1" applyFont="1" applyBorder="1" applyAlignment="1">
      <alignment horizontal="left" vertical="center" indent="4"/>
    </xf>
    <xf numFmtId="49" fontId="29" fillId="0" borderId="6" xfId="0" applyNumberFormat="1" applyFont="1" applyBorder="1" applyAlignment="1">
      <alignment horizontal="center" vertical="center" wrapText="1"/>
    </xf>
    <xf numFmtId="49" fontId="29" fillId="0" borderId="4" xfId="0" applyNumberFormat="1" applyFont="1" applyBorder="1" applyAlignment="1">
      <alignment horizontal="center" vertical="center" wrapText="1"/>
    </xf>
    <xf numFmtId="4" fontId="5" fillId="0" borderId="27" xfId="0" applyNumberFormat="1" applyFont="1" applyBorder="1" applyAlignment="1">
      <alignment horizontal="right" vertical="center" wrapText="1"/>
    </xf>
    <xf numFmtId="0" fontId="5" fillId="9" borderId="3" xfId="0" applyNumberFormat="1" applyFont="1" applyFill="1" applyBorder="1" applyAlignment="1" applyProtection="1">
      <alignment horizontal="left" vertical="center" wrapText="1" indent="7"/>
      <protection locked="0"/>
    </xf>
    <xf numFmtId="0" fontId="5" fillId="10" borderId="6" xfId="0" applyNumberFormat="1" applyFont="1" applyFill="1" applyBorder="1" applyAlignment="1">
      <alignment horizontal="left" vertical="center" wrapText="1" indent="6"/>
    </xf>
    <xf numFmtId="4" fontId="5" fillId="10" borderId="6" xfId="0" applyNumberFormat="1" applyFont="1" applyFill="1" applyBorder="1" applyAlignment="1">
      <alignment horizontal="right" vertical="center" wrapText="1"/>
    </xf>
    <xf numFmtId="4" fontId="29" fillId="10" borderId="6" xfId="0" applyNumberFormat="1" applyFont="1" applyFill="1" applyBorder="1" applyAlignment="1">
      <alignment horizontal="center" vertical="center" wrapText="1"/>
    </xf>
    <xf numFmtId="4" fontId="5" fillId="10" borderId="4" xfId="0" applyNumberFormat="1" applyFont="1" applyFill="1" applyBorder="1" applyAlignment="1">
      <alignment horizontal="right" vertical="center" wrapText="1"/>
    </xf>
    <xf numFmtId="4" fontId="29" fillId="10" borderId="4" xfId="0" applyNumberFormat="1" applyFont="1" applyFill="1" applyBorder="1" applyAlignment="1">
      <alignment horizontal="center" vertical="center" wrapText="1"/>
    </xf>
    <xf numFmtId="166" fontId="5" fillId="10" borderId="4" xfId="0" applyNumberFormat="1" applyFont="1" applyFill="1" applyBorder="1" applyAlignment="1">
      <alignment horizontal="right" vertical="center" wrapText="1"/>
    </xf>
    <xf numFmtId="0" fontId="5" fillId="13" borderId="3" xfId="0" applyNumberFormat="1" applyFont="1" applyFill="1" applyBorder="1" applyAlignment="1">
      <alignment horizontal="left" vertical="center" wrapText="1" indent="1"/>
    </xf>
    <xf numFmtId="0" fontId="29" fillId="0" borderId="3" xfId="0" applyNumberFormat="1" applyFont="1" applyBorder="1" applyAlignment="1">
      <alignment horizontal="left" vertical="center" wrapText="1" indent="5"/>
    </xf>
    <xf numFmtId="49" fontId="54" fillId="0" borderId="15" xfId="0" applyNumberFormat="1" applyFont="1" applyBorder="1">
      <alignment vertical="top"/>
    </xf>
    <xf numFmtId="49" fontId="29" fillId="0" borderId="15" xfId="0" applyNumberFormat="1" applyFont="1" applyBorder="1">
      <alignment vertical="top"/>
    </xf>
    <xf numFmtId="0" fontId="5" fillId="0" borderId="3" xfId="0" applyNumberFormat="1" applyFont="1" applyBorder="1" applyAlignment="1">
      <alignment horizontal="left" vertical="center" wrapText="1" indent="1"/>
    </xf>
    <xf numFmtId="4" fontId="29" fillId="0" borderId="3" xfId="0" applyNumberFormat="1" applyFont="1" applyBorder="1" applyAlignment="1">
      <alignment horizontal="right" vertical="center" wrapText="1"/>
    </xf>
    <xf numFmtId="166" fontId="29" fillId="0" borderId="3" xfId="0" applyNumberFormat="1" applyFont="1" applyBorder="1" applyAlignment="1">
      <alignment horizontal="right" vertical="center" wrapText="1"/>
    </xf>
    <xf numFmtId="166" fontId="5" fillId="9" borderId="5" xfId="0" applyNumberFormat="1" applyFont="1" applyFill="1" applyBorder="1" applyAlignment="1" applyProtection="1">
      <alignment horizontal="right" vertical="center" wrapText="1"/>
      <protection locked="0"/>
    </xf>
    <xf numFmtId="4" fontId="29" fillId="0" borderId="5" xfId="0" applyNumberFormat="1" applyFont="1" applyBorder="1" applyAlignment="1">
      <alignment horizontal="center" vertical="center" wrapText="1"/>
    </xf>
    <xf numFmtId="4" fontId="5" fillId="9" borderId="4" xfId="0" applyNumberFormat="1" applyFont="1" applyFill="1" applyBorder="1" applyAlignment="1" applyProtection="1">
      <alignment horizontal="right" vertical="center" wrapText="1"/>
      <protection locked="0"/>
    </xf>
    <xf numFmtId="49" fontId="5" fillId="10" borderId="18" xfId="0" applyNumberFormat="1" applyFont="1" applyFill="1" applyBorder="1" applyAlignment="1">
      <alignment horizontal="center" vertical="center" wrapText="1"/>
    </xf>
    <xf numFmtId="49" fontId="28" fillId="0" borderId="0" xfId="0" applyNumberFormat="1" applyFont="1" applyAlignment="1">
      <alignment vertical="center" wrapText="1"/>
    </xf>
    <xf numFmtId="0" fontId="28" fillId="0" borderId="0" xfId="0" applyNumberFormat="1" applyFont="1" applyAlignment="1">
      <alignment horizontal="center" vertical="center" wrapText="1"/>
    </xf>
    <xf numFmtId="0" fontId="38" fillId="8" borderId="0" xfId="0" applyNumberFormat="1" applyFont="1" applyFill="1" applyAlignment="1">
      <alignment horizontal="center" vertical="center" wrapText="1"/>
    </xf>
    <xf numFmtId="0" fontId="38" fillId="0" borderId="0" xfId="0" applyNumberFormat="1" applyFont="1" applyAlignment="1">
      <alignment vertical="center" wrapText="1"/>
    </xf>
    <xf numFmtId="0" fontId="29" fillId="0" borderId="0" xfId="0" applyNumberFormat="1" applyFont="1" applyAlignment="1">
      <alignment vertical="center"/>
    </xf>
    <xf numFmtId="0" fontId="30" fillId="0" borderId="0" xfId="0" applyNumberFormat="1" applyFont="1" applyAlignment="1">
      <alignment vertical="center"/>
    </xf>
    <xf numFmtId="0" fontId="29" fillId="0" borderId="0" xfId="0" applyNumberFormat="1" applyFont="1" applyAlignment="1">
      <alignment vertical="center"/>
    </xf>
    <xf numFmtId="0" fontId="29" fillId="0" borderId="0" xfId="0" applyNumberFormat="1" applyFont="1" applyAlignment="1">
      <alignment vertical="center"/>
    </xf>
    <xf numFmtId="0" fontId="0" fillId="0" borderId="0" xfId="0" applyNumberFormat="1" applyFont="1" applyAlignment="1">
      <alignment vertical="center"/>
    </xf>
    <xf numFmtId="49" fontId="5" fillId="0" borderId="0" xfId="0" applyNumberFormat="1" applyFont="1" applyAlignment="1">
      <alignment horizontal="center" vertical="center" wrapText="1"/>
    </xf>
    <xf numFmtId="49" fontId="0" fillId="0" borderId="10" xfId="0" applyNumberFormat="1" applyFont="1" applyBorder="1" applyAlignment="1">
      <alignment horizontal="left" vertical="center" wrapText="1"/>
    </xf>
    <xf numFmtId="49" fontId="5" fillId="0" borderId="10" xfId="0" applyNumberFormat="1" applyFont="1" applyBorder="1" applyAlignment="1">
      <alignment horizontal="center" vertical="center" wrapText="1"/>
    </xf>
    <xf numFmtId="0" fontId="28" fillId="0" borderId="0" xfId="0" applyNumberFormat="1" applyFont="1" applyAlignment="1">
      <alignment horizontal="center" vertical="center" wrapText="1"/>
    </xf>
    <xf numFmtId="0" fontId="29" fillId="0" borderId="0" xfId="0" applyNumberFormat="1" applyFont="1" applyAlignment="1">
      <alignment horizontal="center" vertical="center" wrapText="1"/>
    </xf>
    <xf numFmtId="0" fontId="5" fillId="0" borderId="0" xfId="0" applyNumberFormat="1" applyFont="1" applyAlignment="1">
      <alignment horizontal="center" vertical="center" wrapText="1"/>
    </xf>
    <xf numFmtId="49" fontId="5" fillId="0" borderId="3" xfId="0" applyNumberFormat="1" applyFont="1" applyBorder="1" applyAlignment="1">
      <alignment horizontal="left" vertical="center" wrapText="1"/>
    </xf>
    <xf numFmtId="0" fontId="5" fillId="8" borderId="3" xfId="0" applyNumberFormat="1" applyFont="1" applyFill="1" applyBorder="1" applyAlignment="1">
      <alignment horizontal="left" vertical="center" wrapText="1"/>
    </xf>
    <xf numFmtId="0" fontId="29" fillId="0" borderId="0" xfId="0" applyNumberFormat="1" applyFont="1" applyAlignment="1">
      <alignment horizontal="center" vertical="center"/>
    </xf>
    <xf numFmtId="49" fontId="5" fillId="0" borderId="0" xfId="0" applyNumberFormat="1" applyFont="1" applyAlignment="1">
      <alignment horizontal="center" vertical="top"/>
    </xf>
    <xf numFmtId="49" fontId="13" fillId="0" borderId="0" xfId="0" applyNumberFormat="1" applyFont="1" applyAlignment="1">
      <alignment horizontal="center" vertical="center"/>
    </xf>
    <xf numFmtId="0" fontId="0" fillId="0" borderId="0" xfId="0" applyNumberFormat="1" applyFont="1" applyAlignment="1">
      <alignment horizontal="left" vertical="center"/>
    </xf>
    <xf numFmtId="0" fontId="36" fillId="0" borderId="0" xfId="0" applyNumberFormat="1" applyFont="1" applyAlignment="1">
      <alignment horizontal="left" vertical="center"/>
    </xf>
    <xf numFmtId="49" fontId="0" fillId="0" borderId="0" xfId="0" applyNumberFormat="1" applyFont="1" applyAlignment="1">
      <alignment vertical="center"/>
    </xf>
    <xf numFmtId="0" fontId="0" fillId="0" borderId="0" xfId="0" applyNumberFormat="1" applyFont="1" applyAlignment="1">
      <alignment horizontal="right" vertical="top"/>
    </xf>
    <xf numFmtId="0" fontId="21" fillId="10" borderId="20" xfId="0" applyNumberFormat="1" applyFont="1" applyFill="1" applyBorder="1" applyAlignment="1">
      <alignment horizontal="left" vertical="center"/>
    </xf>
    <xf numFmtId="49" fontId="29" fillId="0" borderId="5" xfId="0" applyNumberFormat="1" applyFont="1" applyBorder="1" applyAlignment="1">
      <alignment horizontal="left" vertical="center" wrapText="1"/>
    </xf>
    <xf numFmtId="0" fontId="29" fillId="0" borderId="5" xfId="0" applyNumberFormat="1" applyFont="1" applyBorder="1" applyAlignment="1">
      <alignment horizontal="left" vertical="center"/>
    </xf>
    <xf numFmtId="0" fontId="29" fillId="0" borderId="6" xfId="0" applyNumberFormat="1" applyFont="1" applyBorder="1" applyAlignment="1">
      <alignment horizontal="left" vertical="center"/>
    </xf>
    <xf numFmtId="49" fontId="5" fillId="9" borderId="3" xfId="0" applyNumberFormat="1" applyFont="1" applyFill="1" applyBorder="1" applyAlignment="1" applyProtection="1">
      <alignment horizontal="left" vertical="center" wrapText="1" indent="6"/>
      <protection locked="0"/>
    </xf>
    <xf numFmtId="4" fontId="5" fillId="0" borderId="28" xfId="0" applyNumberFormat="1" applyFont="1" applyBorder="1" applyAlignment="1">
      <alignment horizontal="right" vertical="center" wrapText="1"/>
    </xf>
    <xf numFmtId="4" fontId="5" fillId="0" borderId="21" xfId="0" applyNumberFormat="1" applyFont="1" applyBorder="1" applyAlignment="1">
      <alignment horizontal="right" vertical="center" wrapText="1"/>
    </xf>
    <xf numFmtId="49" fontId="0" fillId="10" borderId="20" xfId="0" applyNumberFormat="1" applyFont="1" applyFill="1" applyBorder="1" applyAlignment="1">
      <alignment horizontal="center" vertical="center" wrapText="1"/>
    </xf>
    <xf numFmtId="0" fontId="0" fillId="0" borderId="0" xfId="0" applyNumberFormat="1" applyFont="1" applyAlignment="1">
      <alignment vertical="center"/>
    </xf>
    <xf numFmtId="0" fontId="92" fillId="0" borderId="0" xfId="0" applyNumberFormat="1" applyFont="1" applyAlignment="1">
      <alignment vertical="center" wrapText="1"/>
    </xf>
    <xf numFmtId="49" fontId="5" fillId="0" borderId="10" xfId="0" applyNumberFormat="1" applyFont="1" applyBorder="1" applyAlignment="1">
      <alignment horizontal="center" vertical="center" wrapText="1"/>
    </xf>
    <xf numFmtId="49" fontId="5" fillId="0" borderId="0" xfId="0" applyNumberFormat="1" applyFont="1" applyAlignment="1">
      <alignment horizontal="center" vertical="center" wrapText="1"/>
    </xf>
    <xf numFmtId="49" fontId="0" fillId="0" borderId="10" xfId="0" applyNumberFormat="1" applyFont="1" applyBorder="1" applyAlignment="1">
      <alignment horizontal="left" vertical="center" wrapText="1"/>
    </xf>
    <xf numFmtId="49" fontId="5" fillId="0" borderId="0" xfId="0" applyNumberFormat="1" applyFont="1" applyAlignment="1">
      <alignment vertical="center" wrapText="1"/>
    </xf>
    <xf numFmtId="0" fontId="28" fillId="0" borderId="0" xfId="0" applyNumberFormat="1" applyFont="1" applyAlignment="1">
      <alignment horizontal="center" vertical="center" wrapText="1"/>
    </xf>
    <xf numFmtId="0" fontId="5" fillId="8" borderId="3" xfId="0" applyNumberFormat="1" applyFont="1" applyFill="1" applyBorder="1" applyAlignment="1">
      <alignment horizontal="center" vertical="center" wrapText="1"/>
    </xf>
    <xf numFmtId="0" fontId="5" fillId="0" borderId="0" xfId="0" applyNumberFormat="1" applyFont="1" applyAlignment="1">
      <alignment horizontal="left" vertical="top" wrapText="1"/>
    </xf>
    <xf numFmtId="0" fontId="29" fillId="0" borderId="0" xfId="0" applyNumberFormat="1" applyFont="1" applyAlignment="1">
      <alignment horizontal="center" vertical="center" wrapText="1"/>
    </xf>
    <xf numFmtId="0" fontId="62" fillId="8" borderId="10" xfId="0" applyNumberFormat="1" applyFont="1" applyFill="1" applyBorder="1" applyAlignment="1">
      <alignment horizontal="center" vertical="center" wrapText="1"/>
    </xf>
    <xf numFmtId="0" fontId="5" fillId="0" borderId="8" xfId="0" applyNumberFormat="1" applyFont="1" applyBorder="1" applyAlignment="1">
      <alignment horizontal="center" vertical="center" wrapText="1"/>
    </xf>
    <xf numFmtId="0" fontId="5" fillId="0" borderId="0" xfId="0" applyNumberFormat="1" applyFont="1" applyAlignment="1">
      <alignment horizontal="center" vertical="center" wrapText="1"/>
    </xf>
    <xf numFmtId="0" fontId="5" fillId="0" borderId="0" xfId="0" applyNumberFormat="1" applyFont="1" applyAlignment="1">
      <alignment horizontal="right" vertical="center" wrapText="1"/>
    </xf>
    <xf numFmtId="0" fontId="0" fillId="0" borderId="3" xfId="0" applyNumberFormat="1" applyFont="1" applyBorder="1" applyAlignment="1">
      <alignment horizontal="center" vertical="center" wrapText="1"/>
    </xf>
    <xf numFmtId="49" fontId="5" fillId="0" borderId="3" xfId="0" applyNumberFormat="1" applyFont="1" applyBorder="1" applyAlignment="1">
      <alignment horizontal="left" vertical="center" wrapText="1"/>
    </xf>
    <xf numFmtId="0" fontId="5" fillId="8" borderId="3" xfId="0" applyNumberFormat="1" applyFont="1" applyFill="1" applyBorder="1" applyAlignment="1">
      <alignment horizontal="left" vertical="center" wrapText="1"/>
    </xf>
    <xf numFmtId="0" fontId="29" fillId="0" borderId="0" xfId="0" applyNumberFormat="1" applyFont="1" applyAlignment="1">
      <alignment horizontal="center" vertical="center"/>
    </xf>
    <xf numFmtId="49" fontId="5" fillId="13" borderId="3" xfId="0" applyNumberFormat="1" applyFont="1" applyFill="1" applyBorder="1" applyAlignment="1">
      <alignment horizontal="center" vertical="center" wrapText="1"/>
    </xf>
    <xf numFmtId="49" fontId="29" fillId="0" borderId="3" xfId="0" applyNumberFormat="1" applyFont="1" applyBorder="1" applyAlignment="1">
      <alignment horizontal="center" vertical="center" wrapText="1"/>
    </xf>
    <xf numFmtId="0" fontId="28" fillId="0" borderId="0" xfId="0" applyNumberFormat="1" applyFont="1" applyAlignment="1">
      <alignment horizontal="center" vertical="center" wrapText="1"/>
    </xf>
    <xf numFmtId="0" fontId="29" fillId="0" borderId="0" xfId="0" applyNumberFormat="1" applyFont="1" applyAlignment="1">
      <alignment horizontal="center" vertical="center" wrapText="1"/>
    </xf>
    <xf numFmtId="49" fontId="5" fillId="8" borderId="3" xfId="0" applyNumberFormat="1" applyFont="1" applyFill="1" applyBorder="1" applyAlignment="1">
      <alignment horizontal="center" vertical="center" wrapText="1"/>
    </xf>
    <xf numFmtId="0" fontId="29" fillId="0" borderId="0" xfId="0" applyNumberFormat="1" applyFont="1" applyAlignment="1">
      <alignment horizontal="center" vertical="center"/>
    </xf>
    <xf numFmtId="0" fontId="5" fillId="8" borderId="3" xfId="0" applyNumberFormat="1" applyFont="1" applyFill="1" applyBorder="1" applyAlignment="1">
      <alignment horizontal="left" vertical="center" wrapText="1"/>
    </xf>
    <xf numFmtId="49" fontId="5" fillId="12" borderId="3" xfId="0" applyNumberFormat="1" applyFont="1" applyFill="1" applyBorder="1" applyAlignment="1" applyProtection="1">
      <alignment horizontal="left" vertical="center" wrapText="1" indent="1"/>
      <protection locked="0"/>
    </xf>
    <xf numFmtId="0" fontId="0" fillId="0" borderId="0" xfId="0" applyNumberFormat="1" applyFont="1" applyAlignment="1">
      <alignment vertical="center"/>
    </xf>
    <xf numFmtId="0" fontId="5" fillId="0" borderId="0" xfId="0" applyNumberFormat="1" applyFont="1" applyAlignment="1">
      <alignment horizontal="center" vertical="center" wrapText="1"/>
    </xf>
    <xf numFmtId="49" fontId="5" fillId="13" borderId="3" xfId="0" applyNumberFormat="1" applyFont="1" applyFill="1" applyBorder="1" applyAlignment="1">
      <alignment horizontal="center" vertical="center" wrapText="1"/>
    </xf>
    <xf numFmtId="49" fontId="5" fillId="0" borderId="10" xfId="0" applyNumberFormat="1" applyFont="1" applyBorder="1" applyAlignment="1">
      <alignment horizontal="center" vertical="center" wrapText="1"/>
    </xf>
    <xf numFmtId="49" fontId="5" fillId="0" borderId="0" xfId="0" applyNumberFormat="1" applyFont="1" applyAlignment="1">
      <alignment horizontal="center" vertical="center" wrapText="1"/>
    </xf>
    <xf numFmtId="49" fontId="0" fillId="0" borderId="10" xfId="0" applyNumberFormat="1" applyFont="1" applyBorder="1" applyAlignment="1">
      <alignment horizontal="left" vertical="center" wrapText="1"/>
    </xf>
    <xf numFmtId="49" fontId="5" fillId="0" borderId="0" xfId="0" applyNumberFormat="1" applyFont="1" applyAlignment="1">
      <alignment vertical="center" wrapText="1"/>
    </xf>
    <xf numFmtId="49" fontId="5" fillId="8" borderId="3" xfId="0" applyNumberFormat="1" applyFont="1" applyFill="1" applyBorder="1" applyAlignment="1">
      <alignment horizontal="center" vertical="center" wrapText="1"/>
    </xf>
    <xf numFmtId="0" fontId="29" fillId="8" borderId="0" xfId="0" applyNumberFormat="1" applyFont="1" applyFill="1" applyAlignment="1">
      <alignment horizontal="center" vertical="center" wrapText="1"/>
    </xf>
    <xf numFmtId="0" fontId="0" fillId="8" borderId="3" xfId="0" applyNumberFormat="1" applyFont="1" applyFill="1" applyBorder="1" applyAlignment="1">
      <alignment horizontal="center" vertical="center" wrapText="1"/>
    </xf>
    <xf numFmtId="0" fontId="5" fillId="8" borderId="15" xfId="0" applyNumberFormat="1" applyFont="1" applyFill="1" applyBorder="1" applyAlignment="1">
      <alignment horizontal="center" vertical="center" wrapText="1"/>
    </xf>
    <xf numFmtId="0" fontId="28" fillId="0" borderId="0" xfId="0" applyNumberFormat="1" applyFont="1" applyAlignment="1">
      <alignment horizontal="center" vertical="center" wrapText="1"/>
    </xf>
    <xf numFmtId="0" fontId="5" fillId="8" borderId="3" xfId="0" applyNumberFormat="1" applyFont="1" applyFill="1" applyBorder="1" applyAlignment="1">
      <alignment horizontal="center" vertical="center" wrapText="1"/>
    </xf>
    <xf numFmtId="0" fontId="5" fillId="0" borderId="0" xfId="0" applyNumberFormat="1" applyFont="1" applyAlignment="1">
      <alignment horizontal="left" vertical="top" wrapText="1"/>
    </xf>
    <xf numFmtId="0" fontId="29" fillId="0" borderId="0" xfId="0" applyNumberFormat="1" applyFont="1" applyAlignment="1">
      <alignment horizontal="center" vertical="center" wrapText="1"/>
    </xf>
    <xf numFmtId="0" fontId="62" fillId="8" borderId="10" xfId="0" applyNumberFormat="1" applyFont="1" applyFill="1" applyBorder="1" applyAlignment="1">
      <alignment horizontal="center" vertical="center" wrapText="1"/>
    </xf>
    <xf numFmtId="0" fontId="5" fillId="0" borderId="8" xfId="0" applyNumberFormat="1" applyFont="1" applyBorder="1" applyAlignment="1">
      <alignment horizontal="center" vertical="center" wrapText="1"/>
    </xf>
    <xf numFmtId="0" fontId="5" fillId="0" borderId="3" xfId="0" applyNumberFormat="1" applyFont="1" applyBorder="1" applyAlignment="1">
      <alignment horizontal="center" vertical="center" wrapText="1"/>
    </xf>
    <xf numFmtId="49" fontId="29" fillId="0" borderId="3" xfId="0" applyNumberFormat="1" applyFont="1" applyBorder="1" applyAlignment="1">
      <alignment horizontal="center" vertical="center" wrapText="1"/>
    </xf>
    <xf numFmtId="49" fontId="5" fillId="8" borderId="3" xfId="0" applyNumberFormat="1" applyFont="1" applyFill="1" applyBorder="1" applyAlignment="1">
      <alignment horizontal="center" vertical="center" wrapText="1"/>
    </xf>
    <xf numFmtId="0" fontId="5" fillId="0" borderId="0" xfId="0" applyNumberFormat="1" applyFont="1" applyAlignment="1">
      <alignment horizontal="center" vertical="center" wrapText="1"/>
    </xf>
    <xf numFmtId="0" fontId="5" fillId="0" borderId="0" xfId="0" applyNumberFormat="1" applyFont="1" applyAlignment="1">
      <alignment horizontal="right" vertical="center" wrapText="1"/>
    </xf>
    <xf numFmtId="0" fontId="0" fillId="0" borderId="3" xfId="0" applyNumberFormat="1" applyFont="1" applyBorder="1" applyAlignment="1">
      <alignment horizontal="center" vertical="center" wrapText="1"/>
    </xf>
    <xf numFmtId="49" fontId="5" fillId="0" borderId="3" xfId="0" applyNumberFormat="1" applyFont="1" applyBorder="1" applyAlignment="1">
      <alignment horizontal="left" vertical="center" wrapText="1"/>
    </xf>
    <xf numFmtId="49" fontId="5" fillId="13" borderId="3" xfId="0" applyNumberFormat="1" applyFont="1" applyFill="1" applyBorder="1" applyAlignment="1">
      <alignment horizontal="left" vertical="center" wrapText="1"/>
    </xf>
    <xf numFmtId="49" fontId="5" fillId="12" borderId="3" xfId="0" applyNumberFormat="1" applyFont="1" applyFill="1" applyBorder="1" applyAlignment="1" applyProtection="1">
      <alignment horizontal="left" vertical="center" wrapText="1" indent="1"/>
      <protection locked="0"/>
    </xf>
    <xf numFmtId="0" fontId="5" fillId="8" borderId="3" xfId="0" applyNumberFormat="1" applyFont="1" applyFill="1" applyBorder="1" applyAlignment="1">
      <alignment horizontal="left" vertical="center" wrapText="1"/>
    </xf>
    <xf numFmtId="0" fontId="29" fillId="0" borderId="0" xfId="0" applyNumberFormat="1" applyFont="1" applyAlignment="1">
      <alignment horizontal="center" vertical="center"/>
    </xf>
    <xf numFmtId="0" fontId="18" fillId="0" borderId="0" xfId="0" applyNumberFormat="1" applyFont="1" applyAlignment="1">
      <alignment horizontal="center" vertical="center" wrapText="1"/>
    </xf>
    <xf numFmtId="166" fontId="5" fillId="10" borderId="6" xfId="0" applyNumberFormat="1" applyFont="1" applyFill="1" applyBorder="1" applyAlignment="1">
      <alignment horizontal="right" vertical="center" wrapText="1"/>
    </xf>
    <xf numFmtId="0" fontId="93" fillId="0" borderId="0" xfId="0" applyNumberFormat="1" applyFont="1" applyAlignment="1">
      <alignment vertical="center" wrapText="1"/>
    </xf>
    <xf numFmtId="0" fontId="93" fillId="8" borderId="0" xfId="0" applyNumberFormat="1" applyFont="1" applyFill="1" applyAlignment="1">
      <alignment horizontal="center" vertical="center" wrapText="1"/>
    </xf>
    <xf numFmtId="0" fontId="29" fillId="8" borderId="3" xfId="0" applyNumberFormat="1" applyFont="1" applyFill="1" applyBorder="1" applyAlignment="1">
      <alignment horizontal="left" vertical="center" wrapText="1" indent="3"/>
    </xf>
    <xf numFmtId="49" fontId="21" fillId="10" borderId="18" xfId="0" applyNumberFormat="1" applyFont="1" applyFill="1" applyBorder="1" applyAlignment="1">
      <alignment horizontal="left" vertical="center"/>
    </xf>
    <xf numFmtId="0" fontId="93" fillId="0" borderId="0" xfId="0" applyNumberFormat="1" applyFont="1" applyAlignment="1">
      <alignment horizontal="center" vertical="center" wrapText="1"/>
    </xf>
    <xf numFmtId="49" fontId="29" fillId="0" borderId="0" xfId="0" applyNumberFormat="1" applyFont="1" applyAlignment="1">
      <alignment horizontal="left" vertical="center" wrapText="1" indent="1"/>
    </xf>
    <xf numFmtId="0" fontId="29" fillId="0" borderId="0" xfId="0" applyNumberFormat="1" applyFont="1" applyAlignment="1">
      <alignment horizontal="left" vertical="center" wrapText="1" indent="4"/>
    </xf>
    <xf numFmtId="0" fontId="29" fillId="0" borderId="0" xfId="0" applyNumberFormat="1" applyFont="1" applyAlignment="1">
      <alignment horizontal="left" vertical="center" wrapText="1" indent="1"/>
    </xf>
    <xf numFmtId="49" fontId="5" fillId="10" borderId="5" xfId="0" applyNumberFormat="1" applyFont="1" applyFill="1" applyBorder="1" applyAlignment="1">
      <alignment horizontal="center" vertical="center" wrapText="1"/>
    </xf>
    <xf numFmtId="0" fontId="29" fillId="0" borderId="15" xfId="0" applyNumberFormat="1" applyFont="1" applyBorder="1" applyAlignment="1">
      <alignment horizontal="left" vertical="center" wrapText="1" indent="1"/>
    </xf>
    <xf numFmtId="0" fontId="28" fillId="0" borderId="0" xfId="0" applyNumberFormat="1" applyFont="1" applyAlignment="1">
      <alignment horizontal="left" vertical="center"/>
    </xf>
    <xf numFmtId="49" fontId="28" fillId="0" borderId="0" xfId="0" applyNumberFormat="1" applyFont="1" applyAlignment="1">
      <alignment horizontal="left" vertical="center"/>
    </xf>
    <xf numFmtId="0" fontId="28" fillId="0" borderId="0" xfId="0" applyNumberFormat="1" applyFont="1" applyAlignment="1">
      <alignment horizontal="left" vertical="center"/>
    </xf>
    <xf numFmtId="0" fontId="51" fillId="0" borderId="0" xfId="0" applyNumberFormat="1" applyFont="1" applyAlignment="1">
      <alignment horizontal="left" vertical="center"/>
    </xf>
    <xf numFmtId="0" fontId="29" fillId="0" borderId="0" xfId="0" applyNumberFormat="1" applyFont="1" applyAlignment="1">
      <alignment horizontal="left" vertical="center"/>
    </xf>
    <xf numFmtId="49" fontId="5" fillId="0" borderId="0" xfId="0" applyNumberFormat="1" applyFont="1" applyAlignment="1">
      <alignment horizontal="center" vertical="center" wrapText="1"/>
    </xf>
    <xf numFmtId="49" fontId="5" fillId="0" borderId="10" xfId="0" applyNumberFormat="1" applyFont="1" applyBorder="1" applyAlignment="1">
      <alignment horizontal="center" vertical="center" wrapText="1"/>
    </xf>
    <xf numFmtId="49" fontId="5" fillId="0" borderId="10" xfId="0" applyNumberFormat="1" applyFont="1" applyBorder="1" applyAlignment="1">
      <alignment horizontal="left" vertical="center" wrapText="1"/>
    </xf>
    <xf numFmtId="0" fontId="18" fillId="0" borderId="0" xfId="0" applyNumberFormat="1" applyFont="1" applyAlignment="1">
      <alignment horizontal="center" vertical="center" wrapText="1"/>
    </xf>
    <xf numFmtId="0" fontId="18" fillId="8" borderId="0" xfId="0" applyNumberFormat="1" applyFont="1" applyFill="1" applyAlignment="1">
      <alignment horizontal="center" vertical="center" wrapText="1"/>
    </xf>
    <xf numFmtId="49" fontId="28" fillId="0" borderId="0" xfId="0" applyNumberFormat="1" applyFont="1" applyAlignment="1">
      <alignment horizontal="left" vertical="center"/>
    </xf>
    <xf numFmtId="49" fontId="28" fillId="0" borderId="0" xfId="0" applyNumberFormat="1" applyFont="1" applyAlignment="1">
      <alignment horizontal="left" vertical="center"/>
    </xf>
    <xf numFmtId="49" fontId="28" fillId="0" borderId="0" xfId="0" applyNumberFormat="1" applyFont="1" applyAlignment="1">
      <alignment horizontal="left" vertical="top"/>
    </xf>
    <xf numFmtId="49" fontId="5" fillId="8" borderId="3" xfId="0" applyNumberFormat="1" applyFont="1" applyFill="1" applyBorder="1" applyAlignment="1">
      <alignment horizontal="center" vertical="center"/>
    </xf>
    <xf numFmtId="0" fontId="5" fillId="0" borderId="3" xfId="0" applyNumberFormat="1" applyFont="1" applyBorder="1" applyAlignment="1">
      <alignment horizontal="center" vertical="center" wrapText="1"/>
    </xf>
    <xf numFmtId="0" fontId="5" fillId="8" borderId="3" xfId="0" applyNumberFormat="1" applyFont="1" applyFill="1" applyBorder="1" applyAlignment="1">
      <alignment horizontal="left" vertical="center" wrapText="1" indent="1"/>
    </xf>
    <xf numFmtId="49" fontId="5" fillId="0" borderId="3" xfId="0" applyNumberFormat="1" applyFont="1" applyBorder="1" applyAlignment="1">
      <alignment horizontal="center" vertical="center"/>
    </xf>
    <xf numFmtId="0" fontId="5" fillId="0" borderId="3" xfId="0" applyNumberFormat="1" applyFont="1" applyBorder="1" applyAlignment="1">
      <alignment horizontal="left" vertical="center" wrapText="1" indent="1"/>
    </xf>
    <xf numFmtId="0" fontId="5" fillId="0" borderId="3" xfId="0" applyNumberFormat="1" applyFont="1" applyBorder="1" applyAlignment="1">
      <alignment vertical="center" wrapText="1"/>
    </xf>
    <xf numFmtId="49" fontId="5" fillId="12" borderId="3" xfId="0" applyNumberFormat="1" applyFont="1" applyFill="1" applyBorder="1" applyAlignment="1" applyProtection="1">
      <alignment horizontal="left" vertical="center" wrapText="1"/>
      <protection locked="0"/>
    </xf>
    <xf numFmtId="0" fontId="5" fillId="8" borderId="3" xfId="0" applyNumberFormat="1" applyFont="1" applyFill="1" applyBorder="1" applyAlignment="1">
      <alignment horizontal="left" vertical="center" wrapText="1"/>
    </xf>
    <xf numFmtId="0" fontId="29" fillId="8" borderId="3" xfId="0" applyNumberFormat="1" applyFont="1" applyFill="1" applyBorder="1" applyAlignment="1">
      <alignment horizontal="center" vertical="center"/>
    </xf>
    <xf numFmtId="0" fontId="54" fillId="8" borderId="0" xfId="0" applyNumberFormat="1" applyFont="1" applyFill="1" applyAlignment="1">
      <alignment vertical="center" wrapText="1"/>
    </xf>
    <xf numFmtId="0" fontId="49" fillId="8" borderId="0" xfId="0" applyNumberFormat="1" applyFont="1" applyFill="1" applyAlignment="1"/>
    <xf numFmtId="49" fontId="5" fillId="9" borderId="3" xfId="0" applyNumberFormat="1" applyFont="1" applyFill="1" applyBorder="1" applyAlignment="1" applyProtection="1">
      <alignment horizontal="left" vertical="center" wrapText="1"/>
      <protection locked="0"/>
    </xf>
    <xf numFmtId="0" fontId="66" fillId="8" borderId="0" xfId="0" applyNumberFormat="1" applyFont="1" applyFill="1" applyAlignment="1"/>
    <xf numFmtId="0" fontId="50" fillId="8" borderId="0" xfId="0" applyNumberFormat="1" applyFont="1" applyFill="1" applyAlignment="1"/>
    <xf numFmtId="14" fontId="5" fillId="12" borderId="14" xfId="0" applyNumberFormat="1" applyFont="1" applyFill="1" applyBorder="1" applyAlignment="1" applyProtection="1">
      <alignment horizontal="left" vertical="center" wrapText="1" indent="1"/>
      <protection locked="0"/>
    </xf>
    <xf numFmtId="0" fontId="94" fillId="0" borderId="0" xfId="0" applyNumberFormat="1" applyFont="1" applyAlignment="1">
      <alignment vertical="center"/>
    </xf>
    <xf numFmtId="0" fontId="94" fillId="0" borderId="0" xfId="0" applyNumberFormat="1" applyFont="1" applyAlignment="1">
      <alignment vertical="center" wrapText="1"/>
    </xf>
    <xf numFmtId="169" fontId="5" fillId="0" borderId="14" xfId="0" applyNumberFormat="1" applyFont="1" applyBorder="1" applyAlignment="1">
      <alignment horizontal="center" vertical="center" wrapText="1"/>
    </xf>
    <xf numFmtId="14" fontId="5" fillId="12" borderId="3" xfId="0" applyNumberFormat="1" applyFont="1" applyFill="1" applyBorder="1" applyAlignment="1" applyProtection="1">
      <alignment horizontal="left" vertical="center" wrapText="1" indent="1"/>
      <protection locked="0"/>
    </xf>
    <xf numFmtId="0" fontId="5" fillId="7" borderId="14" xfId="0" applyNumberFormat="1" applyFont="1" applyFill="1" applyBorder="1" applyAlignment="1">
      <alignment horizontal="left" vertical="center" wrapText="1" indent="1"/>
    </xf>
    <xf numFmtId="169" fontId="5" fillId="0" borderId="8" xfId="0" applyNumberFormat="1" applyFont="1" applyBorder="1" applyAlignment="1">
      <alignment horizontal="center" vertical="center" wrapText="1"/>
    </xf>
    <xf numFmtId="49" fontId="31" fillId="10" borderId="21" xfId="0" applyNumberFormat="1" applyFont="1" applyFill="1" applyBorder="1" applyAlignment="1">
      <alignment horizontal="right" vertical="center" wrapText="1"/>
    </xf>
    <xf numFmtId="49" fontId="0" fillId="10" borderId="18" xfId="0" applyNumberFormat="1" applyFont="1" applyFill="1" applyBorder="1" applyAlignment="1">
      <alignment horizontal="right" vertical="center" wrapText="1"/>
    </xf>
    <xf numFmtId="49" fontId="35" fillId="10" borderId="18" xfId="0" applyNumberFormat="1" applyFont="1" applyFill="1" applyBorder="1" applyAlignment="1">
      <alignment horizontal="left" vertical="center" wrapText="1"/>
    </xf>
    <xf numFmtId="0" fontId="29" fillId="0" borderId="18" xfId="0" applyNumberFormat="1" applyFont="1" applyBorder="1" applyAlignment="1">
      <alignment horizontal="center" vertical="center" wrapText="1"/>
    </xf>
    <xf numFmtId="0" fontId="29" fillId="0" borderId="0" xfId="0" applyNumberFormat="1" applyFont="1" applyAlignment="1">
      <alignment horizontal="center" vertical="center"/>
    </xf>
    <xf numFmtId="0" fontId="23" fillId="0" borderId="0" xfId="0" applyNumberFormat="1" applyFont="1" applyAlignment="1">
      <alignment horizontal="center" vertical="center" wrapText="1"/>
    </xf>
    <xf numFmtId="14" fontId="5" fillId="13" borderId="3" xfId="0" applyNumberFormat="1" applyFont="1" applyFill="1" applyBorder="1" applyAlignment="1">
      <alignment horizontal="left" vertical="center" wrapText="1"/>
    </xf>
    <xf numFmtId="169" fontId="5" fillId="0" borderId="28" xfId="0" applyNumberFormat="1" applyFont="1" applyBorder="1" applyAlignment="1">
      <alignment horizontal="center" vertical="center" wrapText="1"/>
    </xf>
    <xf numFmtId="0" fontId="5" fillId="12" borderId="3" xfId="0" applyNumberFormat="1" applyFont="1" applyFill="1" applyBorder="1" applyAlignment="1" applyProtection="1">
      <alignment horizontal="center" vertical="center" wrapText="1"/>
      <protection locked="0"/>
    </xf>
    <xf numFmtId="0" fontId="28" fillId="8" borderId="0" xfId="0" applyNumberFormat="1" applyFont="1" applyFill="1" applyAlignment="1"/>
    <xf numFmtId="0" fontId="5" fillId="0" borderId="6" xfId="0" applyNumberFormat="1" applyFont="1" applyBorder="1" applyAlignment="1">
      <alignment horizontal="right" vertical="center" wrapText="1" indent="1"/>
    </xf>
    <xf numFmtId="0" fontId="5" fillId="7" borderId="5" xfId="0" applyNumberFormat="1" applyFont="1" applyFill="1" applyBorder="1" applyAlignment="1">
      <alignment horizontal="left" vertical="top" wrapText="1"/>
    </xf>
    <xf numFmtId="49" fontId="29" fillId="0" borderId="0" xfId="0" applyNumberFormat="1" applyFont="1" applyAlignment="1">
      <alignment horizontal="center" vertical="center"/>
    </xf>
    <xf numFmtId="49" fontId="49" fillId="0" borderId="0" xfId="0" applyNumberFormat="1" applyFont="1">
      <alignment vertical="top"/>
    </xf>
    <xf numFmtId="0" fontId="23" fillId="0" borderId="0" xfId="0" applyNumberFormat="1" applyFont="1" applyAlignment="1">
      <alignment vertical="center"/>
    </xf>
    <xf numFmtId="0" fontId="5" fillId="0" borderId="27" xfId="0" applyNumberFormat="1" applyFont="1" applyBorder="1" applyAlignment="1">
      <alignment horizontal="center" vertical="center" wrapText="1"/>
    </xf>
    <xf numFmtId="0" fontId="5" fillId="0" borderId="28" xfId="0" applyNumberFormat="1" applyFont="1" applyBorder="1" applyAlignment="1">
      <alignment horizontal="center" vertical="center" wrapText="1"/>
    </xf>
    <xf numFmtId="0" fontId="5" fillId="0" borderId="8" xfId="0" applyNumberFormat="1" applyFont="1" applyBorder="1" applyAlignment="1">
      <alignment horizontal="center" vertical="center" wrapText="1"/>
    </xf>
    <xf numFmtId="0" fontId="5" fillId="0" borderId="13" xfId="0" applyNumberFormat="1" applyFont="1" applyBorder="1" applyAlignment="1">
      <alignment horizontal="center" vertical="center" wrapText="1"/>
    </xf>
    <xf numFmtId="49" fontId="5" fillId="0" borderId="27" xfId="0" applyNumberFormat="1" applyFont="1" applyBorder="1" applyAlignment="1">
      <alignment horizontal="left" vertical="center" wrapText="1"/>
    </xf>
    <xf numFmtId="49" fontId="5" fillId="0" borderId="27" xfId="0" applyNumberFormat="1" applyFont="1" applyBorder="1" applyAlignment="1">
      <alignment horizontal="center" vertical="center" wrapText="1"/>
    </xf>
    <xf numFmtId="49" fontId="5" fillId="0" borderId="8" xfId="0" applyNumberFormat="1" applyFont="1" applyBorder="1" applyAlignment="1">
      <alignment horizontal="center" vertical="center" wrapText="1"/>
    </xf>
    <xf numFmtId="0" fontId="5" fillId="0" borderId="27" xfId="0" applyNumberFormat="1" applyFont="1" applyBorder="1" applyAlignment="1">
      <alignment horizontal="left" vertical="center" wrapText="1"/>
    </xf>
    <xf numFmtId="49" fontId="5" fillId="0" borderId="27" xfId="0" applyNumberFormat="1" applyFont="1" applyBorder="1" applyAlignment="1">
      <alignment vertical="center" wrapText="1"/>
    </xf>
    <xf numFmtId="0" fontId="5" fillId="0" borderId="14" xfId="0" applyNumberFormat="1" applyFont="1" applyBorder="1" applyAlignment="1">
      <alignment horizontal="left" vertical="center" wrapText="1"/>
    </xf>
    <xf numFmtId="0" fontId="21" fillId="0" borderId="14" xfId="0" applyNumberFormat="1" applyFont="1" applyBorder="1" applyAlignment="1">
      <alignment horizontal="left" vertical="center"/>
    </xf>
    <xf numFmtId="0" fontId="21" fillId="10" borderId="5" xfId="0" applyNumberFormat="1" applyFont="1" applyFill="1" applyBorder="1" applyAlignment="1">
      <alignment horizontal="left" vertical="center"/>
    </xf>
    <xf numFmtId="0" fontId="21" fillId="0" borderId="27" xfId="0" applyNumberFormat="1" applyFont="1" applyBorder="1" applyAlignment="1">
      <alignment horizontal="left" vertical="center"/>
    </xf>
    <xf numFmtId="0" fontId="21" fillId="10" borderId="28" xfId="0" applyNumberFormat="1" applyFont="1" applyFill="1" applyBorder="1" applyAlignment="1">
      <alignment horizontal="left" vertical="center"/>
    </xf>
    <xf numFmtId="49" fontId="49" fillId="10" borderId="5" xfId="0" applyNumberFormat="1" applyFont="1" applyFill="1" applyBorder="1">
      <alignment vertical="top"/>
    </xf>
    <xf numFmtId="49" fontId="49" fillId="10" borderId="6" xfId="0" applyNumberFormat="1" applyFont="1" applyFill="1" applyBorder="1">
      <alignment vertical="top"/>
    </xf>
    <xf numFmtId="49" fontId="5" fillId="13" borderId="8" xfId="0" applyNumberFormat="1" applyFont="1" applyFill="1" applyBorder="1" applyAlignment="1">
      <alignment vertical="center" wrapText="1"/>
    </xf>
    <xf numFmtId="0" fontId="5" fillId="0" borderId="28" xfId="0" applyNumberFormat="1" applyFont="1" applyBorder="1" applyAlignment="1">
      <alignment horizontal="center" vertical="center" wrapText="1"/>
    </xf>
    <xf numFmtId="49" fontId="0" fillId="0" borderId="0" xfId="0" applyNumberFormat="1" applyFont="1">
      <alignment vertical="top"/>
    </xf>
    <xf numFmtId="49" fontId="28" fillId="0" borderId="0" xfId="0" applyNumberFormat="1" applyFont="1" applyAlignment="1">
      <alignment horizontal="center" vertical="center"/>
    </xf>
    <xf numFmtId="0" fontId="95" fillId="0" borderId="0" xfId="0" applyNumberFormat="1" applyFont="1" applyAlignment="1">
      <alignment vertical="center" wrapText="1"/>
    </xf>
    <xf numFmtId="0" fontId="96" fillId="0" borderId="0" xfId="0" applyNumberFormat="1" applyFont="1" applyAlignment="1">
      <alignment vertical="center" wrapText="1"/>
    </xf>
    <xf numFmtId="0" fontId="5" fillId="0" borderId="8" xfId="0" applyNumberFormat="1" applyFont="1" applyBorder="1" applyAlignment="1">
      <alignment horizontal="center" vertical="center" wrapText="1"/>
    </xf>
    <xf numFmtId="49" fontId="5" fillId="0" borderId="8" xfId="0" applyNumberFormat="1" applyFont="1" applyBorder="1" applyAlignment="1">
      <alignment horizontal="left" vertical="center" wrapText="1"/>
    </xf>
    <xf numFmtId="49" fontId="5" fillId="0" borderId="8" xfId="0" applyNumberFormat="1" applyFont="1" applyBorder="1" applyAlignment="1">
      <alignment horizontal="left" vertical="center" wrapText="1"/>
    </xf>
    <xf numFmtId="49" fontId="5" fillId="0" borderId="8" xfId="0" applyNumberFormat="1" applyFont="1" applyBorder="1" applyAlignment="1">
      <alignment horizontal="center" vertical="center" wrapText="1"/>
    </xf>
    <xf numFmtId="0" fontId="5" fillId="0" borderId="8" xfId="0" applyNumberFormat="1" applyFont="1" applyBorder="1" applyAlignment="1">
      <alignment horizontal="left" vertical="center" wrapText="1"/>
    </xf>
    <xf numFmtId="0" fontId="5" fillId="0" borderId="0" xfId="0" applyNumberFormat="1" applyFont="1" applyAlignment="1">
      <alignment horizontal="left" vertical="center" wrapText="1"/>
    </xf>
    <xf numFmtId="49" fontId="5" fillId="0" borderId="10" xfId="0" applyNumberFormat="1" applyFont="1" applyBorder="1" applyAlignment="1">
      <alignment vertical="center" wrapText="1"/>
    </xf>
    <xf numFmtId="49" fontId="5" fillId="0" borderId="10" xfId="0" applyNumberFormat="1" applyFont="1" applyBorder="1" applyAlignment="1">
      <alignment horizontal="left" vertical="center" wrapText="1"/>
    </xf>
    <xf numFmtId="49" fontId="18" fillId="0" borderId="10" xfId="0" applyNumberFormat="1" applyFont="1" applyBorder="1" applyAlignment="1">
      <alignment vertical="center" wrapText="1"/>
    </xf>
    <xf numFmtId="49" fontId="5" fillId="0" borderId="10" xfId="0" applyNumberFormat="1" applyFont="1" applyBorder="1" applyAlignment="1">
      <alignment horizontal="center" vertical="center" wrapText="1"/>
    </xf>
    <xf numFmtId="0" fontId="5" fillId="0" borderId="10" xfId="0" applyNumberFormat="1" applyFont="1" applyBorder="1" applyAlignment="1">
      <alignment horizontal="left" vertical="center" wrapText="1"/>
    </xf>
    <xf numFmtId="49" fontId="5" fillId="0" borderId="10" xfId="0" applyNumberFormat="1" applyFont="1" applyBorder="1" applyAlignment="1">
      <alignment vertical="center" wrapText="1"/>
    </xf>
    <xf numFmtId="49" fontId="5" fillId="0" borderId="0" xfId="0" applyNumberFormat="1" applyFont="1" applyAlignment="1">
      <alignment vertical="center" wrapText="1"/>
    </xf>
    <xf numFmtId="49" fontId="5" fillId="0" borderId="0" xfId="0" applyNumberFormat="1" applyFont="1" applyAlignment="1">
      <alignment horizontal="left" vertical="center" wrapText="1"/>
    </xf>
    <xf numFmtId="49" fontId="18" fillId="0" borderId="0" xfId="0" applyNumberFormat="1" applyFont="1" applyAlignment="1">
      <alignment vertical="center" wrapText="1"/>
    </xf>
    <xf numFmtId="49" fontId="5" fillId="0" borderId="0" xfId="0" applyNumberFormat="1" applyFont="1" applyAlignment="1">
      <alignment horizontal="center" vertical="center" wrapText="1"/>
    </xf>
    <xf numFmtId="0" fontId="5" fillId="0" borderId="0" xfId="0" applyNumberFormat="1" applyFont="1" applyAlignment="1">
      <alignment horizontal="left" vertical="center" wrapText="1"/>
    </xf>
    <xf numFmtId="0" fontId="21" fillId="0" borderId="0" xfId="0" applyNumberFormat="1" applyFont="1" applyAlignment="1">
      <alignment horizontal="left" vertical="center"/>
    </xf>
    <xf numFmtId="49" fontId="18" fillId="0" borderId="0" xfId="0" applyNumberFormat="1" applyFont="1" applyAlignment="1">
      <alignment horizontal="center" vertical="center" wrapText="1"/>
    </xf>
    <xf numFmtId="0" fontId="21" fillId="0" borderId="0" xfId="0" applyNumberFormat="1" applyFont="1" applyAlignment="1">
      <alignment vertical="center"/>
    </xf>
    <xf numFmtId="49" fontId="49" fillId="0" borderId="21" xfId="0" applyNumberFormat="1" applyFont="1" applyBorder="1">
      <alignment vertical="top"/>
    </xf>
    <xf numFmtId="49" fontId="5" fillId="0" borderId="28" xfId="0" applyNumberFormat="1" applyFont="1" applyBorder="1" applyAlignment="1">
      <alignment vertical="center" wrapText="1"/>
    </xf>
    <xf numFmtId="49" fontId="5" fillId="0" borderId="13" xfId="0" applyNumberFormat="1" applyFont="1" applyBorder="1" applyAlignment="1">
      <alignment vertical="center" wrapText="1"/>
    </xf>
    <xf numFmtId="0" fontId="21" fillId="0" borderId="13" xfId="0" applyNumberFormat="1" applyFont="1" applyBorder="1" applyAlignment="1">
      <alignment horizontal="left" vertical="center"/>
    </xf>
    <xf numFmtId="49" fontId="49" fillId="0" borderId="18" xfId="0" applyNumberFormat="1" applyFont="1" applyBorder="1">
      <alignment vertical="top"/>
    </xf>
    <xf numFmtId="49" fontId="5" fillId="0" borderId="27" xfId="0" applyNumberFormat="1" applyFont="1" applyBorder="1" applyAlignment="1">
      <alignment horizontal="center" vertical="center" wrapText="1"/>
    </xf>
    <xf numFmtId="0" fontId="21" fillId="10" borderId="28" xfId="0" applyNumberFormat="1" applyFont="1" applyFill="1" applyBorder="1" applyAlignment="1">
      <alignment vertical="center"/>
    </xf>
    <xf numFmtId="49" fontId="0" fillId="0" borderId="3" xfId="0" applyNumberFormat="1" applyFont="1" applyBorder="1" applyAlignment="1">
      <alignment horizontal="left" vertical="center" wrapText="1" indent="1"/>
    </xf>
    <xf numFmtId="49" fontId="0" fillId="0" borderId="0" xfId="0" applyNumberFormat="1" applyFont="1">
      <alignment vertical="top"/>
    </xf>
    <xf numFmtId="0" fontId="5" fillId="0" borderId="0" xfId="0" applyNumberFormat="1" applyFont="1" applyAlignment="1">
      <alignment vertical="center" wrapText="1"/>
    </xf>
    <xf numFmtId="0" fontId="13" fillId="0" borderId="0" xfId="0" applyNumberFormat="1" applyFont="1" applyAlignment="1">
      <alignment vertical="center" wrapText="1"/>
    </xf>
    <xf numFmtId="0" fontId="23" fillId="0" borderId="0" xfId="0" applyNumberFormat="1" applyFont="1" applyAlignment="1">
      <alignment vertical="center" wrapText="1"/>
    </xf>
    <xf numFmtId="0" fontId="5" fillId="0" borderId="0" xfId="0" applyNumberFormat="1" applyFont="1" applyAlignment="1">
      <alignment horizontal="left" vertical="center" wrapText="1"/>
    </xf>
    <xf numFmtId="0" fontId="40" fillId="0" borderId="0" xfId="0" applyNumberFormat="1" applyFont="1" applyAlignment="1">
      <alignment vertical="center" wrapText="1"/>
    </xf>
    <xf numFmtId="0" fontId="42" fillId="0" borderId="0" xfId="0" applyNumberFormat="1" applyFont="1" applyAlignment="1">
      <alignment vertical="center" wrapText="1"/>
    </xf>
    <xf numFmtId="0" fontId="70" fillId="0" borderId="0" xfId="0" applyNumberFormat="1" applyFont="1" applyAlignment="1">
      <alignment vertical="center" wrapText="1"/>
    </xf>
    <xf numFmtId="0" fontId="29" fillId="0" borderId="0" xfId="0" applyNumberFormat="1" applyFont="1" applyAlignment="1">
      <alignment vertical="center" wrapText="1"/>
    </xf>
    <xf numFmtId="0" fontId="46" fillId="0" borderId="0" xfId="0" applyNumberFormat="1" applyFont="1" applyAlignment="1">
      <alignment vertical="center" wrapText="1"/>
    </xf>
    <xf numFmtId="49" fontId="5" fillId="0" borderId="3" xfId="0" applyNumberFormat="1" applyFont="1" applyBorder="1" applyAlignment="1">
      <alignment horizontal="center" vertical="center" wrapText="1"/>
    </xf>
    <xf numFmtId="0" fontId="18" fillId="8" borderId="3" xfId="0" applyNumberFormat="1" applyFont="1" applyFill="1" applyBorder="1" applyAlignment="1">
      <alignment horizontal="center" vertical="center" wrapText="1"/>
    </xf>
    <xf numFmtId="0" fontId="5" fillId="0" borderId="0" xfId="0" applyNumberFormat="1" applyFont="1" applyAlignment="1">
      <alignment vertical="center" wrapText="1"/>
    </xf>
    <xf numFmtId="0" fontId="18" fillId="8" borderId="0" xfId="0" applyNumberFormat="1" applyFont="1" applyFill="1" applyAlignment="1">
      <alignment horizontal="center" vertical="center" wrapText="1"/>
    </xf>
    <xf numFmtId="49" fontId="5" fillId="0" borderId="3" xfId="0" applyNumberFormat="1" applyFont="1" applyBorder="1" applyAlignment="1">
      <alignment horizontal="center" vertical="center" wrapText="1"/>
    </xf>
    <xf numFmtId="3" fontId="5" fillId="12" borderId="3" xfId="0" applyNumberFormat="1" applyFont="1" applyFill="1" applyBorder="1" applyAlignment="1" applyProtection="1">
      <alignment horizontal="right" vertical="center" wrapText="1"/>
      <protection locked="0"/>
    </xf>
    <xf numFmtId="0" fontId="29" fillId="0" borderId="0" xfId="0" applyNumberFormat="1" applyFont="1" applyAlignment="1">
      <alignment vertical="center" wrapText="1"/>
    </xf>
    <xf numFmtId="49" fontId="5" fillId="12" borderId="3" xfId="0" applyNumberFormat="1" applyFont="1" applyFill="1" applyBorder="1" applyAlignment="1" applyProtection="1">
      <alignment horizontal="left" vertical="center" wrapText="1"/>
      <protection locked="0"/>
    </xf>
    <xf numFmtId="0" fontId="29" fillId="0" borderId="0" xfId="0" applyNumberFormat="1" applyFont="1" applyAlignment="1">
      <alignment vertical="center"/>
    </xf>
    <xf numFmtId="0" fontId="18" fillId="8" borderId="3" xfId="0" applyNumberFormat="1" applyFont="1" applyFill="1" applyBorder="1" applyAlignment="1">
      <alignment horizontal="center" vertical="center" wrapText="1"/>
    </xf>
    <xf numFmtId="0" fontId="28" fillId="0" borderId="13" xfId="0" applyNumberFormat="1" applyFont="1" applyBorder="1" applyAlignment="1">
      <alignment vertical="center"/>
    </xf>
    <xf numFmtId="0" fontId="28" fillId="0" borderId="13" xfId="0" applyNumberFormat="1" applyFont="1" applyBorder="1" applyAlignment="1">
      <alignment vertical="center"/>
    </xf>
    <xf numFmtId="0" fontId="5" fillId="0" borderId="8" xfId="0" applyNumberFormat="1" applyFont="1" applyBorder="1" applyAlignment="1">
      <alignment horizontal="left" vertical="center" wrapText="1" indent="1"/>
    </xf>
    <xf numFmtId="49" fontId="5" fillId="0" borderId="48" xfId="0" applyNumberFormat="1" applyFont="1" applyBorder="1" applyAlignment="1">
      <alignment horizontal="center" vertical="center" wrapText="1"/>
    </xf>
    <xf numFmtId="49" fontId="5" fillId="0" borderId="19" xfId="0" applyNumberFormat="1" applyFont="1" applyBorder="1" applyAlignment="1">
      <alignment horizontal="center" vertical="center" wrapText="1"/>
    </xf>
    <xf numFmtId="0" fontId="5" fillId="0" borderId="0" xfId="0" applyNumberFormat="1" applyFont="1" applyAlignment="1">
      <alignment vertical="center" wrapText="1"/>
    </xf>
    <xf numFmtId="0" fontId="13" fillId="0" borderId="0" xfId="0" applyNumberFormat="1" applyFont="1" applyAlignment="1">
      <alignment vertical="center" wrapText="1"/>
    </xf>
    <xf numFmtId="0" fontId="18" fillId="0" borderId="0" xfId="0" applyNumberFormat="1" applyFont="1" applyAlignment="1">
      <alignment horizontal="center" vertical="center" wrapText="1"/>
    </xf>
    <xf numFmtId="0" fontId="5" fillId="0" borderId="3" xfId="0" applyNumberFormat="1" applyFont="1" applyBorder="1" applyAlignment="1">
      <alignment horizontal="center" vertical="center" wrapText="1"/>
    </xf>
    <xf numFmtId="0" fontId="5" fillId="0" borderId="0" xfId="0" applyNumberFormat="1" applyFont="1" applyAlignment="1">
      <alignment vertical="center" wrapText="1"/>
    </xf>
    <xf numFmtId="0" fontId="29" fillId="0" borderId="0" xfId="0" applyNumberFormat="1" applyFont="1" applyAlignment="1">
      <alignment vertical="center" wrapText="1"/>
    </xf>
    <xf numFmtId="0" fontId="5" fillId="0" borderId="3" xfId="0" applyNumberFormat="1" applyFont="1" applyBorder="1" applyAlignment="1">
      <alignment horizontal="center" vertical="center" wrapText="1"/>
    </xf>
    <xf numFmtId="49" fontId="5" fillId="0" borderId="0" xfId="0" applyNumberFormat="1" applyFont="1" applyAlignment="1">
      <alignment horizontal="center" vertical="center" wrapText="1"/>
    </xf>
    <xf numFmtId="0" fontId="5" fillId="0" borderId="3" xfId="0" applyNumberFormat="1" applyFont="1" applyBorder="1" applyAlignment="1">
      <alignment horizontal="center" vertical="center" wrapText="1"/>
    </xf>
    <xf numFmtId="0" fontId="36" fillId="0" borderId="0" xfId="0" applyNumberFormat="1" applyFont="1" applyAlignment="1">
      <alignment vertical="center"/>
    </xf>
    <xf numFmtId="0" fontId="54" fillId="0" borderId="0" xfId="0" applyNumberFormat="1" applyFont="1" applyAlignment="1">
      <alignment vertical="center" wrapText="1"/>
    </xf>
    <xf numFmtId="0" fontId="29" fillId="0" borderId="0" xfId="0" applyNumberFormat="1" applyFont="1" applyAlignment="1">
      <alignment vertical="center" wrapText="1"/>
    </xf>
    <xf numFmtId="0" fontId="5" fillId="0" borderId="4" xfId="0" applyNumberFormat="1" applyFont="1" applyBorder="1" applyAlignment="1">
      <alignment horizontal="center" vertical="center" wrapText="1"/>
    </xf>
    <xf numFmtId="0" fontId="5" fillId="0" borderId="8" xfId="0" applyNumberFormat="1" applyFont="1" applyBorder="1" applyAlignment="1">
      <alignment horizontal="center" vertical="center" wrapText="1"/>
    </xf>
    <xf numFmtId="0" fontId="5" fillId="0" borderId="6" xfId="0" applyNumberFormat="1" applyFont="1" applyBorder="1" applyAlignment="1">
      <alignment horizontal="right" vertical="center" wrapText="1" indent="1"/>
    </xf>
    <xf numFmtId="0" fontId="5" fillId="0" borderId="3" xfId="0" applyNumberFormat="1" applyFont="1" applyBorder="1" applyAlignment="1">
      <alignment horizontal="center" vertical="center" wrapText="1"/>
    </xf>
    <xf numFmtId="0" fontId="5" fillId="0" borderId="0" xfId="0" applyNumberFormat="1" applyFont="1" applyAlignment="1">
      <alignment horizontal="left" vertical="top" wrapText="1"/>
    </xf>
    <xf numFmtId="0" fontId="5" fillId="0" borderId="3" xfId="0" applyNumberFormat="1" applyFont="1" applyBorder="1" applyAlignment="1">
      <alignment horizontal="center" vertical="center" wrapText="1"/>
    </xf>
    <xf numFmtId="49" fontId="5" fillId="13" borderId="3" xfId="0" applyNumberFormat="1" applyFont="1" applyFill="1" applyBorder="1" applyAlignment="1">
      <alignment horizontal="left" vertical="center" wrapText="1"/>
    </xf>
    <xf numFmtId="0" fontId="5" fillId="0" borderId="3" xfId="0" applyNumberFormat="1" applyFont="1" applyBorder="1" applyAlignment="1">
      <alignment horizontal="left" vertical="center" wrapText="1" indent="2"/>
    </xf>
    <xf numFmtId="0" fontId="29" fillId="0" borderId="8" xfId="0" applyNumberFormat="1" applyFont="1" applyBorder="1" applyAlignment="1">
      <alignment horizontal="center" vertical="center" wrapText="1"/>
    </xf>
    <xf numFmtId="0" fontId="5" fillId="7" borderId="5" xfId="0" applyNumberFormat="1" applyFont="1" applyFill="1" applyBorder="1" applyAlignment="1">
      <alignment horizontal="left" vertical="top" wrapText="1"/>
    </xf>
    <xf numFmtId="0" fontId="5" fillId="0" borderId="3" xfId="0" applyNumberFormat="1" applyFont="1" applyBorder="1" applyAlignment="1">
      <alignment horizontal="center" vertical="center" wrapText="1"/>
    </xf>
    <xf numFmtId="0" fontId="5" fillId="0" borderId="4" xfId="0" applyNumberFormat="1" applyFont="1" applyBorder="1" applyAlignment="1">
      <alignment horizontal="center" vertical="center" wrapText="1"/>
    </xf>
    <xf numFmtId="0" fontId="5" fillId="0" borderId="8" xfId="0" applyNumberFormat="1" applyFont="1" applyBorder="1" applyAlignment="1">
      <alignment horizontal="center" vertical="center" wrapText="1"/>
    </xf>
    <xf numFmtId="0" fontId="5" fillId="0" borderId="6" xfId="0" applyNumberFormat="1" applyFont="1" applyBorder="1" applyAlignment="1">
      <alignment horizontal="right" vertical="center" wrapText="1" indent="1"/>
    </xf>
    <xf numFmtId="0" fontId="5" fillId="0" borderId="3" xfId="0" applyNumberFormat="1" applyFont="1" applyBorder="1" applyAlignment="1">
      <alignment horizontal="center" vertical="center" wrapText="1"/>
    </xf>
    <xf numFmtId="0" fontId="5" fillId="0" borderId="3" xfId="0" applyNumberFormat="1" applyFont="1" applyBorder="1" applyAlignment="1">
      <alignment horizontal="center" vertical="center" wrapText="1"/>
    </xf>
    <xf numFmtId="0" fontId="5" fillId="7" borderId="5" xfId="0" applyNumberFormat="1" applyFont="1" applyFill="1" applyBorder="1" applyAlignment="1">
      <alignment horizontal="left" vertical="top" wrapText="1"/>
    </xf>
    <xf numFmtId="0" fontId="5" fillId="0" borderId="3" xfId="0" applyNumberFormat="1" applyFont="1" applyBorder="1" applyAlignment="1">
      <alignment horizontal="center" vertical="center" wrapText="1"/>
    </xf>
    <xf numFmtId="49" fontId="0" fillId="0" borderId="3" xfId="0" applyNumberFormat="1" applyFont="1" applyBorder="1" applyAlignment="1">
      <alignment vertical="center" wrapText="1"/>
    </xf>
    <xf numFmtId="0" fontId="29" fillId="0" borderId="5" xfId="0" applyNumberFormat="1" applyFont="1" applyBorder="1" applyAlignment="1">
      <alignment vertical="center" wrapText="1"/>
    </xf>
    <xf numFmtId="0" fontId="29" fillId="0" borderId="5" xfId="0" applyNumberFormat="1" applyFont="1" applyBorder="1" applyAlignment="1">
      <alignment horizontal="left" vertical="top" wrapText="1"/>
    </xf>
    <xf numFmtId="49" fontId="5" fillId="0" borderId="49" xfId="0" applyNumberFormat="1" applyFont="1" applyBorder="1" applyAlignment="1">
      <alignment horizontal="center" vertical="center" wrapText="1"/>
    </xf>
    <xf numFmtId="0" fontId="5" fillId="0" borderId="8" xfId="0" applyNumberFormat="1" applyFont="1" applyBorder="1" applyAlignment="1">
      <alignment horizontal="left" vertical="center" wrapText="1"/>
    </xf>
    <xf numFmtId="49" fontId="21" fillId="10" borderId="10" xfId="0" applyNumberFormat="1" applyFont="1" applyFill="1" applyBorder="1" applyAlignment="1">
      <alignment horizontal="left" vertical="center" indent="2"/>
    </xf>
    <xf numFmtId="49" fontId="0" fillId="0" borderId="3" xfId="0" applyNumberFormat="1" applyFont="1" applyBorder="1" applyAlignment="1">
      <alignment horizontal="left" vertical="center" wrapText="1" indent="1"/>
    </xf>
    <xf numFmtId="49" fontId="0" fillId="0" borderId="3" xfId="0" applyNumberFormat="1" applyFont="1" applyBorder="1" applyAlignment="1">
      <alignment horizontal="left" vertical="center" wrapText="1" indent="2"/>
    </xf>
    <xf numFmtId="49" fontId="5" fillId="0" borderId="0" xfId="0" applyNumberFormat="1" applyFont="1" applyAlignment="1">
      <alignment vertical="center" wrapText="1"/>
    </xf>
    <xf numFmtId="0" fontId="0" fillId="0" borderId="3" xfId="0" applyNumberFormat="1" applyFont="1" applyBorder="1" applyAlignment="1">
      <alignment horizontal="center" vertical="center" wrapText="1"/>
    </xf>
    <xf numFmtId="49" fontId="5" fillId="13" borderId="3" xfId="0" applyNumberFormat="1" applyFont="1" applyFill="1" applyBorder="1" applyAlignment="1">
      <alignment horizontal="left" vertical="center" wrapText="1" indent="1"/>
    </xf>
    <xf numFmtId="0" fontId="0" fillId="0" borderId="3" xfId="0" applyNumberFormat="1" applyFont="1" applyBorder="1" applyAlignment="1">
      <alignment horizontal="left" vertical="center" wrapText="1" indent="1"/>
    </xf>
    <xf numFmtId="49" fontId="0" fillId="8" borderId="3" xfId="0" applyNumberFormat="1" applyFont="1" applyFill="1" applyBorder="1" applyAlignment="1">
      <alignment horizontal="center" vertical="center" wrapText="1"/>
    </xf>
    <xf numFmtId="49" fontId="5" fillId="13" borderId="3" xfId="0" applyNumberFormat="1" applyFont="1" applyFill="1" applyBorder="1" applyAlignment="1">
      <alignment horizontal="left" vertical="center" wrapText="1"/>
    </xf>
    <xf numFmtId="49" fontId="5" fillId="0" borderId="50" xfId="0" applyNumberFormat="1" applyFont="1" applyBorder="1" applyAlignment="1">
      <alignment horizontal="center" vertical="center" wrapText="1"/>
    </xf>
    <xf numFmtId="4" fontId="5" fillId="12" borderId="8" xfId="0" applyNumberFormat="1" applyFont="1" applyFill="1" applyBorder="1" applyAlignment="1" applyProtection="1">
      <alignment horizontal="right" vertical="center" wrapText="1"/>
      <protection locked="0"/>
    </xf>
    <xf numFmtId="49" fontId="21" fillId="0" borderId="10" xfId="0" applyNumberFormat="1" applyFont="1" applyBorder="1" applyAlignment="1">
      <alignment horizontal="left" vertical="center"/>
    </xf>
    <xf numFmtId="49" fontId="21" fillId="0" borderId="10" xfId="0" applyNumberFormat="1" applyFont="1" applyBorder="1" applyAlignment="1">
      <alignment horizontal="left" vertical="center" indent="2"/>
    </xf>
    <xf numFmtId="49" fontId="25" fillId="0" borderId="10" xfId="0" applyNumberFormat="1" applyFont="1" applyBorder="1" applyAlignment="1">
      <alignment horizontal="center" vertical="top"/>
    </xf>
    <xf numFmtId="0" fontId="5" fillId="0" borderId="10" xfId="0" applyNumberFormat="1" applyFont="1" applyBorder="1" applyAlignment="1">
      <alignment horizontal="left" vertical="top" wrapText="1"/>
    </xf>
    <xf numFmtId="0" fontId="5" fillId="0" borderId="0" xfId="0" applyNumberFormat="1" applyFont="1" applyAlignment="1">
      <alignment horizontal="right" vertical="top" wrapText="1"/>
    </xf>
    <xf numFmtId="49" fontId="0" fillId="12" borderId="3" xfId="0" applyNumberFormat="1" applyFont="1" applyFill="1" applyBorder="1" applyAlignment="1" applyProtection="1">
      <alignment horizontal="left" vertical="center" wrapText="1" indent="1"/>
      <protection locked="0"/>
    </xf>
    <xf numFmtId="49" fontId="28" fillId="0" borderId="0" xfId="0" applyNumberFormat="1" applyFont="1">
      <alignment vertical="top"/>
    </xf>
    <xf numFmtId="49" fontId="5" fillId="13" borderId="3" xfId="0" applyNumberFormat="1" applyFont="1" applyFill="1" applyBorder="1" applyAlignment="1">
      <alignment horizontal="left" vertical="center" wrapText="1"/>
    </xf>
    <xf numFmtId="49" fontId="5" fillId="13" borderId="5" xfId="0" applyNumberFormat="1" applyFont="1" applyFill="1" applyBorder="1" applyAlignment="1">
      <alignment horizontal="left" vertical="center" wrapText="1"/>
    </xf>
    <xf numFmtId="0" fontId="5" fillId="8" borderId="0" xfId="0" applyNumberFormat="1" applyFont="1" applyFill="1" applyAlignment="1"/>
    <xf numFmtId="0" fontId="5" fillId="0" borderId="0" xfId="0" applyNumberFormat="1" applyFont="1" applyAlignment="1">
      <alignment vertical="top" wrapText="1"/>
    </xf>
    <xf numFmtId="0" fontId="18" fillId="8" borderId="0" xfId="0" applyNumberFormat="1" applyFont="1" applyFill="1" applyAlignment="1">
      <alignment horizontal="center" vertical="center" wrapText="1"/>
    </xf>
    <xf numFmtId="0" fontId="0" fillId="8" borderId="14" xfId="0" applyNumberFormat="1" applyFont="1" applyFill="1" applyBorder="1" applyAlignment="1">
      <alignment vertical="center" wrapText="1"/>
    </xf>
    <xf numFmtId="49" fontId="0" fillId="0" borderId="0" xfId="0" applyNumberFormat="1" applyFont="1">
      <alignment vertical="top"/>
    </xf>
    <xf numFmtId="0" fontId="0" fillId="0" borderId="0" xfId="0" applyNumberFormat="1" applyFont="1">
      <alignment vertical="top"/>
    </xf>
    <xf numFmtId="49" fontId="13" fillId="20" borderId="0" xfId="0" applyNumberFormat="1" applyFont="1" applyFill="1" applyAlignment="1">
      <alignment horizontal="center" vertical="center"/>
    </xf>
    <xf numFmtId="0" fontId="0" fillId="21" borderId="0" xfId="0" applyNumberFormat="1" applyFont="1" applyFill="1" applyAlignment="1">
      <alignment horizontal="left" vertical="center"/>
    </xf>
    <xf numFmtId="49" fontId="0" fillId="0" borderId="0" xfId="0" applyNumberFormat="1" applyFont="1" applyAlignment="1">
      <alignment vertical="center"/>
    </xf>
    <xf numFmtId="0" fontId="0" fillId="21" borderId="0" xfId="0" applyNumberFormat="1" applyFont="1" applyFill="1" applyAlignment="1">
      <alignment horizontal="right" vertical="center"/>
    </xf>
    <xf numFmtId="0" fontId="36" fillId="21" borderId="0" xfId="0" applyNumberFormat="1" applyFont="1" applyFill="1" applyAlignment="1">
      <alignment horizontal="left" vertical="center"/>
    </xf>
    <xf numFmtId="0" fontId="0" fillId="0" borderId="0" xfId="0" applyNumberFormat="1" applyFont="1" applyAlignment="1">
      <alignment horizontal="right" vertical="top"/>
    </xf>
    <xf numFmtId="0" fontId="0" fillId="21" borderId="1" xfId="0" applyNumberFormat="1" applyFont="1" applyFill="1" applyBorder="1" applyAlignment="1">
      <alignment horizontal="center"/>
    </xf>
    <xf numFmtId="0" fontId="0" fillId="0" borderId="1" xfId="0" applyNumberFormat="1" applyFont="1" applyBorder="1" applyAlignment="1">
      <alignment horizontal="center"/>
    </xf>
    <xf numFmtId="0" fontId="97" fillId="0" borderId="0" xfId="0" applyNumberFormat="1" applyFont="1" applyAlignment="1">
      <alignment wrapText="1"/>
    </xf>
    <xf numFmtId="49" fontId="48" fillId="0" borderId="0" xfId="0" applyNumberFormat="1" applyFont="1" applyAlignment="1">
      <alignment wrapText="1"/>
    </xf>
    <xf numFmtId="49" fontId="48" fillId="0" borderId="0" xfId="0" applyNumberFormat="1" applyFont="1" applyAlignment="1">
      <alignment vertical="center" wrapText="1"/>
    </xf>
    <xf numFmtId="49" fontId="98" fillId="0" borderId="0" xfId="0" applyNumberFormat="1" applyFont="1" applyAlignment="1">
      <alignment wrapText="1"/>
    </xf>
    <xf numFmtId="0" fontId="11" fillId="0" borderId="0" xfId="0" applyNumberFormat="1" applyFont="1" applyAlignment="1"/>
    <xf numFmtId="0" fontId="84" fillId="0" borderId="0" xfId="0" applyNumberFormat="1" applyFont="1" applyAlignment="1">
      <alignment horizontal="left" vertical="center" wrapText="1"/>
    </xf>
    <xf numFmtId="49" fontId="99" fillId="0" borderId="0" xfId="0" applyNumberFormat="1" applyFont="1" applyAlignment="1">
      <alignment wrapText="1"/>
    </xf>
    <xf numFmtId="0" fontId="27" fillId="0" borderId="0" xfId="0" applyNumberFormat="1" applyFont="1" applyAlignment="1">
      <alignment horizontal="left" vertical="top" wrapText="1"/>
    </xf>
    <xf numFmtId="49" fontId="5" fillId="0" borderId="0" xfId="0" applyNumberFormat="1" applyFont="1" applyAlignment="1">
      <alignment vertical="top" wrapText="1"/>
    </xf>
    <xf numFmtId="0" fontId="48" fillId="0" borderId="0" xfId="0" applyNumberFormat="1" applyFont="1" applyAlignment="1">
      <alignment wrapText="1"/>
    </xf>
    <xf numFmtId="0" fontId="100" fillId="0" borderId="0" xfId="0" applyNumberFormat="1" applyFont="1" applyAlignment="1">
      <alignment horizontal="left" vertical="center" wrapText="1"/>
    </xf>
    <xf numFmtId="0" fontId="101" fillId="0" borderId="0" xfId="0" applyNumberFormat="1" applyFont="1" applyAlignment="1">
      <alignment vertical="center" wrapText="1"/>
    </xf>
    <xf numFmtId="0" fontId="48" fillId="0" borderId="29" xfId="0" applyNumberFormat="1" applyFont="1" applyBorder="1" applyAlignment="1">
      <alignment wrapText="1"/>
    </xf>
    <xf numFmtId="0" fontId="48" fillId="0" borderId="0" xfId="0" applyNumberFormat="1" applyFont="1" applyAlignment="1"/>
    <xf numFmtId="0" fontId="100" fillId="0" borderId="0" xfId="0" applyNumberFormat="1" applyFont="1" applyAlignment="1"/>
    <xf numFmtId="0" fontId="102" fillId="0" borderId="0" xfId="0" applyNumberFormat="1" applyFont="1" applyAlignment="1">
      <alignment wrapText="1"/>
    </xf>
    <xf numFmtId="0" fontId="0" fillId="9" borderId="51" xfId="0" applyNumberFormat="1" applyFont="1" applyFill="1" applyBorder="1" applyAlignment="1">
      <alignment horizontal="center" vertical="center" wrapText="1"/>
    </xf>
    <xf numFmtId="0" fontId="0" fillId="26" borderId="51" xfId="0" applyNumberFormat="1" applyFont="1" applyFill="1" applyBorder="1" applyAlignment="1">
      <alignment horizontal="center" vertical="center" wrapText="1"/>
    </xf>
    <xf numFmtId="0" fontId="0" fillId="7" borderId="51" xfId="0" applyNumberFormat="1" applyFont="1" applyFill="1" applyBorder="1" applyAlignment="1">
      <alignment horizontal="center" vertical="center" wrapText="1"/>
    </xf>
    <xf numFmtId="0" fontId="0" fillId="12" borderId="51" xfId="0" applyNumberFormat="1" applyFont="1" applyFill="1" applyBorder="1" applyAlignment="1">
      <alignment horizontal="center" vertical="center" wrapText="1"/>
    </xf>
    <xf numFmtId="0" fontId="100" fillId="0" borderId="29" xfId="0" applyNumberFormat="1" applyFont="1" applyBorder="1" applyAlignment="1">
      <alignment horizontal="left" vertical="center" wrapText="1"/>
    </xf>
    <xf numFmtId="0" fontId="100" fillId="0" borderId="52" xfId="0" applyNumberFormat="1" applyFont="1" applyBorder="1" applyAlignment="1">
      <alignment horizontal="left" vertical="center" wrapText="1"/>
    </xf>
    <xf numFmtId="0" fontId="102" fillId="0" borderId="0" xfId="0" applyNumberFormat="1" applyFont="1" applyAlignment="1"/>
    <xf numFmtId="0" fontId="102" fillId="0" borderId="29" xfId="0" applyNumberFormat="1" applyFont="1" applyBorder="1" applyAlignment="1">
      <alignment wrapText="1"/>
    </xf>
    <xf numFmtId="0" fontId="48" fillId="0" borderId="53" xfId="0" applyNumberFormat="1" applyFont="1" applyBorder="1" applyAlignment="1">
      <alignment wrapText="1"/>
    </xf>
    <xf numFmtId="0" fontId="48" fillId="0" borderId="30" xfId="0" applyNumberFormat="1" applyFont="1" applyBorder="1" applyAlignment="1">
      <alignment wrapText="1"/>
    </xf>
    <xf numFmtId="0" fontId="48" fillId="0" borderId="30" xfId="0" applyNumberFormat="1" applyFont="1" applyBorder="1" applyAlignment="1">
      <alignment vertical="center" wrapText="1"/>
    </xf>
    <xf numFmtId="0" fontId="98" fillId="0" borderId="0" xfId="0" applyNumberFormat="1" applyFont="1" applyAlignment="1"/>
    <xf numFmtId="0" fontId="17" fillId="0" borderId="15" xfId="0" applyNumberFormat="1" applyFont="1" applyBorder="1" applyAlignment="1">
      <alignment horizontal="center" vertical="center" wrapText="1"/>
    </xf>
    <xf numFmtId="49" fontId="5" fillId="0" borderId="4" xfId="0" applyNumberFormat="1" applyFont="1" applyBorder="1" applyAlignment="1">
      <alignment horizontal="center" vertical="center" wrapText="1"/>
    </xf>
    <xf numFmtId="49" fontId="103" fillId="0" borderId="0" xfId="0" applyNumberFormat="1" applyFont="1" applyAlignment="1">
      <alignment horizontal="center" vertical="center" wrapText="1"/>
    </xf>
    <xf numFmtId="49" fontId="5" fillId="21" borderId="0" xfId="0" applyNumberFormat="1" applyFont="1" applyFill="1" applyAlignment="1">
      <alignment horizontal="center" vertical="center"/>
    </xf>
    <xf numFmtId="168" fontId="0" fillId="12" borderId="3" xfId="0" applyNumberFormat="1" applyFont="1" applyFill="1" applyBorder="1" applyAlignment="1" applyProtection="1">
      <alignment horizontal="left" vertical="center" wrapText="1" indent="1"/>
      <protection locked="0"/>
    </xf>
    <xf numFmtId="168" fontId="0" fillId="0" borderId="3" xfId="0" applyNumberFormat="1" applyFont="1" applyBorder="1" applyAlignment="1">
      <alignment horizontal="left" vertical="center" wrapText="1" indent="1"/>
    </xf>
    <xf numFmtId="168" fontId="0" fillId="12" borderId="3" xfId="0" applyNumberFormat="1" applyFont="1" applyFill="1" applyBorder="1" applyAlignment="1" applyProtection="1">
      <alignment horizontal="center" vertical="center" wrapText="1"/>
      <protection locked="0"/>
    </xf>
    <xf numFmtId="168" fontId="29" fillId="0" borderId="0" xfId="0" applyNumberFormat="1" applyFont="1" applyAlignment="1">
      <alignment horizontal="center" vertical="center" wrapText="1"/>
    </xf>
    <xf numFmtId="168" fontId="29" fillId="0" borderId="3" xfId="0" applyNumberFormat="1" applyFont="1" applyBorder="1" applyAlignment="1">
      <alignment horizontal="center" vertical="center" wrapText="1"/>
    </xf>
    <xf numFmtId="168" fontId="0" fillId="12" borderId="3" xfId="0" applyNumberFormat="1" applyFont="1" applyFill="1" applyBorder="1" applyAlignment="1" applyProtection="1">
      <alignment horizontal="left" vertical="center" wrapText="1"/>
      <protection locked="0"/>
    </xf>
    <xf numFmtId="168" fontId="0" fillId="9" borderId="3" xfId="0" applyNumberFormat="1" applyFont="1" applyFill="1" applyBorder="1" applyAlignment="1" applyProtection="1">
      <alignment horizontal="left" vertical="center" wrapText="1" indent="1"/>
      <protection locked="0"/>
    </xf>
    <xf numFmtId="168" fontId="0" fillId="12" borderId="4" xfId="0" applyNumberFormat="1" applyFont="1" applyFill="1" applyBorder="1" applyAlignment="1" applyProtection="1">
      <alignment horizontal="left" vertical="center" wrapText="1"/>
      <protection locked="0"/>
    </xf>
    <xf numFmtId="0" fontId="5" fillId="0" borderId="0" xfId="0" applyNumberFormat="1" applyFont="1" applyAlignment="1">
      <alignment horizontal="left" vertical="top" indent="1"/>
    </xf>
    <xf numFmtId="0" fontId="5" fillId="7" borderId="21" xfId="0" applyNumberFormat="1" applyFont="1" applyFill="1" applyBorder="1" applyAlignment="1">
      <alignment horizontal="center" vertical="top"/>
    </xf>
    <xf numFmtId="0" fontId="0" fillId="0" borderId="25" xfId="0" applyNumberFormat="1" applyFont="1" applyBorder="1" applyAlignment="1">
      <alignment horizontal="center" vertical="center"/>
    </xf>
    <xf numFmtId="0" fontId="0" fillId="0" borderId="24" xfId="0" applyNumberFormat="1" applyFont="1" applyBorder="1" applyAlignment="1">
      <alignment horizontal="center" vertical="center"/>
    </xf>
    <xf numFmtId="0" fontId="5" fillId="7" borderId="21" xfId="0" applyNumberFormat="1" applyFont="1" applyFill="1" applyBorder="1" applyAlignment="1">
      <alignment horizontal="left" vertical="top"/>
    </xf>
    <xf numFmtId="0" fontId="5" fillId="0" borderId="3" xfId="0" applyNumberFormat="1" applyFont="1" applyBorder="1" applyAlignment="1">
      <alignment horizontal="left" vertical="top"/>
    </xf>
    <xf numFmtId="49" fontId="5" fillId="0" borderId="0" xfId="0" applyNumberFormat="1" applyFont="1" applyAlignment="1">
      <alignment horizontal="left" vertical="top"/>
    </xf>
    <xf numFmtId="0" fontId="0" fillId="7" borderId="27" xfId="0" applyNumberFormat="1" applyFont="1" applyFill="1" applyBorder="1" applyAlignment="1">
      <alignment horizontal="left" vertical="top" wrapText="1" indent="1"/>
    </xf>
    <xf numFmtId="49" fontId="5" fillId="13" borderId="27" xfId="0" applyNumberFormat="1" applyFont="1" applyFill="1" applyBorder="1" applyAlignment="1">
      <alignment horizontal="center" vertical="top" wrapText="1"/>
    </xf>
    <xf numFmtId="49" fontId="0" fillId="12" borderId="27" xfId="0" applyNumberFormat="1" applyFont="1" applyFill="1" applyBorder="1" applyAlignment="1" applyProtection="1">
      <alignment horizontal="center" vertical="top" wrapText="1"/>
      <protection locked="0"/>
    </xf>
    <xf numFmtId="49" fontId="0" fillId="9" borderId="27" xfId="0" applyNumberFormat="1" applyFont="1" applyFill="1" applyBorder="1" applyAlignment="1" applyProtection="1">
      <alignment horizontal="center" vertical="top" wrapText="1"/>
      <protection locked="0"/>
    </xf>
    <xf numFmtId="49" fontId="5" fillId="13" borderId="27" xfId="0" applyNumberFormat="1" applyFont="1" applyFill="1" applyBorder="1" applyAlignment="1">
      <alignment horizontal="left" vertical="top" wrapText="1"/>
    </xf>
    <xf numFmtId="49" fontId="5" fillId="12" borderId="27" xfId="0" applyNumberFormat="1" applyFont="1" applyFill="1" applyBorder="1" applyAlignment="1" applyProtection="1">
      <alignment horizontal="left" vertical="top" wrapText="1"/>
      <protection locked="0"/>
    </xf>
    <xf numFmtId="49" fontId="0" fillId="7" borderId="27" xfId="0" applyNumberFormat="1" applyFont="1" applyFill="1" applyBorder="1" applyAlignment="1">
      <alignment horizontal="center" vertical="top" wrapText="1"/>
    </xf>
    <xf numFmtId="0" fontId="5" fillId="7" borderId="27" xfId="0" applyNumberFormat="1" applyFont="1" applyFill="1" applyBorder="1" applyAlignment="1">
      <alignment horizontal="center" vertical="top" wrapText="1"/>
    </xf>
    <xf numFmtId="0" fontId="5" fillId="9" borderId="27" xfId="0" applyNumberFormat="1" applyFont="1" applyFill="1" applyBorder="1" applyAlignment="1" applyProtection="1">
      <alignment horizontal="left" vertical="top" wrapText="1"/>
      <protection locked="0"/>
    </xf>
    <xf numFmtId="0" fontId="21" fillId="0" borderId="27" xfId="0" applyNumberFormat="1" applyFont="1" applyBorder="1" applyAlignment="1">
      <alignment horizontal="left" vertical="center"/>
    </xf>
    <xf numFmtId="0" fontId="21" fillId="9" borderId="27" xfId="0" applyNumberFormat="1" applyFont="1" applyFill="1" applyBorder="1" applyAlignment="1" applyProtection="1">
      <alignment horizontal="left" vertical="center"/>
      <protection locked="0"/>
    </xf>
    <xf numFmtId="0" fontId="21" fillId="12" borderId="27" xfId="0" applyNumberFormat="1" applyFont="1" applyFill="1" applyBorder="1" applyAlignment="1" applyProtection="1">
      <alignment horizontal="left" vertical="center"/>
      <protection locked="0"/>
    </xf>
    <xf numFmtId="14" fontId="5" fillId="13" borderId="27" xfId="0" applyNumberFormat="1" applyFont="1" applyFill="1" applyBorder="1" applyAlignment="1">
      <alignment horizontal="left" vertical="center" wrapText="1" indent="1"/>
    </xf>
    <xf numFmtId="49" fontId="5" fillId="13" borderId="0" xfId="0" applyNumberFormat="1" applyFont="1" applyFill="1" applyAlignment="1">
      <alignment horizontal="center" vertical="center" wrapText="1"/>
    </xf>
    <xf numFmtId="0" fontId="5" fillId="0" borderId="3" xfId="0" applyNumberFormat="1" applyFont="1" applyBorder="1" applyAlignment="1">
      <alignment horizontal="center" vertical="center" wrapText="1"/>
    </xf>
    <xf numFmtId="0" fontId="0" fillId="8" borderId="3" xfId="0" applyNumberFormat="1" applyFont="1" applyFill="1" applyBorder="1" applyAlignment="1">
      <alignment vertical="top" wrapText="1"/>
    </xf>
    <xf numFmtId="0" fontId="28" fillId="0" borderId="3" xfId="0" applyNumberFormat="1" applyFont="1" applyBorder="1" applyAlignment="1">
      <alignment vertical="top" wrapText="1"/>
    </xf>
    <xf numFmtId="49" fontId="5" fillId="13" borderId="8" xfId="0" applyNumberFormat="1" applyFont="1" applyFill="1" applyBorder="1" applyAlignment="1">
      <alignment vertical="center" wrapText="1"/>
    </xf>
    <xf numFmtId="49" fontId="5" fillId="13" borderId="27" xfId="0" applyNumberFormat="1" applyFont="1" applyFill="1" applyBorder="1" applyAlignment="1">
      <alignment vertical="center" wrapText="1"/>
    </xf>
    <xf numFmtId="49" fontId="5" fillId="13" borderId="14" xfId="0" applyNumberFormat="1" applyFont="1" applyFill="1" applyBorder="1" applyAlignment="1">
      <alignment vertical="center" wrapText="1"/>
    </xf>
    <xf numFmtId="0" fontId="0" fillId="12" borderId="3" xfId="0" applyNumberFormat="1" applyFont="1" applyFill="1" applyBorder="1" applyAlignment="1" applyProtection="1">
      <alignment horizontal="left" vertical="center" wrapText="1" indent="1"/>
      <protection locked="0"/>
    </xf>
    <xf numFmtId="0" fontId="0" fillId="0" borderId="4" xfId="0" applyNumberFormat="1" applyFont="1" applyBorder="1" applyAlignment="1">
      <alignment horizontal="center" vertical="center" wrapText="1"/>
    </xf>
    <xf numFmtId="0" fontId="5" fillId="0" borderId="3" xfId="0" applyNumberFormat="1" applyFont="1" applyBorder="1" applyAlignment="1">
      <alignment horizontal="left" vertical="center" wrapText="1"/>
    </xf>
    <xf numFmtId="0" fontId="0" fillId="0" borderId="3" xfId="0" applyNumberFormat="1" applyFont="1" applyBorder="1" applyAlignment="1">
      <alignment horizontal="center" vertical="center" wrapText="1"/>
    </xf>
    <xf numFmtId="0" fontId="0" fillId="0" borderId="4" xfId="0" applyNumberFormat="1" applyFont="1" applyBorder="1" applyAlignment="1">
      <alignment horizontal="center" vertical="center" wrapText="1"/>
    </xf>
    <xf numFmtId="49" fontId="5" fillId="0" borderId="0" xfId="0" applyNumberFormat="1" applyFont="1" applyAlignment="1">
      <alignment horizontal="left" vertical="center" indent="1"/>
    </xf>
    <xf numFmtId="168" fontId="0" fillId="12" borderId="5" xfId="0" applyNumberFormat="1" applyFont="1" applyFill="1" applyBorder="1" applyAlignment="1" applyProtection="1">
      <alignment horizontal="left" vertical="center" wrapText="1"/>
      <protection locked="0"/>
    </xf>
    <xf numFmtId="168" fontId="0" fillId="0" borderId="2" xfId="0" applyNumberFormat="1" applyFont="1" applyBorder="1" applyAlignment="1">
      <alignment horizontal="left" vertical="center" wrapText="1" indent="1"/>
    </xf>
    <xf numFmtId="49" fontId="5" fillId="8" borderId="17" xfId="0" applyNumberFormat="1" applyFont="1" applyFill="1" applyBorder="1" applyAlignment="1">
      <alignment horizontal="right" vertical="center" wrapText="1" indent="1"/>
    </xf>
    <xf numFmtId="49" fontId="28" fillId="0" borderId="0" xfId="0" applyNumberFormat="1" applyFont="1" applyAlignment="1">
      <alignment vertical="center" wrapText="1"/>
    </xf>
    <xf numFmtId="49" fontId="0" fillId="9" borderId="3" xfId="0" applyNumberFormat="1" applyFont="1" applyFill="1" applyBorder="1" applyAlignment="1" applyProtection="1">
      <alignment horizontal="left" vertical="center" wrapText="1"/>
      <protection locked="0"/>
    </xf>
    <xf numFmtId="4" fontId="0" fillId="12" borderId="3" xfId="0" applyNumberFormat="1" applyFont="1" applyFill="1" applyBorder="1" applyAlignment="1" applyProtection="1">
      <alignment horizontal="right" vertical="center" wrapText="1"/>
      <protection locked="0"/>
    </xf>
    <xf numFmtId="49" fontId="5" fillId="0" borderId="0" xfId="0" applyNumberFormat="1" applyFont="1" applyAlignment="1">
      <alignment vertical="top" wrapText="1"/>
    </xf>
    <xf numFmtId="49" fontId="5" fillId="0" borderId="0" xfId="0" applyNumberFormat="1" applyFont="1">
      <alignment vertical="top"/>
    </xf>
    <xf numFmtId="49" fontId="5" fillId="0" borderId="0" xfId="0" applyNumberFormat="1" applyFont="1">
      <alignment vertical="top"/>
    </xf>
    <xf numFmtId="49" fontId="5" fillId="0" borderId="3" xfId="0" applyNumberFormat="1" applyFont="1" applyBorder="1" applyAlignment="1">
      <alignment horizontal="center" vertical="center" wrapText="1"/>
    </xf>
    <xf numFmtId="49" fontId="5" fillId="0" borderId="10" xfId="0" applyNumberFormat="1" applyFont="1" applyBorder="1" applyAlignment="1">
      <alignment horizontal="center" vertical="center" wrapText="1"/>
    </xf>
    <xf numFmtId="0" fontId="5" fillId="13" borderId="27" xfId="0" applyNumberFormat="1" applyFont="1" applyFill="1" applyBorder="1" applyAlignment="1">
      <alignment horizontal="center" vertical="top" wrapText="1"/>
    </xf>
    <xf numFmtId="49" fontId="5" fillId="0" borderId="10" xfId="0" applyNumberFormat="1" applyFont="1" applyBorder="1" applyAlignment="1">
      <alignment horizontal="left" vertical="center" wrapText="1"/>
    </xf>
    <xf numFmtId="49" fontId="5" fillId="0" borderId="0" xfId="0" applyNumberFormat="1" applyFont="1" applyAlignment="1">
      <alignment horizontal="center" vertical="center" wrapText="1"/>
    </xf>
    <xf numFmtId="49" fontId="5" fillId="13" borderId="27" xfId="0" applyNumberFormat="1" applyFont="1" applyFill="1" applyBorder="1" applyAlignment="1">
      <alignment horizontal="center" vertical="center" wrapText="1"/>
    </xf>
    <xf numFmtId="0" fontId="21" fillId="0" borderId="0" xfId="0" applyNumberFormat="1" applyFont="1" applyAlignment="1">
      <alignment horizontal="left" vertical="center"/>
    </xf>
    <xf numFmtId="49" fontId="5" fillId="0" borderId="10" xfId="0" applyNumberFormat="1" applyFont="1" applyBorder="1" applyAlignment="1">
      <alignment horizontal="left" vertical="center" wrapText="1"/>
    </xf>
    <xf numFmtId="49" fontId="5" fillId="0" borderId="0" xfId="0" applyNumberFormat="1" applyFont="1" applyAlignment="1">
      <alignment horizontal="left" vertical="center" wrapText="1"/>
    </xf>
    <xf numFmtId="49" fontId="5" fillId="8" borderId="0" xfId="0" applyNumberFormat="1" applyFont="1" applyFill="1" applyAlignment="1">
      <alignment horizontal="center" vertical="center" wrapText="1"/>
    </xf>
    <xf numFmtId="0" fontId="5" fillId="0" borderId="3" xfId="0" applyNumberFormat="1" applyFont="1" applyBorder="1" applyAlignment="1">
      <alignment horizontal="center" vertical="center" wrapText="1"/>
    </xf>
    <xf numFmtId="0" fontId="29" fillId="0" borderId="0" xfId="0" applyNumberFormat="1" applyFont="1" applyAlignment="1">
      <alignment horizontal="center" vertical="center" wrapText="1"/>
    </xf>
    <xf numFmtId="0" fontId="26" fillId="0" borderId="3" xfId="0" applyNumberFormat="1" applyFont="1" applyBorder="1" applyAlignment="1">
      <alignment horizontal="center" vertical="center"/>
    </xf>
    <xf numFmtId="49" fontId="0" fillId="12" borderId="3" xfId="0" applyNumberFormat="1" applyFont="1" applyFill="1" applyBorder="1" applyAlignment="1" applyProtection="1">
      <alignment horizontal="left" vertical="center" wrapText="1"/>
      <protection locked="0"/>
    </xf>
    <xf numFmtId="0" fontId="28" fillId="0" borderId="0" xfId="0" applyNumberFormat="1" applyFont="1" applyAlignment="1">
      <alignment horizontal="center" vertical="top"/>
    </xf>
    <xf numFmtId="49" fontId="5" fillId="0" borderId="27" xfId="0" applyNumberFormat="1" applyFont="1" applyBorder="1" applyAlignment="1">
      <alignment horizontal="center" vertical="top" wrapText="1"/>
    </xf>
    <xf numFmtId="0" fontId="5" fillId="0" borderId="3" xfId="0" applyNumberFormat="1" applyFont="1" applyBorder="1" applyAlignment="1">
      <alignment horizontal="left" vertical="center" wrapText="1"/>
    </xf>
    <xf numFmtId="0" fontId="17" fillId="0" borderId="3" xfId="0" applyNumberFormat="1" applyFont="1" applyBorder="1" applyAlignment="1">
      <alignment horizontal="center" vertical="center" wrapText="1"/>
    </xf>
    <xf numFmtId="49" fontId="21" fillId="10" borderId="42" xfId="0" applyNumberFormat="1" applyFont="1" applyFill="1" applyBorder="1" applyAlignment="1">
      <alignment horizontal="left" vertical="center" indent="1"/>
    </xf>
    <xf numFmtId="49" fontId="5" fillId="9" borderId="3" xfId="0" applyNumberFormat="1" applyFont="1" applyFill="1" applyBorder="1" applyAlignment="1" applyProtection="1">
      <alignment horizontal="left" vertical="center" wrapText="1"/>
      <protection locked="0"/>
    </xf>
    <xf numFmtId="49" fontId="29" fillId="0" borderId="3" xfId="0" applyNumberFormat="1" applyFont="1" applyBorder="1" applyAlignment="1">
      <alignment horizontal="center" vertical="center" wrapText="1"/>
    </xf>
    <xf numFmtId="168" fontId="0" fillId="12" borderId="3" xfId="0" applyNumberFormat="1" applyFont="1" applyFill="1" applyBorder="1" applyAlignment="1" applyProtection="1">
      <alignment horizontal="center" vertical="center" wrapText="1"/>
      <protection locked="0"/>
    </xf>
    <xf numFmtId="49" fontId="0" fillId="12" borderId="3" xfId="0" applyNumberFormat="1" applyFont="1" applyFill="1" applyBorder="1" applyAlignment="1" applyProtection="1">
      <alignment horizontal="center" vertical="center" wrapText="1"/>
      <protection locked="0"/>
    </xf>
    <xf numFmtId="0" fontId="5" fillId="0" borderId="3" xfId="0" applyNumberFormat="1" applyFont="1" applyBorder="1" applyAlignment="1">
      <alignment horizontal="center" vertical="center" wrapText="1"/>
    </xf>
    <xf numFmtId="0" fontId="28" fillId="0" borderId="0" xfId="0" applyNumberFormat="1" applyFont="1" applyAlignment="1">
      <alignment horizontal="center" vertical="center" wrapText="1"/>
    </xf>
    <xf numFmtId="0" fontId="0" fillId="0" borderId="3" xfId="0" applyNumberFormat="1" applyFont="1" applyBorder="1" applyAlignment="1">
      <alignment horizontal="left" vertical="center" wrapText="1"/>
    </xf>
    <xf numFmtId="0" fontId="5" fillId="0" borderId="27" xfId="0" applyNumberFormat="1" applyFont="1" applyBorder="1" applyAlignment="1">
      <alignment horizontal="center" vertical="center" wrapText="1"/>
    </xf>
    <xf numFmtId="0" fontId="5" fillId="8" borderId="5" xfId="0" applyNumberFormat="1" applyFont="1" applyFill="1" applyBorder="1" applyAlignment="1">
      <alignment horizontal="center" vertical="center" wrapText="1"/>
    </xf>
    <xf numFmtId="49" fontId="0" fillId="8" borderId="3" xfId="0" applyNumberFormat="1" applyFont="1" applyFill="1" applyBorder="1" applyAlignment="1">
      <alignment horizontal="center" vertical="center" wrapText="1"/>
    </xf>
    <xf numFmtId="49" fontId="5" fillId="0" borderId="3" xfId="0" applyNumberFormat="1" applyFont="1" applyBorder="1" applyAlignment="1">
      <alignment horizontal="center" vertical="center" wrapText="1"/>
    </xf>
    <xf numFmtId="49" fontId="5" fillId="13" borderId="5" xfId="0" applyNumberFormat="1" applyFont="1" applyFill="1" applyBorder="1" applyAlignment="1">
      <alignment horizontal="left" vertical="center" wrapText="1"/>
    </xf>
    <xf numFmtId="0" fontId="5" fillId="0" borderId="14" xfId="0" applyNumberFormat="1" applyFont="1" applyBorder="1" applyAlignment="1">
      <alignment horizontal="center" vertical="center" wrapText="1"/>
    </xf>
    <xf numFmtId="0" fontId="26" fillId="0" borderId="4" xfId="0" applyNumberFormat="1" applyFont="1" applyBorder="1" applyAlignment="1">
      <alignment horizontal="center" vertical="center"/>
    </xf>
    <xf numFmtId="49" fontId="0" fillId="11" borderId="0" xfId="0" applyNumberFormat="1" applyFont="1" applyFill="1">
      <alignment vertical="top"/>
    </xf>
    <xf numFmtId="0" fontId="18" fillId="8" borderId="0" xfId="0" applyNumberFormat="1" applyFont="1" applyFill="1" applyAlignment="1">
      <alignment horizontal="center" vertical="center" wrapText="1"/>
    </xf>
    <xf numFmtId="0" fontId="18" fillId="8" borderId="0" xfId="0" applyNumberFormat="1" applyFont="1" applyFill="1" applyAlignment="1">
      <alignment horizontal="center"/>
    </xf>
    <xf numFmtId="0" fontId="18" fillId="0" borderId="0" xfId="0" applyNumberFormat="1" applyFont="1" applyAlignment="1">
      <alignment horizontal="center" vertical="center" wrapText="1"/>
    </xf>
    <xf numFmtId="0" fontId="23" fillId="0" borderId="0" xfId="0" applyNumberFormat="1" applyFont="1" applyAlignment="1">
      <alignment vertical="center" wrapText="1"/>
    </xf>
    <xf numFmtId="49" fontId="0" fillId="0" borderId="3" xfId="0" applyNumberFormat="1" applyFont="1" applyBorder="1">
      <alignment vertical="top"/>
    </xf>
    <xf numFmtId="49" fontId="0" fillId="0" borderId="3" xfId="0" applyNumberFormat="1" applyFont="1" applyBorder="1">
      <alignment vertical="top"/>
    </xf>
    <xf numFmtId="49" fontId="5" fillId="0" borderId="0" xfId="0" applyNumberFormat="1" applyFont="1">
      <alignment vertical="top"/>
    </xf>
    <xf numFmtId="0" fontId="18" fillId="8" borderId="0" xfId="0" applyNumberFormat="1" applyFont="1" applyFill="1" applyAlignment="1">
      <alignment vertical="top" wrapText="1"/>
    </xf>
    <xf numFmtId="49" fontId="104" fillId="12" borderId="3" xfId="0" applyNumberFormat="1" applyFont="1" applyFill="1" applyBorder="1" applyAlignment="1" applyProtection="1">
      <alignment horizontal="left" vertical="center" wrapText="1"/>
      <protection locked="0"/>
    </xf>
    <xf numFmtId="49" fontId="18" fillId="0" borderId="0" xfId="0" applyNumberFormat="1" applyFont="1" applyAlignment="1">
      <alignment horizontal="center" vertical="center" wrapText="1"/>
    </xf>
    <xf numFmtId="0" fontId="18" fillId="0" borderId="15" xfId="0" applyNumberFormat="1" applyFont="1" applyBorder="1" applyAlignment="1">
      <alignment horizontal="center" vertical="center" wrapText="1"/>
    </xf>
    <xf numFmtId="49" fontId="105" fillId="0" borderId="0" xfId="0" applyNumberFormat="1" applyFont="1" applyAlignment="1">
      <alignment horizontal="center" vertical="top" wrapText="1"/>
    </xf>
    <xf numFmtId="49" fontId="0" fillId="7" borderId="27" xfId="0" applyNumberFormat="1" applyFont="1" applyFill="1" applyBorder="1">
      <alignment vertical="top"/>
    </xf>
    <xf numFmtId="49" fontId="0" fillId="0" borderId="27" xfId="0" applyNumberFormat="1" applyFont="1" applyBorder="1">
      <alignment vertical="top"/>
    </xf>
    <xf numFmtId="49" fontId="0" fillId="12" borderId="27" xfId="0" applyNumberFormat="1" applyFont="1" applyFill="1" applyBorder="1" applyProtection="1">
      <alignment vertical="top"/>
      <protection locked="0"/>
    </xf>
    <xf numFmtId="49" fontId="0" fillId="12" borderId="8" xfId="0" applyNumberFormat="1" applyFont="1" applyFill="1" applyBorder="1" applyProtection="1">
      <alignment vertical="top"/>
      <protection locked="0"/>
    </xf>
    <xf numFmtId="49" fontId="0" fillId="12" borderId="14" xfId="0" applyNumberFormat="1" applyFont="1" applyFill="1" applyBorder="1" applyProtection="1">
      <alignment vertical="top"/>
      <protection locked="0"/>
    </xf>
    <xf numFmtId="49" fontId="105" fillId="0" borderId="27" xfId="0" applyNumberFormat="1" applyFont="1" applyBorder="1" applyAlignment="1">
      <alignment horizontal="center" vertical="top" wrapText="1"/>
    </xf>
    <xf numFmtId="49" fontId="0" fillId="0" borderId="0" xfId="0" applyNumberFormat="1" applyFont="1">
      <alignment vertical="top"/>
    </xf>
    <xf numFmtId="49" fontId="0" fillId="0" borderId="10" xfId="0" applyNumberFormat="1" applyFont="1" applyBorder="1">
      <alignment vertical="top"/>
    </xf>
    <xf numFmtId="49" fontId="0" fillId="0" borderId="13" xfId="0" applyNumberFormat="1" applyFont="1" applyBorder="1">
      <alignment vertical="top"/>
    </xf>
    <xf numFmtId="49" fontId="0" fillId="0" borderId="15" xfId="0" applyNumberFormat="1" applyFont="1" applyBorder="1">
      <alignment vertical="top"/>
    </xf>
    <xf numFmtId="49" fontId="0" fillId="0" borderId="0" xfId="0" applyNumberFormat="1" applyFont="1" applyAlignment="1">
      <alignment horizontal="left" vertical="top"/>
    </xf>
    <xf numFmtId="49" fontId="0" fillId="0" borderId="0" xfId="0" applyNumberFormat="1" applyFont="1" applyAlignment="1">
      <alignment vertical="center"/>
    </xf>
    <xf numFmtId="0" fontId="0" fillId="0" borderId="0" xfId="0" applyNumberFormat="1" applyFont="1" applyAlignment="1">
      <alignment vertical="center"/>
    </xf>
    <xf numFmtId="0" fontId="18" fillId="0" borderId="0" xfId="0" applyNumberFormat="1" applyFont="1" applyAlignment="1">
      <alignment horizontal="center" vertical="center" wrapText="1"/>
    </xf>
    <xf numFmtId="49" fontId="0" fillId="12" borderId="3" xfId="0" applyNumberFormat="1" applyFont="1" applyFill="1" applyBorder="1" applyAlignment="1" applyProtection="1">
      <alignment horizontal="left" vertical="center" wrapText="1"/>
      <protection locked="0"/>
    </xf>
    <xf numFmtId="0" fontId="0" fillId="0" borderId="0" xfId="0" applyNumberFormat="1" applyFont="1" applyAlignment="1">
      <alignment horizontal="left" vertical="center" indent="1"/>
    </xf>
    <xf numFmtId="0" fontId="0" fillId="0" borderId="0" xfId="0" applyNumberFormat="1" applyFont="1" applyAlignment="1">
      <alignment vertical="center"/>
    </xf>
    <xf numFmtId="0" fontId="0" fillId="10" borderId="6" xfId="0" applyNumberFormat="1" applyFont="1" applyFill="1" applyBorder="1" applyAlignment="1">
      <alignment vertical="center"/>
    </xf>
    <xf numFmtId="49" fontId="0" fillId="0" borderId="27" xfId="0" applyNumberFormat="1" applyFont="1" applyBorder="1" applyAlignment="1">
      <alignment horizontal="left" vertical="top"/>
    </xf>
    <xf numFmtId="49" fontId="0" fillId="13" borderId="27" xfId="0" applyNumberFormat="1" applyFont="1" applyFill="1" applyBorder="1" applyAlignment="1">
      <alignment horizontal="left" vertical="top"/>
    </xf>
    <xf numFmtId="49" fontId="0" fillId="9" borderId="27" xfId="0" applyNumberFormat="1" applyFont="1" applyFill="1" applyBorder="1" applyAlignment="1" applyProtection="1">
      <alignment horizontal="left" vertical="top"/>
      <protection locked="0"/>
    </xf>
    <xf numFmtId="49" fontId="0" fillId="0" borderId="0" xfId="0" applyNumberFormat="1" applyFont="1">
      <alignment vertical="top"/>
    </xf>
    <xf numFmtId="49" fontId="0" fillId="9" borderId="27" xfId="0" applyNumberFormat="1" applyFont="1" applyFill="1" applyBorder="1" applyProtection="1">
      <alignment vertical="top"/>
      <protection locked="0"/>
    </xf>
    <xf numFmtId="49" fontId="0" fillId="0" borderId="10" xfId="0" applyNumberFormat="1" applyFont="1" applyBorder="1" applyAlignment="1">
      <alignment horizontal="left" vertical="center" wrapText="1"/>
    </xf>
    <xf numFmtId="0" fontId="0" fillId="0" borderId="0" xfId="0" applyNumberFormat="1" applyFont="1" applyAlignment="1">
      <alignment vertical="center"/>
    </xf>
    <xf numFmtId="0" fontId="0" fillId="0" borderId="18" xfId="0" applyNumberFormat="1" applyFont="1" applyBorder="1" applyAlignment="1">
      <alignment vertical="center"/>
    </xf>
    <xf numFmtId="49" fontId="18" fillId="0" borderId="27" xfId="0" applyNumberFormat="1" applyFont="1" applyBorder="1" applyAlignment="1">
      <alignment vertical="center" wrapText="1"/>
    </xf>
    <xf numFmtId="49" fontId="18" fillId="0" borderId="27" xfId="0" applyNumberFormat="1" applyFont="1" applyBorder="1" applyAlignment="1">
      <alignment horizontal="center" vertical="center" wrapText="1"/>
    </xf>
    <xf numFmtId="49" fontId="18" fillId="0" borderId="10" xfId="0" applyNumberFormat="1" applyFont="1" applyBorder="1" applyAlignment="1">
      <alignment vertical="center" wrapText="1"/>
    </xf>
    <xf numFmtId="49" fontId="18" fillId="0" borderId="0" xfId="0" applyNumberFormat="1" applyFont="1" applyAlignment="1">
      <alignment vertical="center" wrapText="1"/>
    </xf>
    <xf numFmtId="49" fontId="18" fillId="0" borderId="0" xfId="0" applyNumberFormat="1" applyFont="1" applyAlignment="1">
      <alignment horizontal="center" vertical="center" wrapText="1"/>
    </xf>
    <xf numFmtId="0" fontId="5" fillId="8" borderId="14" xfId="0" applyNumberFormat="1" applyFont="1" applyFill="1" applyBorder="1" applyAlignment="1">
      <alignment horizontal="center" vertical="center" wrapText="1"/>
    </xf>
    <xf numFmtId="0" fontId="5" fillId="0" borderId="27" xfId="0" applyNumberFormat="1" applyFont="1" applyBorder="1" applyAlignment="1">
      <alignment horizontal="left" vertical="top" wrapText="1"/>
    </xf>
    <xf numFmtId="0" fontId="0" fillId="0" borderId="4" xfId="0" applyNumberFormat="1" applyFont="1" applyBorder="1" applyAlignment="1">
      <alignment horizontal="center" vertical="center" wrapText="1"/>
    </xf>
    <xf numFmtId="4" fontId="0" fillId="12" borderId="4" xfId="0" applyNumberFormat="1" applyFont="1" applyFill="1" applyBorder="1" applyAlignment="1" applyProtection="1">
      <alignment horizontal="right" vertical="center" wrapText="1"/>
      <protection locked="0"/>
    </xf>
    <xf numFmtId="0" fontId="0" fillId="0" borderId="4" xfId="0" applyNumberFormat="1" applyFont="1" applyBorder="1" applyAlignment="1">
      <alignment horizontal="center" vertical="center" wrapText="1"/>
    </xf>
    <xf numFmtId="0" fontId="5" fillId="13" borderId="3" xfId="0" applyNumberFormat="1" applyFont="1" applyFill="1" applyBorder="1" applyAlignment="1">
      <alignment horizontal="left" vertical="center" wrapText="1"/>
    </xf>
    <xf numFmtId="49" fontId="0" fillId="8" borderId="8" xfId="0" applyNumberFormat="1" applyFont="1" applyFill="1" applyBorder="1" applyAlignment="1">
      <alignment horizontal="center" vertical="center" wrapText="1"/>
    </xf>
    <xf numFmtId="0" fontId="0" fillId="0" borderId="14" xfId="0" applyNumberFormat="1" applyFont="1" applyBorder="1" applyAlignment="1">
      <alignment horizontal="center" vertical="center" wrapText="1"/>
    </xf>
    <xf numFmtId="0" fontId="5" fillId="13" borderId="5" xfId="0" applyNumberFormat="1" applyFont="1" applyFill="1" applyBorder="1" applyAlignment="1">
      <alignment horizontal="left" vertical="center" wrapText="1"/>
    </xf>
    <xf numFmtId="49" fontId="0" fillId="0" borderId="3" xfId="0" applyNumberFormat="1" applyFont="1" applyBorder="1" applyAlignment="1">
      <alignment horizontal="center" vertical="center" wrapText="1"/>
    </xf>
    <xf numFmtId="49" fontId="26" fillId="27" borderId="0" xfId="0" applyNumberFormat="1" applyFont="1" applyFill="1" applyAlignment="1">
      <alignment vertical="center" wrapText="1"/>
    </xf>
    <xf numFmtId="0" fontId="28" fillId="0" borderId="0" xfId="0" applyNumberFormat="1" applyFont="1" applyAlignment="1">
      <alignment vertical="top" wrapText="1"/>
    </xf>
    <xf numFmtId="49" fontId="13" fillId="0" borderId="0" xfId="0" applyNumberFormat="1" applyFont="1" applyAlignment="1">
      <alignment horizontal="center" vertical="top" wrapText="1"/>
    </xf>
    <xf numFmtId="49" fontId="5" fillId="0" borderId="0" xfId="0" applyNumberFormat="1" applyFont="1" applyAlignment="1">
      <alignment horizontal="center" vertical="top" wrapText="1"/>
    </xf>
    <xf numFmtId="49" fontId="5" fillId="8" borderId="0" xfId="0" applyNumberFormat="1" applyFont="1" applyFill="1" applyAlignment="1">
      <alignment horizontal="center" vertical="top" wrapText="1"/>
    </xf>
    <xf numFmtId="0" fontId="0" fillId="0" borderId="27" xfId="0" applyNumberFormat="1" applyFont="1" applyBorder="1" applyAlignment="1">
      <alignment horizontal="center" vertical="center" wrapText="1"/>
    </xf>
    <xf numFmtId="0" fontId="5" fillId="0" borderId="4" xfId="0" applyNumberFormat="1" applyFont="1" applyBorder="1" applyAlignment="1">
      <alignment horizontal="center" vertical="center" wrapText="1"/>
    </xf>
    <xf numFmtId="0" fontId="5" fillId="0" borderId="4" xfId="0" applyNumberFormat="1" applyFont="1" applyBorder="1" applyAlignment="1">
      <alignment horizontal="center" vertical="center" wrapText="1"/>
    </xf>
    <xf numFmtId="0" fontId="5" fillId="0" borderId="3" xfId="0" applyNumberFormat="1" applyFont="1" applyBorder="1" applyAlignment="1">
      <alignment horizontal="center" vertical="center" wrapText="1"/>
    </xf>
    <xf numFmtId="0" fontId="5" fillId="0" borderId="8" xfId="0" applyNumberFormat="1" applyFont="1" applyBorder="1" applyAlignment="1">
      <alignment horizontal="center" vertical="center" wrapText="1"/>
    </xf>
    <xf numFmtId="0" fontId="5" fillId="0" borderId="3" xfId="0" applyNumberFormat="1" applyFont="1" applyBorder="1" applyAlignment="1">
      <alignment horizontal="left" vertical="center" wrapText="1"/>
    </xf>
    <xf numFmtId="0" fontId="5" fillId="0" borderId="3" xfId="0" applyNumberFormat="1" applyFont="1" applyBorder="1" applyAlignment="1">
      <alignment horizontal="center" vertical="center" wrapText="1"/>
    </xf>
    <xf numFmtId="0" fontId="28" fillId="0" borderId="0" xfId="0" applyNumberFormat="1" applyFont="1" applyAlignment="1">
      <alignment horizontal="center" vertical="center" wrapText="1"/>
    </xf>
    <xf numFmtId="0" fontId="28" fillId="0" borderId="3" xfId="0" applyNumberFormat="1" applyFont="1" applyBorder="1" applyAlignment="1">
      <alignment horizontal="center" vertical="center" wrapText="1"/>
    </xf>
    <xf numFmtId="0" fontId="5" fillId="12" borderId="3" xfId="0" applyNumberFormat="1" applyFont="1" applyFill="1" applyBorder="1" applyAlignment="1" applyProtection="1">
      <alignment horizontal="center" vertical="center" wrapText="1"/>
      <protection locked="0"/>
    </xf>
    <xf numFmtId="49" fontId="5" fillId="7" borderId="3" xfId="0" applyNumberFormat="1" applyFont="1" applyFill="1" applyBorder="1" applyAlignment="1">
      <alignment horizontal="center" vertical="center" wrapText="1"/>
    </xf>
    <xf numFmtId="0" fontId="0" fillId="0" borderId="3" xfId="0" applyNumberFormat="1" applyFont="1" applyBorder="1" applyAlignment="1">
      <alignment horizontal="left" vertical="top" wrapText="1"/>
    </xf>
    <xf numFmtId="14" fontId="5" fillId="13" borderId="3" xfId="0" applyNumberFormat="1" applyFont="1" applyFill="1" applyBorder="1" applyAlignment="1">
      <alignment horizontal="left" vertical="center" wrapText="1" indent="1"/>
    </xf>
    <xf numFmtId="49" fontId="106" fillId="0" borderId="3" xfId="0" applyNumberFormat="1" applyFont="1" applyBorder="1" applyAlignment="1">
      <alignment horizontal="left" vertical="center" wrapText="1" indent="1"/>
    </xf>
    <xf numFmtId="0" fontId="5" fillId="0" borderId="5" xfId="0" applyNumberFormat="1" applyFont="1" applyBorder="1" applyAlignment="1">
      <alignment horizontal="center" vertical="center" wrapText="1"/>
    </xf>
    <xf numFmtId="49" fontId="5" fillId="0" borderId="3" xfId="0" applyNumberFormat="1" applyFont="1" applyBorder="1" applyAlignment="1">
      <alignment horizontal="center" vertical="center" wrapText="1"/>
    </xf>
    <xf numFmtId="0" fontId="5" fillId="0" borderId="14" xfId="0" applyNumberFormat="1" applyFont="1" applyBorder="1" applyAlignment="1">
      <alignment horizontal="left" vertical="center" wrapText="1" indent="1"/>
    </xf>
    <xf numFmtId="0" fontId="5" fillId="7" borderId="3" xfId="0" applyNumberFormat="1" applyFont="1" applyFill="1" applyBorder="1" applyAlignment="1">
      <alignment horizontal="left" vertical="center" wrapText="1" indent="1"/>
    </xf>
    <xf numFmtId="0" fontId="29" fillId="0" borderId="0" xfId="0" applyNumberFormat="1" applyFont="1" applyAlignment="1">
      <alignment horizontal="center" vertical="center" wrapText="1"/>
    </xf>
    <xf numFmtId="169" fontId="5" fillId="0" borderId="14" xfId="0" applyNumberFormat="1" applyFont="1" applyBorder="1" applyAlignment="1">
      <alignment horizontal="center" vertical="center" wrapText="1"/>
    </xf>
    <xf numFmtId="0" fontId="5" fillId="0" borderId="0" xfId="0" applyNumberFormat="1" applyFont="1" applyAlignment="1">
      <alignment horizontal="right" vertical="center" wrapText="1"/>
    </xf>
    <xf numFmtId="0" fontId="5" fillId="8" borderId="3" xfId="0" applyNumberFormat="1" applyFont="1" applyFill="1" applyBorder="1" applyAlignment="1">
      <alignment vertical="top" wrapText="1"/>
    </xf>
    <xf numFmtId="0" fontId="5" fillId="8" borderId="3" xfId="0" applyNumberFormat="1" applyFont="1" applyFill="1" applyBorder="1" applyAlignment="1">
      <alignment horizontal="left" vertical="top" wrapText="1"/>
    </xf>
    <xf numFmtId="49" fontId="35" fillId="9" borderId="14" xfId="0" applyNumberFormat="1" applyFont="1" applyFill="1" applyBorder="1" applyAlignment="1" applyProtection="1">
      <alignment horizontal="left" vertical="center" wrapText="1"/>
      <protection locked="0"/>
    </xf>
    <xf numFmtId="49" fontId="0" fillId="10" borderId="20" xfId="0" applyNumberFormat="1" applyFont="1" applyFill="1" applyBorder="1" applyAlignment="1">
      <alignment horizontal="right" vertical="center" wrapText="1"/>
    </xf>
    <xf numFmtId="0" fontId="5" fillId="0" borderId="0" xfId="0" applyNumberFormat="1" applyFont="1" applyAlignment="1">
      <alignment horizontal="left" vertical="center" wrapText="1"/>
    </xf>
    <xf numFmtId="0" fontId="0" fillId="21" borderId="0" xfId="0" applyNumberFormat="1" applyFont="1" applyFill="1" applyAlignment="1">
      <alignment horizontal="right" vertical="top" wrapText="1"/>
    </xf>
    <xf numFmtId="0" fontId="5" fillId="0" borderId="0" xfId="0" applyNumberFormat="1" applyFont="1" applyAlignment="1">
      <alignment horizontal="left" vertical="top" wrapText="1"/>
    </xf>
    <xf numFmtId="14" fontId="5" fillId="0" borderId="14" xfId="0" applyNumberFormat="1" applyFont="1" applyBorder="1" applyAlignment="1">
      <alignment horizontal="left" vertical="center" wrapText="1" indent="1"/>
    </xf>
    <xf numFmtId="0" fontId="5" fillId="0" borderId="3" xfId="0" applyNumberFormat="1" applyFont="1" applyBorder="1" applyAlignment="1">
      <alignment horizontal="center" vertical="center" wrapText="1"/>
    </xf>
    <xf numFmtId="0" fontId="5" fillId="0" borderId="14" xfId="0" applyNumberFormat="1" applyFont="1" applyBorder="1" applyAlignment="1">
      <alignment horizontal="center" vertical="center" wrapText="1"/>
    </xf>
    <xf numFmtId="0" fontId="5" fillId="7" borderId="3" xfId="0" applyNumberFormat="1" applyFont="1" applyFill="1" applyBorder="1" applyAlignment="1">
      <alignment horizontal="left" vertical="center" wrapText="1" indent="1"/>
    </xf>
    <xf numFmtId="0" fontId="29" fillId="0" borderId="0" xfId="0" applyNumberFormat="1" applyFont="1" applyAlignment="1">
      <alignment horizontal="center" vertical="center" wrapText="1"/>
    </xf>
    <xf numFmtId="0" fontId="5" fillId="7" borderId="3" xfId="0" applyNumberFormat="1" applyFont="1" applyFill="1" applyBorder="1" applyAlignment="1">
      <alignment horizontal="left" vertical="center" wrapText="1"/>
    </xf>
    <xf numFmtId="169" fontId="5" fillId="0" borderId="3" xfId="0" applyNumberFormat="1" applyFont="1" applyBorder="1" applyAlignment="1">
      <alignment horizontal="center" vertical="center" wrapText="1"/>
    </xf>
    <xf numFmtId="0" fontId="5" fillId="0" borderId="5" xfId="0" applyNumberFormat="1" applyFont="1" applyBorder="1" applyAlignment="1">
      <alignment horizontal="center" vertical="center" wrapText="1"/>
    </xf>
    <xf numFmtId="0" fontId="29" fillId="0" borderId="0" xfId="0" applyNumberFormat="1" applyFont="1" applyAlignment="1">
      <alignment horizontal="center" vertical="center" wrapText="1"/>
    </xf>
    <xf numFmtId="49" fontId="5" fillId="12" borderId="3" xfId="0" applyNumberFormat="1" applyFont="1" applyFill="1" applyBorder="1" applyAlignment="1" applyProtection="1">
      <alignment horizontal="left" vertical="center" wrapText="1"/>
      <protection locked="0"/>
    </xf>
    <xf numFmtId="0" fontId="5" fillId="8" borderId="27" xfId="0" applyNumberFormat="1" applyFont="1" applyFill="1" applyBorder="1" applyAlignment="1">
      <alignment vertical="center" wrapText="1"/>
    </xf>
    <xf numFmtId="169" fontId="26" fillId="0" borderId="10" xfId="0" applyNumberFormat="1" applyFont="1" applyBorder="1" applyAlignment="1">
      <alignment horizontal="center" vertical="center" wrapText="1"/>
    </xf>
    <xf numFmtId="169" fontId="26" fillId="0" borderId="11" xfId="0" applyNumberFormat="1" applyFont="1" applyBorder="1" applyAlignment="1">
      <alignment horizontal="center" vertical="center" wrapText="1"/>
    </xf>
    <xf numFmtId="170" fontId="5" fillId="12" borderId="3" xfId="0" applyNumberFormat="1" applyFont="1" applyFill="1" applyBorder="1" applyAlignment="1" applyProtection="1">
      <alignment horizontal="left" vertical="center" wrapText="1" indent="1"/>
      <protection locked="0"/>
    </xf>
    <xf numFmtId="168" fontId="0" fillId="12" borderId="6" xfId="0" applyNumberFormat="1" applyFont="1" applyFill="1" applyBorder="1" applyAlignment="1" applyProtection="1">
      <alignment horizontal="left" vertical="center" wrapText="1" indent="1"/>
      <protection locked="0"/>
    </xf>
    <xf numFmtId="49" fontId="5" fillId="12" borderId="18" xfId="0" applyNumberFormat="1" applyFont="1" applyFill="1" applyBorder="1" applyAlignment="1" applyProtection="1">
      <alignment horizontal="left" vertical="center" wrapText="1"/>
      <protection locked="0"/>
    </xf>
    <xf numFmtId="49" fontId="5" fillId="12" borderId="21" xfId="0" applyNumberFormat="1" applyFont="1" applyFill="1" applyBorder="1" applyAlignment="1" applyProtection="1">
      <alignment horizontal="left" vertical="center" wrapText="1"/>
      <protection locked="0"/>
    </xf>
    <xf numFmtId="49" fontId="35" fillId="10" borderId="20" xfId="0" applyNumberFormat="1" applyFont="1" applyFill="1" applyBorder="1" applyAlignment="1">
      <alignment horizontal="left" vertical="center" wrapText="1"/>
    </xf>
    <xf numFmtId="0" fontId="5" fillId="12" borderId="3" xfId="0" applyNumberFormat="1" applyFont="1" applyFill="1" applyBorder="1" applyAlignment="1" applyProtection="1">
      <alignment horizontal="left" vertical="top" wrapText="1" indent="1"/>
      <protection locked="0"/>
    </xf>
    <xf numFmtId="0" fontId="5" fillId="0" borderId="6" xfId="0" applyNumberFormat="1" applyFont="1" applyBorder="1" applyAlignment="1">
      <alignment horizontal="center" vertical="center" wrapText="1"/>
    </xf>
    <xf numFmtId="0" fontId="29" fillId="0" borderId="0" xfId="0" applyNumberFormat="1" applyFont="1" applyAlignment="1">
      <alignment horizontal="center" vertical="center" wrapText="1"/>
    </xf>
    <xf numFmtId="0" fontId="5" fillId="8" borderId="13" xfId="0" applyNumberFormat="1" applyFont="1" applyFill="1" applyBorder="1" applyAlignment="1">
      <alignment vertical="center" wrapText="1"/>
    </xf>
    <xf numFmtId="0" fontId="17" fillId="0" borderId="0" xfId="13" applyNumberFormat="1" applyFont="1" applyAlignment="1">
      <alignment horizontal="center" vertical="center" wrapText="1"/>
    </xf>
    <xf numFmtId="0" fontId="17" fillId="0" borderId="3" xfId="13" applyNumberFormat="1" applyFont="1" applyBorder="1" applyAlignment="1">
      <alignment horizontal="center" vertical="center" wrapText="1"/>
    </xf>
    <xf numFmtId="0" fontId="5" fillId="0" borderId="3" xfId="0" applyNumberFormat="1" applyFont="1" applyBorder="1" applyAlignment="1">
      <alignment horizontal="left" vertical="top" wrapText="1"/>
    </xf>
    <xf numFmtId="49" fontId="5" fillId="0" borderId="10" xfId="0" applyNumberFormat="1" applyFont="1" applyBorder="1" applyAlignment="1">
      <alignment horizontal="center" vertical="center" wrapText="1"/>
    </xf>
    <xf numFmtId="49" fontId="5" fillId="0" borderId="0" xfId="0" applyNumberFormat="1" applyFont="1" applyAlignment="1">
      <alignment horizontal="center" vertical="center" wrapText="1"/>
    </xf>
    <xf numFmtId="49" fontId="0" fillId="0" borderId="10" xfId="0" applyNumberFormat="1" applyFont="1" applyBorder="1" applyAlignment="1">
      <alignment horizontal="left" vertical="center" wrapText="1"/>
    </xf>
    <xf numFmtId="0" fontId="21" fillId="0" borderId="0" xfId="0" applyNumberFormat="1" applyFont="1" applyAlignment="1">
      <alignment horizontal="left" vertical="center"/>
    </xf>
    <xf numFmtId="0" fontId="21" fillId="0" borderId="15" xfId="0" applyNumberFormat="1" applyFont="1" applyBorder="1" applyAlignment="1">
      <alignment horizontal="left" vertical="center"/>
    </xf>
    <xf numFmtId="0" fontId="21" fillId="0" borderId="18" xfId="0" applyNumberFormat="1" applyFont="1" applyBorder="1" applyAlignment="1">
      <alignment horizontal="left" vertical="center"/>
    </xf>
    <xf numFmtId="0" fontId="21" fillId="0" borderId="20" xfId="0" applyNumberFormat="1" applyFont="1" applyBorder="1" applyAlignment="1">
      <alignment horizontal="left" vertical="center"/>
    </xf>
    <xf numFmtId="0" fontId="0" fillId="0" borderId="3" xfId="0" applyNumberFormat="1" applyFont="1" applyBorder="1" applyAlignment="1">
      <alignment horizontal="center" vertical="center" wrapText="1"/>
    </xf>
    <xf numFmtId="0" fontId="5" fillId="0" borderId="0" xfId="0" applyNumberFormat="1" applyFont="1" applyAlignment="1">
      <alignment horizontal="center" vertical="center" wrapText="1"/>
    </xf>
    <xf numFmtId="0" fontId="5" fillId="0" borderId="0" xfId="0" applyNumberFormat="1" applyFont="1" applyAlignment="1">
      <alignment horizontal="center" vertical="center" wrapText="1"/>
    </xf>
    <xf numFmtId="0" fontId="5" fillId="0" borderId="3" xfId="0" applyNumberFormat="1" applyFont="1" applyBorder="1" applyAlignment="1">
      <alignment horizontal="center" vertical="center" wrapText="1"/>
    </xf>
    <xf numFmtId="49" fontId="5" fillId="13" borderId="3" xfId="0" applyNumberFormat="1" applyFont="1" applyFill="1" applyBorder="1" applyAlignment="1">
      <alignment horizontal="center" vertical="center" wrapText="1"/>
    </xf>
    <xf numFmtId="49" fontId="5" fillId="0" borderId="10" xfId="0" applyNumberFormat="1" applyFont="1" applyBorder="1" applyAlignment="1">
      <alignment horizontal="center" vertical="center" wrapText="1"/>
    </xf>
    <xf numFmtId="49" fontId="5" fillId="0" borderId="0" xfId="0" applyNumberFormat="1" applyFont="1" applyAlignment="1">
      <alignment horizontal="center" vertical="center" wrapText="1"/>
    </xf>
    <xf numFmtId="49" fontId="0" fillId="0" borderId="10" xfId="0" applyNumberFormat="1" applyFont="1" applyBorder="1" applyAlignment="1">
      <alignment horizontal="left" vertical="center" wrapText="1"/>
    </xf>
    <xf numFmtId="0" fontId="21" fillId="0" borderId="18" xfId="0" applyNumberFormat="1" applyFont="1" applyBorder="1" applyAlignment="1">
      <alignment horizontal="left" vertical="center"/>
    </xf>
    <xf numFmtId="0" fontId="21" fillId="0" borderId="20" xfId="0" applyNumberFormat="1" applyFont="1" applyBorder="1" applyAlignment="1">
      <alignment horizontal="left" vertical="center"/>
    </xf>
    <xf numFmtId="0" fontId="21" fillId="0" borderId="0" xfId="0" applyNumberFormat="1" applyFont="1" applyAlignment="1">
      <alignment horizontal="left" vertical="center"/>
    </xf>
    <xf numFmtId="0" fontId="21" fillId="0" borderId="15" xfId="0" applyNumberFormat="1" applyFont="1" applyBorder="1" applyAlignment="1">
      <alignment horizontal="left" vertical="center"/>
    </xf>
    <xf numFmtId="0" fontId="5" fillId="8" borderId="3" xfId="0" applyNumberFormat="1" applyFont="1" applyFill="1" applyBorder="1" applyAlignment="1">
      <alignment horizontal="center" vertical="center" wrapText="1"/>
    </xf>
    <xf numFmtId="0" fontId="28" fillId="0" borderId="0" xfId="0" applyNumberFormat="1" applyFont="1" applyAlignment="1">
      <alignment horizontal="center" vertical="center" wrapText="1"/>
    </xf>
    <xf numFmtId="0" fontId="5" fillId="7" borderId="6" xfId="0" applyNumberFormat="1" applyFont="1" applyFill="1" applyBorder="1" applyAlignment="1">
      <alignment horizontal="left" vertical="center" wrapText="1"/>
    </xf>
    <xf numFmtId="0" fontId="5" fillId="0" borderId="0" xfId="0" applyNumberFormat="1" applyFont="1" applyAlignment="1">
      <alignment horizontal="left" vertical="top" wrapText="1"/>
    </xf>
    <xf numFmtId="0" fontId="29" fillId="0" borderId="0" xfId="0" applyNumberFormat="1" applyFont="1" applyAlignment="1">
      <alignment horizontal="center" vertical="center" wrapText="1"/>
    </xf>
    <xf numFmtId="168" fontId="0" fillId="12" borderId="3" xfId="0" applyNumberFormat="1" applyFont="1" applyFill="1" applyBorder="1" applyAlignment="1" applyProtection="1">
      <alignment horizontal="center" vertical="center" wrapText="1"/>
      <protection locked="0"/>
    </xf>
    <xf numFmtId="0" fontId="62" fillId="8" borderId="10" xfId="0" applyNumberFormat="1" applyFont="1" applyFill="1" applyBorder="1" applyAlignment="1">
      <alignment horizontal="center" vertical="center" wrapText="1"/>
    </xf>
    <xf numFmtId="0" fontId="18" fillId="0" borderId="18" xfId="0" applyNumberFormat="1" applyFont="1" applyBorder="1" applyAlignment="1">
      <alignment horizontal="center" vertical="center" wrapText="1"/>
    </xf>
    <xf numFmtId="0" fontId="5" fillId="8" borderId="3" xfId="0" applyNumberFormat="1" applyFont="1" applyFill="1" applyBorder="1" applyAlignment="1">
      <alignment horizontal="left" vertical="center" wrapText="1"/>
    </xf>
    <xf numFmtId="0" fontId="5" fillId="8" borderId="14" xfId="0" applyNumberFormat="1" applyFont="1" applyFill="1" applyBorder="1" applyAlignment="1">
      <alignment horizontal="center" vertical="center" wrapText="1"/>
    </xf>
    <xf numFmtId="0" fontId="29" fillId="0" borderId="6" xfId="0" applyNumberFormat="1" applyFont="1" applyBorder="1" applyAlignment="1">
      <alignment horizontal="left" vertical="center" wrapText="1"/>
    </xf>
    <xf numFmtId="49" fontId="5" fillId="12" borderId="8" xfId="0" applyNumberFormat="1" applyFont="1" applyFill="1" applyBorder="1" applyAlignment="1" applyProtection="1">
      <alignment horizontal="left" vertical="center" wrapText="1" indent="6"/>
      <protection locked="0"/>
    </xf>
    <xf numFmtId="0" fontId="5" fillId="8" borderId="8" xfId="0" applyNumberFormat="1" applyFont="1" applyFill="1" applyBorder="1" applyAlignment="1">
      <alignment horizontal="left" vertical="center" wrapText="1"/>
    </xf>
    <xf numFmtId="4" fontId="5" fillId="12" borderId="3" xfId="0" applyNumberFormat="1" applyFont="1" applyFill="1" applyBorder="1" applyAlignment="1" applyProtection="1">
      <alignment horizontal="left" vertical="center" wrapText="1" indent="1"/>
      <protection locked="0"/>
    </xf>
    <xf numFmtId="49" fontId="5" fillId="9" borderId="8" xfId="0" applyNumberFormat="1" applyFont="1" applyFill="1" applyBorder="1" applyAlignment="1" applyProtection="1">
      <alignment horizontal="left" vertical="center" wrapText="1" indent="6"/>
      <protection locked="0"/>
    </xf>
    <xf numFmtId="49" fontId="5" fillId="0" borderId="0" xfId="0" applyNumberFormat="1" applyFont="1" applyAlignment="1">
      <alignment vertical="center" wrapText="1"/>
    </xf>
    <xf numFmtId="49" fontId="29" fillId="0" borderId="3" xfId="0" applyNumberFormat="1" applyFont="1" applyBorder="1" applyAlignment="1">
      <alignment horizontal="center" vertical="center" wrapText="1"/>
    </xf>
    <xf numFmtId="49" fontId="5" fillId="0" borderId="3" xfId="0" applyNumberFormat="1" applyFont="1" applyBorder="1" applyAlignment="1">
      <alignment horizontal="left" vertical="center" wrapText="1"/>
    </xf>
    <xf numFmtId="0" fontId="5" fillId="8" borderId="20" xfId="0" applyNumberFormat="1" applyFont="1" applyFill="1" applyBorder="1" applyAlignment="1">
      <alignment horizontal="center" vertical="center" wrapText="1"/>
    </xf>
    <xf numFmtId="0" fontId="28" fillId="0" borderId="0" xfId="0" applyNumberFormat="1" applyFont="1" applyAlignment="1">
      <alignment horizontal="center" vertical="center" wrapText="1"/>
    </xf>
    <xf numFmtId="0" fontId="5" fillId="0" borderId="0" xfId="0" applyNumberFormat="1" applyFont="1" applyAlignment="1">
      <alignment horizontal="right" vertical="center" wrapText="1"/>
    </xf>
    <xf numFmtId="0" fontId="5" fillId="0" borderId="0" xfId="0" applyNumberFormat="1" applyFont="1" applyAlignment="1">
      <alignment horizontal="left" vertical="center"/>
    </xf>
    <xf numFmtId="49" fontId="5" fillId="0" borderId="0" xfId="0" applyNumberFormat="1" applyFont="1" applyAlignment="1">
      <alignment horizontal="left" vertical="center"/>
    </xf>
    <xf numFmtId="0" fontId="5" fillId="0" borderId="0" xfId="0" applyNumberFormat="1" applyFont="1" applyAlignment="1">
      <alignment horizontal="left" vertical="center"/>
    </xf>
    <xf numFmtId="0" fontId="5" fillId="0" borderId="0" xfId="0" applyNumberFormat="1" applyFont="1" applyAlignment="1">
      <alignment horizontal="left" vertical="center" indent="1"/>
    </xf>
    <xf numFmtId="49" fontId="5" fillId="0" borderId="0" xfId="0" applyNumberFormat="1" applyFont="1" applyAlignment="1">
      <alignment horizontal="left" vertical="center"/>
    </xf>
    <xf numFmtId="0" fontId="0" fillId="0" borderId="3" xfId="0" applyNumberFormat="1" applyFont="1" applyBorder="1" applyAlignment="1">
      <alignment horizontal="center" vertical="center" wrapText="1"/>
    </xf>
    <xf numFmtId="49" fontId="0" fillId="12" borderId="3" xfId="0" applyNumberFormat="1" applyFont="1" applyFill="1" applyBorder="1" applyAlignment="1" applyProtection="1">
      <alignment horizontal="left" vertical="center" wrapText="1"/>
      <protection locked="0"/>
    </xf>
    <xf numFmtId="49" fontId="5" fillId="8" borderId="0" xfId="0" applyNumberFormat="1" applyFont="1" applyFill="1" applyAlignment="1">
      <alignment vertical="center" wrapText="1"/>
    </xf>
    <xf numFmtId="0" fontId="62" fillId="8" borderId="10" xfId="0" applyNumberFormat="1" applyFont="1" applyFill="1" applyBorder="1" applyAlignment="1">
      <alignment horizontal="center" vertical="center" wrapText="1"/>
    </xf>
    <xf numFmtId="0" fontId="28" fillId="0" borderId="0" xfId="0" applyNumberFormat="1" applyFont="1" applyAlignment="1">
      <alignment horizontal="center" vertical="center" wrapText="1"/>
    </xf>
    <xf numFmtId="49" fontId="5" fillId="0" borderId="0" xfId="0" applyNumberFormat="1" applyFont="1" applyAlignment="1">
      <alignment vertical="center" wrapText="1"/>
    </xf>
    <xf numFmtId="49" fontId="5" fillId="9" borderId="3" xfId="0" applyNumberFormat="1" applyFont="1" applyFill="1" applyBorder="1" applyAlignment="1" applyProtection="1">
      <alignment horizontal="left" vertical="center" indent="1"/>
      <protection locked="0"/>
    </xf>
    <xf numFmtId="49" fontId="5" fillId="8" borderId="3" xfId="11" applyNumberFormat="1" applyFont="1" applyFill="1" applyBorder="1" applyAlignment="1">
      <alignment horizontal="center" vertical="center" wrapText="1"/>
    </xf>
    <xf numFmtId="14" fontId="5" fillId="12" borderId="5" xfId="0" applyNumberFormat="1" applyFont="1" applyFill="1" applyBorder="1" applyAlignment="1" applyProtection="1">
      <alignment horizontal="left" vertical="center" wrapText="1" indent="1"/>
      <protection locked="0"/>
    </xf>
    <xf numFmtId="0" fontId="28" fillId="0" borderId="27" xfId="0" applyNumberFormat="1" applyFont="1" applyBorder="1" applyAlignment="1">
      <alignment horizontal="left" vertical="center" wrapText="1" indent="1"/>
    </xf>
    <xf numFmtId="49" fontId="87" fillId="10" borderId="33" xfId="0" applyNumberFormat="1" applyFont="1" applyFill="1" applyBorder="1" applyAlignment="1">
      <alignment horizontal="left" vertical="center" indent="1"/>
    </xf>
    <xf numFmtId="14" fontId="5" fillId="13" borderId="13" xfId="0" applyNumberFormat="1" applyFont="1" applyFill="1" applyBorder="1" applyAlignment="1">
      <alignment horizontal="left" vertical="center" wrapText="1" indent="1"/>
    </xf>
    <xf numFmtId="0" fontId="5" fillId="0" borderId="13" xfId="0" applyNumberFormat="1" applyFont="1" applyBorder="1" applyAlignment="1">
      <alignment vertical="center" wrapText="1"/>
    </xf>
    <xf numFmtId="0" fontId="0" fillId="0" borderId="4" xfId="0" applyNumberFormat="1" applyFont="1" applyBorder="1" applyAlignment="1">
      <alignment horizontal="center" vertical="center" wrapText="1"/>
    </xf>
    <xf numFmtId="49" fontId="5" fillId="13" borderId="3" xfId="0" applyNumberFormat="1" applyFont="1" applyFill="1" applyBorder="1" applyAlignment="1">
      <alignment horizontal="center" vertical="center" wrapText="1"/>
    </xf>
    <xf numFmtId="0" fontId="5" fillId="0" borderId="3" xfId="0" applyNumberFormat="1" applyFont="1" applyBorder="1" applyAlignment="1">
      <alignment horizontal="center" vertical="center" wrapText="1"/>
    </xf>
    <xf numFmtId="168" fontId="0" fillId="12" borderId="3" xfId="0" applyNumberFormat="1" applyFont="1" applyFill="1" applyBorder="1" applyAlignment="1" applyProtection="1">
      <alignment horizontal="center" vertical="center" wrapText="1"/>
      <protection locked="0"/>
    </xf>
    <xf numFmtId="0" fontId="5" fillId="8" borderId="8" xfId="0" applyNumberFormat="1" applyFont="1" applyFill="1" applyBorder="1" applyAlignment="1">
      <alignment horizontal="left" vertical="center" wrapText="1"/>
    </xf>
    <xf numFmtId="49" fontId="5" fillId="12" borderId="8" xfId="0" applyNumberFormat="1" applyFont="1" applyFill="1" applyBorder="1" applyAlignment="1" applyProtection="1">
      <alignment horizontal="left" vertical="center" wrapText="1" indent="6"/>
      <protection locked="0"/>
    </xf>
    <xf numFmtId="0" fontId="29" fillId="0" borderId="15" xfId="0" applyNumberFormat="1" applyFont="1" applyBorder="1" applyAlignment="1">
      <alignment horizontal="center" vertical="top" wrapText="1"/>
    </xf>
    <xf numFmtId="49" fontId="5" fillId="9" borderId="8" xfId="0" applyNumberFormat="1" applyFont="1" applyFill="1" applyBorder="1" applyAlignment="1" applyProtection="1">
      <alignment horizontal="left" vertical="center" wrapText="1" indent="6"/>
      <protection locked="0"/>
    </xf>
    <xf numFmtId="4" fontId="5" fillId="12" borderId="3" xfId="0" applyNumberFormat="1" applyFont="1" applyFill="1" applyBorder="1" applyAlignment="1" applyProtection="1">
      <alignment horizontal="left" vertical="center" wrapText="1" indent="1"/>
      <protection locked="0"/>
    </xf>
    <xf numFmtId="49" fontId="5" fillId="0" borderId="10" xfId="0" applyNumberFormat="1" applyFont="1" applyBorder="1" applyAlignment="1">
      <alignment horizontal="center" vertical="center" wrapText="1"/>
    </xf>
    <xf numFmtId="49" fontId="5" fillId="0" borderId="0" xfId="0" applyNumberFormat="1" applyFont="1" applyAlignment="1">
      <alignment horizontal="center" vertical="center" wrapText="1"/>
    </xf>
    <xf numFmtId="49" fontId="0" fillId="0" borderId="10" xfId="0" applyNumberFormat="1" applyFont="1" applyBorder="1" applyAlignment="1">
      <alignment horizontal="left" vertical="center" wrapText="1"/>
    </xf>
    <xf numFmtId="0" fontId="21" fillId="0" borderId="18" xfId="0" applyNumberFormat="1" applyFont="1" applyBorder="1" applyAlignment="1">
      <alignment horizontal="left" vertical="center"/>
    </xf>
    <xf numFmtId="0" fontId="21" fillId="0" borderId="20" xfId="0" applyNumberFormat="1" applyFont="1" applyBorder="1" applyAlignment="1">
      <alignment horizontal="left" vertical="center"/>
    </xf>
    <xf numFmtId="0" fontId="21" fillId="0" borderId="0" xfId="0" applyNumberFormat="1" applyFont="1" applyAlignment="1">
      <alignment horizontal="left" vertical="center"/>
    </xf>
    <xf numFmtId="0" fontId="21" fillId="0" borderId="15" xfId="0" applyNumberFormat="1" applyFont="1" applyBorder="1" applyAlignment="1">
      <alignment horizontal="left" vertical="center"/>
    </xf>
    <xf numFmtId="49" fontId="13" fillId="20" borderId="0" xfId="0" applyNumberFormat="1" applyFont="1" applyFill="1" applyAlignment="1">
      <alignment horizontal="center" vertical="center" wrapText="1"/>
    </xf>
    <xf numFmtId="0" fontId="29" fillId="0" borderId="0" xfId="0" applyNumberFormat="1" applyFont="1" applyAlignment="1">
      <alignment horizontal="center" vertical="center" wrapText="1"/>
    </xf>
    <xf numFmtId="0" fontId="5" fillId="8" borderId="3" xfId="0" applyNumberFormat="1" applyFont="1" applyFill="1" applyBorder="1" applyAlignment="1">
      <alignment horizontal="left" vertical="center" wrapText="1"/>
    </xf>
    <xf numFmtId="0" fontId="5" fillId="8" borderId="8" xfId="0" applyNumberFormat="1" applyFont="1" applyFill="1" applyBorder="1" applyAlignment="1">
      <alignment horizontal="left" vertical="center" wrapText="1"/>
    </xf>
    <xf numFmtId="0" fontId="5" fillId="8" borderId="14" xfId="0" applyNumberFormat="1" applyFont="1" applyFill="1" applyBorder="1" applyAlignment="1">
      <alignment horizontal="left" vertical="center" wrapText="1"/>
    </xf>
    <xf numFmtId="0" fontId="26" fillId="0" borderId="4" xfId="0" applyNumberFormat="1" applyFont="1" applyBorder="1" applyAlignment="1">
      <alignment vertical="top" wrapText="1"/>
    </xf>
    <xf numFmtId="0" fontId="29" fillId="0" borderId="4" xfId="0" applyNumberFormat="1" applyFont="1" applyBorder="1" applyAlignment="1">
      <alignment vertical="top" wrapText="1"/>
    </xf>
    <xf numFmtId="0" fontId="5" fillId="8" borderId="8" xfId="0" applyNumberFormat="1" applyFont="1" applyFill="1" applyBorder="1" applyAlignment="1">
      <alignment horizontal="left" vertical="center" wrapText="1" indent="2"/>
    </xf>
    <xf numFmtId="0" fontId="5" fillId="0" borderId="8" xfId="0" applyNumberFormat="1" applyFont="1" applyBorder="1" applyAlignment="1">
      <alignment horizontal="left" vertical="center" wrapText="1" indent="6"/>
    </xf>
    <xf numFmtId="0" fontId="5" fillId="13" borderId="14" xfId="0" applyNumberFormat="1" applyFont="1" applyFill="1" applyBorder="1" applyAlignment="1">
      <alignment horizontal="left" vertical="center" wrapText="1" indent="6"/>
    </xf>
    <xf numFmtId="0" fontId="5" fillId="0" borderId="14" xfId="0" applyNumberFormat="1" applyFont="1" applyBorder="1" applyAlignment="1">
      <alignment horizontal="left" vertical="center" wrapText="1" indent="6"/>
    </xf>
    <xf numFmtId="4" fontId="5" fillId="9" borderId="14" xfId="0" applyNumberFormat="1" applyFont="1" applyFill="1" applyBorder="1" applyAlignment="1" applyProtection="1">
      <alignment horizontal="right" vertical="center" wrapText="1"/>
      <protection locked="0"/>
    </xf>
    <xf numFmtId="166" fontId="5" fillId="9" borderId="14" xfId="0" applyNumberFormat="1" applyFont="1" applyFill="1" applyBorder="1" applyAlignment="1" applyProtection="1">
      <alignment horizontal="right" vertical="center" wrapText="1"/>
      <protection locked="0"/>
    </xf>
    <xf numFmtId="0" fontId="5" fillId="0" borderId="6" xfId="0" applyNumberFormat="1" applyFont="1" applyBorder="1" applyAlignment="1">
      <alignment horizontal="center" vertical="center" wrapText="1"/>
    </xf>
    <xf numFmtId="0" fontId="5" fillId="0" borderId="4" xfId="0" applyNumberFormat="1" applyFont="1" applyBorder="1" applyAlignment="1">
      <alignment horizontal="center" vertical="center" wrapText="1"/>
    </xf>
    <xf numFmtId="0" fontId="5" fillId="0" borderId="3" xfId="0" applyNumberFormat="1" applyFont="1" applyBorder="1" applyAlignment="1">
      <alignment horizontal="center" vertical="center" wrapText="1"/>
    </xf>
    <xf numFmtId="49" fontId="5" fillId="0" borderId="0" xfId="0" applyNumberFormat="1" applyFont="1" applyAlignment="1">
      <alignment horizontal="center" vertical="center" wrapText="1"/>
    </xf>
    <xf numFmtId="0" fontId="5" fillId="0" borderId="3" xfId="0" applyNumberFormat="1" applyFont="1" applyBorder="1" applyAlignment="1">
      <alignment horizontal="left" vertical="center" wrapText="1"/>
    </xf>
    <xf numFmtId="0" fontId="5" fillId="0" borderId="28" xfId="0" applyNumberFormat="1" applyFont="1" applyBorder="1" applyAlignment="1">
      <alignment horizontal="center" vertical="center" wrapText="1"/>
    </xf>
    <xf numFmtId="49" fontId="0" fillId="8" borderId="3" xfId="0" applyNumberFormat="1" applyFont="1" applyFill="1" applyBorder="1" applyAlignment="1">
      <alignment horizontal="center" vertical="center" wrapText="1"/>
    </xf>
    <xf numFmtId="0" fontId="5" fillId="8" borderId="3" xfId="0" applyNumberFormat="1" applyFont="1" applyFill="1" applyBorder="1" applyAlignment="1">
      <alignment horizontal="center" vertical="center" wrapText="1"/>
    </xf>
    <xf numFmtId="0" fontId="0" fillId="0" borderId="3" xfId="0" applyNumberFormat="1" applyFont="1" applyBorder="1" applyAlignment="1">
      <alignment horizontal="center" vertical="center" wrapText="1"/>
    </xf>
    <xf numFmtId="0" fontId="5" fillId="0" borderId="6" xfId="0" applyNumberFormat="1" applyFont="1" applyBorder="1" applyAlignment="1">
      <alignment horizontal="right" vertical="center" wrapText="1" indent="1"/>
    </xf>
    <xf numFmtId="0" fontId="5" fillId="0" borderId="0" xfId="0" applyNumberFormat="1" applyFont="1" applyAlignment="1">
      <alignment horizontal="left" vertical="top" wrapText="1"/>
    </xf>
    <xf numFmtId="0" fontId="5" fillId="7" borderId="5" xfId="0" applyNumberFormat="1" applyFont="1" applyFill="1" applyBorder="1" applyAlignment="1">
      <alignment horizontal="left" vertical="top" wrapText="1"/>
    </xf>
    <xf numFmtId="49" fontId="5" fillId="0" borderId="0" xfId="0" applyNumberFormat="1" applyFont="1" applyAlignment="1">
      <alignment vertical="center" wrapText="1"/>
    </xf>
    <xf numFmtId="0" fontId="0" fillId="0" borderId="3" xfId="0" applyNumberFormat="1" applyFont="1" applyBorder="1" applyAlignment="1">
      <alignment horizontal="left" vertical="center" wrapText="1"/>
    </xf>
    <xf numFmtId="49" fontId="5" fillId="0" borderId="3" xfId="0" applyNumberFormat="1" applyFont="1" applyBorder="1" applyAlignment="1">
      <alignment horizontal="center" vertical="center" wrapText="1"/>
    </xf>
    <xf numFmtId="0" fontId="5" fillId="0" borderId="3" xfId="0" applyNumberFormat="1" applyFont="1" applyBorder="1" applyAlignment="1">
      <alignment horizontal="left" vertical="center" wrapText="1"/>
    </xf>
    <xf numFmtId="0" fontId="5" fillId="0" borderId="8" xfId="0" applyNumberFormat="1" applyFont="1" applyBorder="1" applyAlignment="1">
      <alignment horizontal="left" vertical="center" wrapText="1"/>
    </xf>
    <xf numFmtId="49" fontId="76" fillId="0" borderId="34" xfId="0" applyNumberFormat="1" applyFont="1" applyBorder="1" applyAlignment="1">
      <alignment horizontal="center" vertical="center"/>
    </xf>
    <xf numFmtId="49" fontId="76" fillId="0" borderId="34" xfId="0" applyNumberFormat="1" applyFont="1" applyBorder="1" applyAlignment="1">
      <alignment horizontal="left" vertical="center" indent="1"/>
    </xf>
    <xf numFmtId="49" fontId="76" fillId="0" borderId="5" xfId="0" applyNumberFormat="1" applyFont="1" applyBorder="1" applyAlignment="1">
      <alignment horizontal="left" vertical="center" indent="1"/>
    </xf>
    <xf numFmtId="49" fontId="76" fillId="0" borderId="6" xfId="0" applyNumberFormat="1" applyFont="1" applyBorder="1" applyAlignment="1">
      <alignment horizontal="left" vertical="center" indent="1"/>
    </xf>
    <xf numFmtId="49" fontId="76" fillId="0" borderId="6" xfId="0" applyNumberFormat="1" applyFont="1" applyBorder="1" applyAlignment="1">
      <alignment vertical="top" wrapText="1"/>
    </xf>
    <xf numFmtId="49" fontId="76" fillId="0" borderId="4" xfId="0" applyNumberFormat="1" applyFont="1" applyBorder="1" applyAlignment="1">
      <alignment vertical="top" wrapText="1"/>
    </xf>
    <xf numFmtId="49" fontId="107" fillId="0" borderId="0" xfId="0" applyNumberFormat="1" applyFont="1" applyAlignment="1">
      <alignment horizontal="center" vertical="top" wrapText="1"/>
    </xf>
    <xf numFmtId="0" fontId="76" fillId="0" borderId="3" xfId="0" applyNumberFormat="1" applyFont="1" applyBorder="1" applyAlignment="1">
      <alignment horizontal="center" vertical="center"/>
    </xf>
    <xf numFmtId="0" fontId="76" fillId="0" borderId="3" xfId="0" applyNumberFormat="1" applyFont="1" applyBorder="1" applyAlignment="1">
      <alignment horizontal="left" vertical="center" wrapText="1" indent="1"/>
    </xf>
    <xf numFmtId="4" fontId="28" fillId="0" borderId="22" xfId="0" applyNumberFormat="1" applyFont="1" applyBorder="1" applyAlignment="1">
      <alignment horizontal="right" vertical="center" wrapText="1"/>
    </xf>
    <xf numFmtId="49" fontId="28" fillId="0" borderId="6" xfId="0" applyNumberFormat="1" applyFont="1" applyBorder="1" applyAlignment="1">
      <alignment horizontal="left" vertical="center" indent="1"/>
    </xf>
    <xf numFmtId="49" fontId="76" fillId="0" borderId="43" xfId="0" applyNumberFormat="1" applyFont="1" applyBorder="1" applyAlignment="1">
      <alignment vertical="top" wrapText="1"/>
    </xf>
    <xf numFmtId="49" fontId="76" fillId="0" borderId="43" xfId="0" applyNumberFormat="1" applyFont="1" applyBorder="1" applyAlignment="1">
      <alignment horizontal="left" vertical="center" indent="1"/>
    </xf>
    <xf numFmtId="49" fontId="0" fillId="13" borderId="27" xfId="0" applyNumberFormat="1" applyFont="1" applyFill="1" applyBorder="1" applyAlignment="1">
      <alignment horizontal="left" vertical="center" wrapText="1"/>
    </xf>
    <xf numFmtId="49" fontId="5" fillId="0" borderId="3" xfId="0" applyNumberFormat="1" applyFont="1" applyBorder="1" applyAlignment="1">
      <alignment horizontal="center" vertical="center" wrapText="1"/>
    </xf>
    <xf numFmtId="49" fontId="108" fillId="0" borderId="3" xfId="0" applyNumberFormat="1" applyFont="1" applyBorder="1" applyAlignment="1">
      <alignment horizontal="center" vertical="center" wrapText="1"/>
    </xf>
    <xf numFmtId="49" fontId="108" fillId="0" borderId="8" xfId="0" applyNumberFormat="1" applyFont="1" applyBorder="1" applyAlignment="1">
      <alignment horizontal="center" vertical="center" wrapText="1"/>
    </xf>
    <xf numFmtId="0" fontId="5" fillId="27" borderId="3" xfId="12" applyFont="1" applyFill="1" applyBorder="1" applyAlignment="1">
      <alignment vertical="center"/>
    </xf>
    <xf numFmtId="0" fontId="28" fillId="28" borderId="3" xfId="0" applyNumberFormat="1" applyFont="1" applyFill="1" applyBorder="1" applyAlignment="1">
      <alignment horizontal="left" vertical="center" wrapText="1"/>
    </xf>
    <xf numFmtId="0" fontId="73" fillId="0" borderId="0" xfId="0" applyNumberFormat="1" applyFont="1" applyAlignment="1">
      <alignment horizontal="center" vertical="center" wrapText="1"/>
    </xf>
    <xf numFmtId="49" fontId="5" fillId="0" borderId="0" xfId="0" applyNumberFormat="1" applyFont="1" applyAlignment="1">
      <alignment vertical="center" wrapText="1"/>
    </xf>
    <xf numFmtId="49" fontId="0" fillId="4" borderId="3" xfId="0" applyNumberFormat="1" applyFont="1" applyFill="1" applyBorder="1" applyAlignment="1">
      <alignment horizontal="center" vertical="center" wrapText="1"/>
    </xf>
    <xf numFmtId="49" fontId="5" fillId="0" borderId="0" xfId="0" applyNumberFormat="1" applyFont="1" applyAlignment="1">
      <alignment vertical="center" wrapText="1"/>
    </xf>
    <xf numFmtId="49" fontId="0" fillId="4" borderId="3" xfId="0" applyNumberFormat="1" applyFont="1" applyFill="1" applyBorder="1" applyAlignment="1">
      <alignment horizontal="center" vertical="center" wrapText="1"/>
    </xf>
    <xf numFmtId="49" fontId="17" fillId="0" borderId="0" xfId="0" applyNumberFormat="1" applyFont="1" applyAlignment="1">
      <alignment horizontal="center" vertical="center" wrapText="1"/>
    </xf>
    <xf numFmtId="0" fontId="5" fillId="0" borderId="5" xfId="0" applyNumberFormat="1" applyFont="1" applyBorder="1" applyAlignment="1">
      <alignment horizontal="center" vertical="center" wrapText="1"/>
    </xf>
    <xf numFmtId="0" fontId="5" fillId="0" borderId="3" xfId="0" applyNumberFormat="1" applyFont="1" applyBorder="1" applyAlignment="1">
      <alignment horizontal="center" vertical="center" wrapText="1"/>
    </xf>
    <xf numFmtId="0" fontId="5" fillId="0" borderId="8" xfId="0" applyNumberFormat="1" applyFont="1" applyBorder="1" applyAlignment="1">
      <alignment horizontal="center" vertical="center" wrapText="1"/>
    </xf>
    <xf numFmtId="0" fontId="5" fillId="0" borderId="8" xfId="0" applyNumberFormat="1" applyFont="1" applyBorder="1" applyAlignment="1">
      <alignment horizontal="left" vertical="center" wrapText="1"/>
    </xf>
    <xf numFmtId="0" fontId="0" fillId="0" borderId="5" xfId="0" applyNumberFormat="1" applyFont="1" applyBorder="1" applyAlignment="1">
      <alignment horizontal="center" vertical="center" wrapText="1"/>
    </xf>
    <xf numFmtId="0" fontId="0" fillId="0" borderId="3" xfId="0" applyNumberFormat="1" applyFont="1" applyBorder="1" applyAlignment="1">
      <alignment horizontal="center" vertical="center" wrapText="1"/>
    </xf>
    <xf numFmtId="49" fontId="5" fillId="13" borderId="3" xfId="0" applyNumberFormat="1" applyFont="1" applyFill="1" applyBorder="1" applyAlignment="1">
      <alignment horizontal="left" vertical="center" wrapText="1" indent="1"/>
    </xf>
    <xf numFmtId="0" fontId="5" fillId="0" borderId="10" xfId="0" applyNumberFormat="1" applyFont="1" applyBorder="1" applyAlignment="1">
      <alignment horizontal="right" vertical="center" wrapText="1" indent="1"/>
    </xf>
    <xf numFmtId="4" fontId="5" fillId="12" borderId="28" xfId="0" applyNumberFormat="1" applyFont="1" applyFill="1" applyBorder="1" applyAlignment="1" applyProtection="1">
      <alignment horizontal="right" vertical="center" wrapText="1"/>
      <protection locked="0"/>
    </xf>
    <xf numFmtId="3" fontId="5" fillId="12" borderId="5" xfId="0" applyNumberFormat="1" applyFont="1" applyFill="1" applyBorder="1" applyAlignment="1" applyProtection="1">
      <alignment horizontal="right" vertical="center" wrapText="1"/>
      <protection locked="0"/>
    </xf>
    <xf numFmtId="0" fontId="28" fillId="10" borderId="6" xfId="0" applyNumberFormat="1" applyFont="1" applyFill="1" applyBorder="1" applyAlignment="1">
      <alignment vertical="center" wrapText="1"/>
    </xf>
    <xf numFmtId="0" fontId="5" fillId="0" borderId="3" xfId="0" applyNumberFormat="1" applyFont="1" applyBorder="1" applyAlignment="1">
      <alignment horizontal="center" vertical="center" wrapText="1"/>
    </xf>
    <xf numFmtId="0" fontId="5" fillId="0" borderId="8" xfId="0" applyNumberFormat="1" applyFont="1" applyBorder="1" applyAlignment="1">
      <alignment horizontal="center" vertical="center" wrapText="1"/>
    </xf>
    <xf numFmtId="0" fontId="5" fillId="0" borderId="5" xfId="0" applyNumberFormat="1" applyFont="1" applyBorder="1" applyAlignment="1">
      <alignment horizontal="left" vertical="center" wrapText="1"/>
    </xf>
    <xf numFmtId="0" fontId="5" fillId="0" borderId="14" xfId="0" applyNumberFormat="1" applyFont="1" applyBorder="1" applyAlignment="1">
      <alignment horizontal="center" vertical="center" wrapText="1"/>
    </xf>
    <xf numFmtId="0" fontId="5" fillId="0" borderId="5" xfId="0" applyNumberFormat="1" applyFont="1" applyBorder="1" applyAlignment="1">
      <alignment horizontal="left" vertical="center" wrapText="1" indent="1"/>
    </xf>
    <xf numFmtId="0" fontId="5" fillId="0" borderId="5" xfId="0" applyNumberFormat="1" applyFont="1" applyBorder="1" applyAlignment="1">
      <alignment horizontal="left" vertical="center" wrapText="1" indent="2"/>
    </xf>
    <xf numFmtId="0" fontId="5" fillId="0" borderId="0" xfId="0" applyNumberFormat="1" applyFont="1" applyAlignment="1">
      <alignment horizontal="center" vertical="center" wrapText="1"/>
    </xf>
    <xf numFmtId="49" fontId="5" fillId="0" borderId="0" xfId="0" applyNumberFormat="1" applyFont="1" applyAlignment="1">
      <alignment horizontal="center" vertical="center" wrapText="1"/>
    </xf>
    <xf numFmtId="49" fontId="5" fillId="0" borderId="0" xfId="0" applyNumberFormat="1" applyFont="1" applyAlignment="1">
      <alignment vertical="center" wrapText="1"/>
    </xf>
    <xf numFmtId="0" fontId="5" fillId="0" borderId="0" xfId="0" applyNumberFormat="1" applyFont="1" applyAlignment="1">
      <alignment horizontal="left" vertical="center" wrapText="1"/>
    </xf>
    <xf numFmtId="0" fontId="28" fillId="0" borderId="0" xfId="0" applyNumberFormat="1" applyFont="1" applyAlignment="1">
      <alignment horizontal="center" vertical="center" wrapText="1"/>
    </xf>
    <xf numFmtId="49" fontId="0" fillId="0" borderId="16" xfId="0" applyNumberFormat="1" applyFont="1" applyBorder="1" applyAlignment="1">
      <alignment horizontal="center" vertical="center"/>
    </xf>
    <xf numFmtId="49" fontId="0" fillId="0" borderId="3" xfId="13" applyNumberFormat="1" applyFont="1" applyBorder="1">
      <alignment vertical="top"/>
    </xf>
    <xf numFmtId="49" fontId="0" fillId="0" borderId="5" xfId="13" applyNumberFormat="1" applyFont="1" applyBorder="1">
      <alignment vertical="top"/>
    </xf>
    <xf numFmtId="49" fontId="0" fillId="16" borderId="8" xfId="13" applyNumberFormat="1" applyFont="1" applyFill="1" applyBorder="1">
      <alignment vertical="top"/>
    </xf>
    <xf numFmtId="49" fontId="0" fillId="17" borderId="3" xfId="13" applyNumberFormat="1" applyFont="1" applyFill="1" applyBorder="1">
      <alignment vertical="top"/>
    </xf>
    <xf numFmtId="49" fontId="0" fillId="0" borderId="6" xfId="13" applyNumberFormat="1" applyFont="1" applyBorder="1" applyAlignment="1">
      <alignment horizontal="center" vertical="top"/>
    </xf>
    <xf numFmtId="49" fontId="0" fillId="2" borderId="3" xfId="13" applyNumberFormat="1" applyFont="1" applyFill="1" applyBorder="1">
      <alignment vertical="top"/>
    </xf>
    <xf numFmtId="49" fontId="0" fillId="18" borderId="3" xfId="13" applyNumberFormat="1" applyFont="1" applyFill="1" applyBorder="1">
      <alignment vertical="top"/>
    </xf>
    <xf numFmtId="49" fontId="0" fillId="5" borderId="8" xfId="13" applyNumberFormat="1" applyFont="1" applyFill="1" applyBorder="1">
      <alignment vertical="top"/>
    </xf>
    <xf numFmtId="49" fontId="0" fillId="3" borderId="5" xfId="13" applyNumberFormat="1" applyFont="1" applyFill="1" applyBorder="1">
      <alignment vertical="top"/>
    </xf>
    <xf numFmtId="49" fontId="0" fillId="3" borderId="3" xfId="13" applyNumberFormat="1" applyFont="1" applyFill="1" applyBorder="1">
      <alignment vertical="top"/>
    </xf>
    <xf numFmtId="49" fontId="0" fillId="5" borderId="3" xfId="13" applyNumberFormat="1" applyFont="1" applyFill="1" applyBorder="1">
      <alignment vertical="top"/>
    </xf>
    <xf numFmtId="49" fontId="9" fillId="12" borderId="3" xfId="0" applyNumberFormat="1" applyFont="1" applyFill="1" applyBorder="1" applyAlignment="1" applyProtection="1">
      <alignment horizontal="left" vertical="center" wrapText="1" indent="1"/>
      <protection locked="0"/>
    </xf>
    <xf numFmtId="49" fontId="5" fillId="8" borderId="5" xfId="0" applyNumberFormat="1" applyFont="1" applyFill="1" applyBorder="1" applyAlignment="1">
      <alignment horizontal="left" vertical="center" wrapText="1"/>
    </xf>
    <xf numFmtId="49" fontId="35" fillId="8" borderId="3" xfId="0" applyNumberFormat="1" applyFont="1" applyFill="1" applyBorder="1" applyAlignment="1">
      <alignment horizontal="left" vertical="center" wrapText="1"/>
    </xf>
    <xf numFmtId="168" fontId="0" fillId="8" borderId="3" xfId="0" applyNumberFormat="1" applyFont="1" applyFill="1" applyBorder="1" applyAlignment="1">
      <alignment horizontal="left" vertical="center" wrapText="1" indent="1"/>
    </xf>
    <xf numFmtId="0" fontId="84" fillId="0" borderId="0" xfId="0" applyNumberFormat="1" applyFont="1" applyAlignment="1">
      <alignment vertical="center" wrapText="1"/>
    </xf>
    <xf numFmtId="0" fontId="84" fillId="0" borderId="0" xfId="0" applyNumberFormat="1" applyFont="1" applyAlignment="1">
      <alignment vertical="center"/>
    </xf>
    <xf numFmtId="0" fontId="27" fillId="29" borderId="54" xfId="0" applyNumberFormat="1" applyFont="1" applyFill="1" applyBorder="1" applyAlignment="1">
      <alignment horizontal="center" vertical="center" wrapText="1"/>
    </xf>
    <xf numFmtId="0" fontId="27" fillId="29" borderId="55" xfId="0" applyNumberFormat="1" applyFont="1" applyFill="1" applyBorder="1" applyAlignment="1">
      <alignment horizontal="center" vertical="center" wrapText="1"/>
    </xf>
    <xf numFmtId="0" fontId="27" fillId="29" borderId="56" xfId="0" applyNumberFormat="1" applyFont="1" applyFill="1" applyBorder="1" applyAlignment="1">
      <alignment horizontal="center" vertical="center" wrapText="1"/>
    </xf>
    <xf numFmtId="0" fontId="27" fillId="19" borderId="29" xfId="0" applyNumberFormat="1" applyFont="1" applyFill="1" applyBorder="1" applyAlignment="1">
      <alignment horizontal="right" vertical="center" wrapText="1" indent="1"/>
    </xf>
    <xf numFmtId="0" fontId="27" fillId="19" borderId="57" xfId="0" applyNumberFormat="1" applyFont="1" applyFill="1" applyBorder="1" applyAlignment="1">
      <alignment horizontal="right" vertical="center" wrapText="1" indent="1"/>
    </xf>
    <xf numFmtId="0" fontId="27" fillId="19" borderId="0" xfId="0" applyNumberFormat="1" applyFont="1" applyFill="1" applyAlignment="1">
      <alignment horizontal="right" vertical="center" wrapText="1" indent="1"/>
    </xf>
    <xf numFmtId="0" fontId="102" fillId="0" borderId="29" xfId="0" applyNumberFormat="1" applyFont="1" applyBorder="1" applyAlignment="1">
      <alignment vertical="center" wrapText="1"/>
    </xf>
    <xf numFmtId="0" fontId="102" fillId="0" borderId="0" xfId="0" applyNumberFormat="1" applyFont="1" applyAlignment="1">
      <alignment vertical="center" wrapText="1"/>
    </xf>
    <xf numFmtId="0" fontId="102" fillId="0" borderId="29" xfId="0" applyNumberFormat="1" applyFont="1" applyBorder="1" applyAlignment="1">
      <alignment horizontal="left" vertical="center" wrapText="1"/>
    </xf>
    <xf numFmtId="0" fontId="102" fillId="0" borderId="0" xfId="0" applyNumberFormat="1" applyFont="1" applyAlignment="1">
      <alignment horizontal="left" vertical="center" wrapText="1"/>
    </xf>
    <xf numFmtId="0" fontId="27" fillId="19" borderId="51" xfId="0" applyNumberFormat="1" applyFont="1" applyFill="1" applyBorder="1" applyAlignment="1">
      <alignment horizontal="right" vertical="center" wrapText="1" indent="1"/>
    </xf>
    <xf numFmtId="0" fontId="27" fillId="19" borderId="58" xfId="0" applyNumberFormat="1" applyFont="1" applyFill="1" applyBorder="1" applyAlignment="1">
      <alignment horizontal="right" vertical="center" wrapText="1" indent="1"/>
    </xf>
    <xf numFmtId="0" fontId="27" fillId="19" borderId="53" xfId="0" applyNumberFormat="1" applyFont="1" applyFill="1" applyBorder="1" applyAlignment="1">
      <alignment horizontal="right" vertical="center" wrapText="1" indent="1"/>
    </xf>
    <xf numFmtId="0" fontId="27" fillId="19" borderId="30" xfId="0" applyNumberFormat="1" applyFont="1" applyFill="1" applyBorder="1" applyAlignment="1">
      <alignment horizontal="right" vertical="center" wrapText="1" indent="1"/>
    </xf>
    <xf numFmtId="0" fontId="102" fillId="0" borderId="0" xfId="0" applyNumberFormat="1" applyFont="1" applyAlignment="1">
      <alignment vertical="top" wrapText="1"/>
    </xf>
    <xf numFmtId="49" fontId="48" fillId="0" borderId="0" xfId="0" applyNumberFormat="1" applyFont="1" applyAlignment="1">
      <alignment vertical="top" wrapText="1"/>
    </xf>
    <xf numFmtId="0" fontId="5" fillId="0" borderId="4" xfId="0" applyNumberFormat="1" applyFont="1" applyBorder="1" applyAlignment="1">
      <alignment horizontal="center" vertical="center" wrapText="1"/>
    </xf>
    <xf numFmtId="0" fontId="5" fillId="0" borderId="5" xfId="0" applyNumberFormat="1" applyFont="1" applyBorder="1" applyAlignment="1">
      <alignment horizontal="center" vertical="center" wrapText="1"/>
    </xf>
    <xf numFmtId="0" fontId="78" fillId="0" borderId="0" xfId="0" applyNumberFormat="1" applyFont="1" applyAlignment="1">
      <alignment horizontal="left" vertical="center" wrapText="1"/>
    </xf>
    <xf numFmtId="14" fontId="75" fillId="0" borderId="3" xfId="0" applyNumberFormat="1" applyFont="1" applyBorder="1" applyAlignment="1">
      <alignment horizontal="center" vertical="center" wrapText="1"/>
    </xf>
    <xf numFmtId="0" fontId="5" fillId="0" borderId="0" xfId="0" applyNumberFormat="1" applyFont="1" applyAlignment="1">
      <alignment horizontal="center" vertical="center" wrapText="1"/>
    </xf>
    <xf numFmtId="0" fontId="5" fillId="0" borderId="6" xfId="0" applyNumberFormat="1" applyFont="1" applyBorder="1" applyAlignment="1">
      <alignment horizontal="left" vertical="center" wrapText="1" indent="1"/>
    </xf>
    <xf numFmtId="0" fontId="5" fillId="0" borderId="6" xfId="0" applyNumberFormat="1" applyFont="1" applyBorder="1" applyAlignment="1">
      <alignment horizontal="center" vertical="center" wrapText="1"/>
    </xf>
    <xf numFmtId="4" fontId="5" fillId="0" borderId="3" xfId="0" applyNumberFormat="1" applyFont="1" applyBorder="1" applyAlignment="1">
      <alignment horizontal="center" vertical="center" wrapText="1"/>
    </xf>
    <xf numFmtId="0" fontId="5" fillId="13" borderId="8" xfId="0" applyNumberFormat="1" applyFont="1" applyFill="1" applyBorder="1" applyAlignment="1">
      <alignment horizontal="left" vertical="center" wrapText="1" indent="1"/>
    </xf>
    <xf numFmtId="0" fontId="5" fillId="13" borderId="14" xfId="0" applyNumberFormat="1" applyFont="1" applyFill="1" applyBorder="1" applyAlignment="1">
      <alignment horizontal="left" vertical="center" wrapText="1" indent="1"/>
    </xf>
    <xf numFmtId="49" fontId="5" fillId="13" borderId="3" xfId="0" applyNumberFormat="1" applyFont="1" applyFill="1" applyBorder="1" applyAlignment="1">
      <alignment horizontal="center" vertical="center" wrapText="1"/>
    </xf>
    <xf numFmtId="49" fontId="5" fillId="0" borderId="3" xfId="0" applyNumberFormat="1" applyFont="1" applyBorder="1" applyAlignment="1">
      <alignment horizontal="center" vertical="center" wrapText="1"/>
    </xf>
    <xf numFmtId="0" fontId="5" fillId="13" borderId="8" xfId="0" applyNumberFormat="1" applyFont="1" applyFill="1" applyBorder="1" applyAlignment="1">
      <alignment horizontal="left" vertical="center" wrapText="1" indent="2"/>
    </xf>
    <xf numFmtId="0" fontId="5" fillId="13" borderId="27" xfId="0" applyNumberFormat="1" applyFont="1" applyFill="1" applyBorder="1" applyAlignment="1">
      <alignment horizontal="left" vertical="center" wrapText="1" indent="2"/>
    </xf>
    <xf numFmtId="0" fontId="5" fillId="13" borderId="14" xfId="0" applyNumberFormat="1" applyFont="1" applyFill="1" applyBorder="1" applyAlignment="1">
      <alignment horizontal="left" vertical="center" wrapText="1" indent="2"/>
    </xf>
    <xf numFmtId="49" fontId="5" fillId="13" borderId="14" xfId="0" applyNumberFormat="1" applyFont="1" applyFill="1" applyBorder="1" applyAlignment="1">
      <alignment horizontal="center" vertical="center" wrapText="1"/>
    </xf>
    <xf numFmtId="14" fontId="63" fillId="0" borderId="59" xfId="0" applyNumberFormat="1" applyFont="1" applyBorder="1" applyAlignment="1">
      <alignment horizontal="center" vertical="center" wrapText="1"/>
    </xf>
    <xf numFmtId="0" fontId="5" fillId="0" borderId="59" xfId="0" applyNumberFormat="1" applyFont="1" applyBorder="1" applyAlignment="1">
      <alignment horizontal="center" vertical="center" wrapText="1"/>
    </xf>
    <xf numFmtId="49" fontId="17" fillId="0" borderId="60" xfId="0" applyNumberFormat="1" applyFont="1" applyBorder="1" applyAlignment="1">
      <alignment horizontal="center" vertical="center" wrapText="1"/>
    </xf>
    <xf numFmtId="49" fontId="17" fillId="0" borderId="61" xfId="0" applyNumberFormat="1" applyFont="1" applyBorder="1" applyAlignment="1">
      <alignment horizontal="center" vertical="center" wrapText="1"/>
    </xf>
    <xf numFmtId="49" fontId="17" fillId="0" borderId="5" xfId="0" applyNumberFormat="1" applyFont="1" applyBorder="1" applyAlignment="1">
      <alignment horizontal="center" vertical="center" wrapText="1"/>
    </xf>
    <xf numFmtId="49" fontId="17" fillId="0" borderId="4" xfId="0" applyNumberFormat="1" applyFont="1" applyBorder="1" applyAlignment="1">
      <alignment horizontal="center" vertical="center" wrapText="1"/>
    </xf>
    <xf numFmtId="0" fontId="5" fillId="0" borderId="11" xfId="0" applyNumberFormat="1" applyFont="1" applyBorder="1" applyAlignment="1">
      <alignment horizontal="left" vertical="center" wrapText="1" indent="1"/>
    </xf>
    <xf numFmtId="0" fontId="5" fillId="0" borderId="8" xfId="0" applyNumberFormat="1" applyFont="1" applyBorder="1" applyAlignment="1">
      <alignment horizontal="left" vertical="center" wrapText="1" indent="1"/>
    </xf>
    <xf numFmtId="0" fontId="5" fillId="0" borderId="28" xfId="0" applyNumberFormat="1" applyFont="1" applyBorder="1" applyAlignment="1">
      <alignment horizontal="left" vertical="center" wrapText="1" indent="1"/>
    </xf>
    <xf numFmtId="0" fontId="5" fillId="0" borderId="20" xfId="0" applyNumberFormat="1" applyFont="1" applyBorder="1" applyAlignment="1">
      <alignment horizontal="left" vertical="center" indent="1"/>
    </xf>
    <xf numFmtId="0" fontId="5" fillId="0" borderId="14" xfId="0" applyNumberFormat="1" applyFont="1" applyBorder="1" applyAlignment="1">
      <alignment horizontal="left" vertical="center" indent="1"/>
    </xf>
    <xf numFmtId="0" fontId="5" fillId="0" borderId="21" xfId="0" applyNumberFormat="1" applyFont="1" applyBorder="1" applyAlignment="1">
      <alignment horizontal="left" vertical="center" indent="1"/>
    </xf>
    <xf numFmtId="0" fontId="5" fillId="15" borderId="0" xfId="0" applyNumberFormat="1" applyFont="1" applyFill="1" applyAlignment="1">
      <alignment horizontal="center" vertical="center" wrapText="1"/>
    </xf>
    <xf numFmtId="0" fontId="5" fillId="0" borderId="3" xfId="0" applyNumberFormat="1" applyFont="1" applyBorder="1" applyAlignment="1">
      <alignment horizontal="center" vertical="center" wrapText="1"/>
    </xf>
    <xf numFmtId="0" fontId="57" fillId="0" borderId="28" xfId="0" applyNumberFormat="1" applyFont="1" applyBorder="1" applyAlignment="1">
      <alignment horizontal="center" vertical="center" wrapText="1"/>
    </xf>
    <xf numFmtId="0" fontId="57" fillId="0" borderId="10" xfId="0" applyNumberFormat="1" applyFont="1" applyBorder="1" applyAlignment="1">
      <alignment horizontal="center" vertical="center" wrapText="1"/>
    </xf>
    <xf numFmtId="0" fontId="0" fillId="0" borderId="0" xfId="0" applyNumberFormat="1" applyFont="1" applyAlignment="1">
      <alignment horizontal="left" vertical="center" wrapText="1" indent="2"/>
    </xf>
    <xf numFmtId="0" fontId="0" fillId="0" borderId="0" xfId="0" applyNumberFormat="1" applyFont="1" applyAlignment="1">
      <alignment horizontal="left" vertical="center" indent="2"/>
    </xf>
    <xf numFmtId="0" fontId="57" fillId="0" borderId="3" xfId="0" applyNumberFormat="1" applyFont="1" applyBorder="1" applyAlignment="1">
      <alignment horizontal="center" vertical="center" wrapText="1"/>
    </xf>
    <xf numFmtId="0" fontId="5" fillId="0" borderId="62" xfId="0" applyNumberFormat="1" applyFont="1" applyBorder="1" applyAlignment="1">
      <alignment horizontal="center" vertical="center" wrapText="1"/>
    </xf>
    <xf numFmtId="0" fontId="5" fillId="0" borderId="63" xfId="0" applyNumberFormat="1" applyFont="1" applyBorder="1" applyAlignment="1">
      <alignment horizontal="center" vertical="center" wrapText="1"/>
    </xf>
    <xf numFmtId="0" fontId="0" fillId="0" borderId="3" xfId="0" applyNumberFormat="1" applyFont="1" applyBorder="1" applyAlignment="1">
      <alignment horizontal="center" vertical="top"/>
    </xf>
    <xf numFmtId="49" fontId="0" fillId="0" borderId="3" xfId="0" applyNumberFormat="1" applyFont="1" applyBorder="1">
      <alignment vertical="top"/>
    </xf>
    <xf numFmtId="49" fontId="5" fillId="0" borderId="10" xfId="0" applyNumberFormat="1" applyFont="1" applyBorder="1" applyAlignment="1">
      <alignment horizontal="center" vertical="center" wrapText="1"/>
    </xf>
    <xf numFmtId="49" fontId="5" fillId="0" borderId="0" xfId="0" applyNumberFormat="1" applyFont="1" applyAlignment="1">
      <alignment horizontal="center" vertical="center" wrapText="1"/>
    </xf>
    <xf numFmtId="0" fontId="0" fillId="0" borderId="10" xfId="0" applyNumberFormat="1" applyFont="1" applyBorder="1" applyAlignment="1">
      <alignment horizontal="left" vertical="center" wrapText="1"/>
    </xf>
    <xf numFmtId="0" fontId="0" fillId="0" borderId="0" xfId="0" applyNumberFormat="1" applyFont="1" applyAlignment="1">
      <alignment horizontal="left" vertical="center" wrapText="1"/>
    </xf>
    <xf numFmtId="49" fontId="0" fillId="0" borderId="0" xfId="0" applyNumberFormat="1" applyFont="1" applyAlignment="1">
      <alignment horizontal="left" vertical="center" wrapText="1"/>
    </xf>
    <xf numFmtId="49" fontId="0" fillId="0" borderId="10" xfId="0" applyNumberFormat="1" applyFont="1" applyBorder="1" applyAlignment="1">
      <alignment horizontal="left" vertical="center" wrapText="1"/>
    </xf>
    <xf numFmtId="0" fontId="5" fillId="0" borderId="3" xfId="0" applyNumberFormat="1" applyFont="1" applyBorder="1" applyAlignment="1">
      <alignment horizontal="left" vertical="top" wrapText="1"/>
    </xf>
    <xf numFmtId="49" fontId="0" fillId="0" borderId="3" xfId="0" applyNumberFormat="1" applyFont="1" applyBorder="1" applyAlignment="1">
      <alignment horizontal="left" vertical="top"/>
    </xf>
    <xf numFmtId="0" fontId="5" fillId="13" borderId="8" xfId="0" applyNumberFormat="1" applyFont="1" applyFill="1" applyBorder="1" applyAlignment="1">
      <alignment horizontal="center" vertical="top" wrapText="1"/>
    </xf>
    <xf numFmtId="0" fontId="5" fillId="13" borderId="27" xfId="0" applyNumberFormat="1" applyFont="1" applyFill="1" applyBorder="1" applyAlignment="1">
      <alignment horizontal="center" vertical="top" wrapText="1"/>
    </xf>
    <xf numFmtId="0" fontId="5" fillId="13" borderId="14" xfId="0" applyNumberFormat="1" applyFont="1" applyFill="1" applyBorder="1" applyAlignment="1">
      <alignment horizontal="center" vertical="top" wrapText="1"/>
    </xf>
    <xf numFmtId="0" fontId="0" fillId="0" borderId="28" xfId="0" applyNumberFormat="1" applyFont="1" applyBorder="1" applyAlignment="1">
      <alignment horizontal="center" vertical="center"/>
    </xf>
    <xf numFmtId="0" fontId="0" fillId="0" borderId="13" xfId="0" applyNumberFormat="1" applyFont="1" applyBorder="1" applyAlignment="1">
      <alignment horizontal="center" vertical="center"/>
    </xf>
    <xf numFmtId="0" fontId="0" fillId="0" borderId="10" xfId="0" applyNumberFormat="1" applyFont="1" applyBorder="1" applyAlignment="1">
      <alignment horizontal="center" vertical="center"/>
    </xf>
    <xf numFmtId="0" fontId="0" fillId="0" borderId="0" xfId="0" applyNumberFormat="1" applyFont="1" applyAlignment="1">
      <alignment horizontal="center" vertical="center"/>
    </xf>
    <xf numFmtId="49" fontId="5" fillId="0" borderId="10" xfId="0" applyNumberFormat="1" applyFont="1" applyBorder="1" applyAlignment="1">
      <alignment horizontal="left" vertical="center" wrapText="1"/>
    </xf>
    <xf numFmtId="49" fontId="5" fillId="0" borderId="0" xfId="0" applyNumberFormat="1" applyFont="1" applyAlignment="1">
      <alignment horizontal="left" vertical="center" wrapText="1"/>
    </xf>
    <xf numFmtId="49" fontId="0" fillId="0" borderId="0" xfId="0" applyNumberFormat="1" applyFont="1" applyAlignment="1">
      <alignment horizontal="left" vertical="top"/>
    </xf>
    <xf numFmtId="0" fontId="0" fillId="0" borderId="3" xfId="0" applyNumberFormat="1" applyFont="1" applyBorder="1" applyAlignment="1">
      <alignment horizontal="center" vertical="center" wrapText="1"/>
    </xf>
    <xf numFmtId="49" fontId="29" fillId="8" borderId="18" xfId="0" applyNumberFormat="1" applyFont="1" applyFill="1" applyBorder="1" applyAlignment="1">
      <alignment horizontal="center" vertical="center" wrapText="1"/>
    </xf>
    <xf numFmtId="0" fontId="5" fillId="0" borderId="11" xfId="0" applyNumberFormat="1" applyFont="1" applyBorder="1" applyAlignment="1">
      <alignment horizontal="left" vertical="top" wrapText="1" indent="1"/>
    </xf>
    <xf numFmtId="0" fontId="5" fillId="0" borderId="8" xfId="0" applyNumberFormat="1" applyFont="1" applyBorder="1" applyAlignment="1">
      <alignment horizontal="left" vertical="top" wrapText="1" indent="1"/>
    </xf>
    <xf numFmtId="0" fontId="5" fillId="0" borderId="28" xfId="0" applyNumberFormat="1" applyFont="1" applyBorder="1" applyAlignment="1">
      <alignment horizontal="left" vertical="top" wrapText="1" indent="1"/>
    </xf>
    <xf numFmtId="0" fontId="54" fillId="0" borderId="15" xfId="0" applyNumberFormat="1" applyFont="1" applyBorder="1" applyAlignment="1">
      <alignment horizontal="left" vertical="center" wrapText="1" indent="1"/>
    </xf>
    <xf numFmtId="0" fontId="54" fillId="0" borderId="27" xfId="0" applyNumberFormat="1" applyFont="1" applyBorder="1" applyAlignment="1">
      <alignment horizontal="left" vertical="center" wrapText="1" indent="1"/>
    </xf>
    <xf numFmtId="0" fontId="54" fillId="0" borderId="13" xfId="0" applyNumberFormat="1" applyFont="1" applyBorder="1" applyAlignment="1">
      <alignment horizontal="left" vertical="center" wrapText="1" indent="1"/>
    </xf>
    <xf numFmtId="0" fontId="5" fillId="0" borderId="18" xfId="0" applyNumberFormat="1" applyFont="1" applyBorder="1" applyAlignment="1">
      <alignment horizontal="left" vertical="center" indent="1"/>
    </xf>
    <xf numFmtId="0" fontId="5" fillId="12" borderId="3" xfId="0" applyNumberFormat="1" applyFont="1" applyFill="1" applyBorder="1" applyAlignment="1" applyProtection="1">
      <alignment horizontal="left" vertical="top" wrapText="1"/>
      <protection locked="0"/>
    </xf>
    <xf numFmtId="0" fontId="0" fillId="12" borderId="3" xfId="0" applyNumberFormat="1" applyFont="1" applyFill="1" applyBorder="1" applyAlignment="1" applyProtection="1">
      <alignment horizontal="left" vertical="top"/>
      <protection locked="0"/>
    </xf>
    <xf numFmtId="0" fontId="0" fillId="0" borderId="8" xfId="0" applyNumberFormat="1" applyFont="1" applyBorder="1" applyAlignment="1">
      <alignment horizontal="center" vertical="top"/>
    </xf>
    <xf numFmtId="0" fontId="0" fillId="0" borderId="27" xfId="0" applyNumberFormat="1" applyFont="1" applyBorder="1" applyAlignment="1">
      <alignment horizontal="center" vertical="top"/>
    </xf>
    <xf numFmtId="0" fontId="0" fillId="0" borderId="14" xfId="0" applyNumberFormat="1" applyFont="1" applyBorder="1" applyAlignment="1">
      <alignment horizontal="center" vertical="top"/>
    </xf>
    <xf numFmtId="0" fontId="5" fillId="0" borderId="8" xfId="0" applyNumberFormat="1" applyFont="1" applyBorder="1" applyAlignment="1">
      <alignment horizontal="left" vertical="top" wrapText="1"/>
    </xf>
    <xf numFmtId="0" fontId="5" fillId="0" borderId="27" xfId="0" applyNumberFormat="1" applyFont="1" applyBorder="1" applyAlignment="1">
      <alignment horizontal="left" vertical="top" wrapText="1"/>
    </xf>
    <xf numFmtId="0" fontId="5" fillId="0" borderId="14" xfId="0" applyNumberFormat="1" applyFont="1" applyBorder="1" applyAlignment="1">
      <alignment horizontal="left" vertical="top" wrapText="1"/>
    </xf>
    <xf numFmtId="0" fontId="0" fillId="0" borderId="0" xfId="0" quotePrefix="1" applyNumberFormat="1" applyFont="1" applyAlignment="1">
      <alignment horizontal="left" vertical="top" wrapText="1" indent="1"/>
    </xf>
    <xf numFmtId="0" fontId="0" fillId="0" borderId="0" xfId="0" applyNumberFormat="1" applyFont="1" applyAlignment="1">
      <alignment horizontal="left" vertical="top" wrapText="1" indent="1"/>
    </xf>
    <xf numFmtId="0" fontId="0" fillId="0" borderId="0" xfId="0" applyNumberFormat="1" applyFont="1" applyAlignment="1">
      <alignment horizontal="left" vertical="top" wrapText="1"/>
    </xf>
    <xf numFmtId="0" fontId="5" fillId="0" borderId="8" xfId="0" applyNumberFormat="1" applyFont="1" applyBorder="1" applyAlignment="1">
      <alignment horizontal="center" vertical="center" wrapText="1"/>
    </xf>
    <xf numFmtId="0" fontId="5" fillId="0" borderId="18" xfId="0" applyNumberFormat="1" applyFont="1" applyBorder="1" applyAlignment="1">
      <alignment horizontal="left" vertical="center" wrapText="1" indent="1"/>
    </xf>
    <xf numFmtId="0" fontId="21" fillId="0" borderId="0" xfId="0" applyNumberFormat="1" applyFont="1" applyAlignment="1">
      <alignment horizontal="left" vertical="center"/>
    </xf>
    <xf numFmtId="0" fontId="21" fillId="0" borderId="15" xfId="0" applyNumberFormat="1" applyFont="1" applyBorder="1" applyAlignment="1">
      <alignment horizontal="left" vertical="center"/>
    </xf>
    <xf numFmtId="0" fontId="5" fillId="0" borderId="3" xfId="0" applyNumberFormat="1" applyFont="1" applyBorder="1" applyAlignment="1">
      <alignment horizontal="left" vertical="center" wrapText="1"/>
    </xf>
    <xf numFmtId="0" fontId="5" fillId="0" borderId="28" xfId="0" applyNumberFormat="1" applyFont="1" applyBorder="1" applyAlignment="1">
      <alignment horizontal="left" vertical="center" wrapText="1"/>
    </xf>
    <xf numFmtId="0" fontId="5" fillId="0" borderId="10" xfId="0" applyNumberFormat="1" applyFont="1" applyBorder="1" applyAlignment="1">
      <alignment horizontal="center" vertical="center"/>
    </xf>
    <xf numFmtId="0" fontId="5" fillId="0" borderId="0" xfId="0" applyNumberFormat="1" applyFont="1" applyAlignment="1">
      <alignment horizontal="center" vertical="center"/>
    </xf>
    <xf numFmtId="49" fontId="5" fillId="0" borderId="3" xfId="0" applyNumberFormat="1" applyFont="1" applyBorder="1" applyAlignment="1">
      <alignment horizontal="center" vertical="center"/>
    </xf>
    <xf numFmtId="0" fontId="5" fillId="0" borderId="5" xfId="0" applyNumberFormat="1" applyFont="1" applyBorder="1" applyAlignment="1">
      <alignment horizontal="left" vertical="center" wrapText="1"/>
    </xf>
    <xf numFmtId="49" fontId="5" fillId="13" borderId="8" xfId="0" applyNumberFormat="1" applyFont="1" applyFill="1" applyBorder="1" applyAlignment="1">
      <alignment horizontal="center" vertical="center" wrapText="1"/>
    </xf>
    <xf numFmtId="49" fontId="5" fillId="13" borderId="27" xfId="0" applyNumberFormat="1" applyFont="1" applyFill="1" applyBorder="1" applyAlignment="1">
      <alignment horizontal="center" vertical="center" wrapText="1"/>
    </xf>
    <xf numFmtId="0" fontId="21" fillId="0" borderId="18" xfId="0" applyNumberFormat="1" applyFont="1" applyBorder="1" applyAlignment="1">
      <alignment horizontal="left" vertical="center"/>
    </xf>
    <xf numFmtId="0" fontId="21" fillId="0" borderId="20" xfId="0" applyNumberFormat="1" applyFont="1" applyBorder="1" applyAlignment="1">
      <alignment horizontal="left" vertical="center"/>
    </xf>
    <xf numFmtId="49" fontId="5" fillId="0" borderId="8" xfId="0" applyNumberFormat="1" applyFont="1" applyBorder="1" applyAlignment="1">
      <alignment horizontal="center" vertical="center"/>
    </xf>
    <xf numFmtId="0" fontId="5" fillId="0" borderId="8" xfId="0" applyNumberFormat="1" applyFont="1" applyBorder="1" applyAlignment="1">
      <alignment horizontal="left" vertical="center" wrapText="1"/>
    </xf>
    <xf numFmtId="0" fontId="5" fillId="0" borderId="10" xfId="0" applyNumberFormat="1" applyFont="1" applyBorder="1" applyAlignment="1">
      <alignment horizontal="left" vertical="center" wrapText="1" indent="1"/>
    </xf>
    <xf numFmtId="0" fontId="5" fillId="0" borderId="28" xfId="0" applyNumberFormat="1" applyFont="1" applyBorder="1" applyAlignment="1">
      <alignment horizontal="center" vertical="center" wrapText="1"/>
    </xf>
    <xf numFmtId="0" fontId="5" fillId="0" borderId="11" xfId="0" applyNumberFormat="1" applyFont="1" applyBorder="1" applyAlignment="1">
      <alignment horizontal="center" vertical="center" wrapText="1"/>
    </xf>
    <xf numFmtId="0" fontId="5" fillId="0" borderId="13" xfId="0" applyNumberFormat="1" applyFont="1" applyBorder="1" applyAlignment="1">
      <alignment horizontal="center" vertical="center" wrapText="1"/>
    </xf>
    <xf numFmtId="0" fontId="5" fillId="0" borderId="15" xfId="0" applyNumberFormat="1" applyFont="1" applyBorder="1" applyAlignment="1">
      <alignment horizontal="center" vertical="center" wrapText="1"/>
    </xf>
    <xf numFmtId="0" fontId="5" fillId="0" borderId="27" xfId="0" applyNumberFormat="1" applyFont="1" applyBorder="1" applyAlignment="1">
      <alignment horizontal="center" vertical="center" wrapText="1"/>
    </xf>
    <xf numFmtId="0" fontId="5" fillId="0" borderId="21" xfId="0" applyNumberFormat="1" applyFont="1" applyBorder="1" applyAlignment="1">
      <alignment horizontal="center" vertical="center" wrapText="1"/>
    </xf>
    <xf numFmtId="0" fontId="5" fillId="0" borderId="20" xfId="0" applyNumberFormat="1" applyFont="1" applyBorder="1" applyAlignment="1">
      <alignment horizontal="center" vertical="center" wrapText="1"/>
    </xf>
    <xf numFmtId="49" fontId="5" fillId="8" borderId="0" xfId="0" applyNumberFormat="1" applyFont="1" applyFill="1" applyAlignment="1">
      <alignment horizontal="center" vertical="center" wrapText="1"/>
    </xf>
    <xf numFmtId="0" fontId="26" fillId="0" borderId="0" xfId="0" applyNumberFormat="1" applyFont="1" applyAlignment="1">
      <alignment horizontal="right" vertical="top" wrapText="1"/>
    </xf>
    <xf numFmtId="49" fontId="0" fillId="8" borderId="3" xfId="0" applyNumberFormat="1" applyFont="1" applyFill="1" applyBorder="1" applyAlignment="1">
      <alignment horizontal="center" vertical="center" wrapText="1"/>
    </xf>
    <xf numFmtId="49" fontId="5" fillId="8" borderId="3" xfId="0" applyNumberFormat="1" applyFont="1" applyFill="1" applyBorder="1" applyAlignment="1">
      <alignment horizontal="center" vertical="center" wrapText="1"/>
    </xf>
    <xf numFmtId="0" fontId="26" fillId="0" borderId="0" xfId="0" applyNumberFormat="1" applyFont="1" applyAlignment="1">
      <alignment horizontal="left" vertical="top" wrapText="1" indent="1"/>
    </xf>
    <xf numFmtId="0" fontId="75" fillId="8" borderId="0" xfId="0" applyNumberFormat="1" applyFont="1" applyFill="1" applyAlignment="1">
      <alignment horizontal="left" vertical="center" wrapText="1"/>
    </xf>
    <xf numFmtId="0" fontId="0" fillId="8" borderId="3" xfId="0" applyNumberFormat="1" applyFont="1" applyFill="1" applyBorder="1" applyAlignment="1">
      <alignment horizontal="center" vertical="center" wrapText="1"/>
    </xf>
    <xf numFmtId="0" fontId="5" fillId="8" borderId="3" xfId="0" applyNumberFormat="1" applyFont="1" applyFill="1" applyBorder="1" applyAlignment="1">
      <alignment horizontal="center" vertical="center" wrapText="1"/>
    </xf>
    <xf numFmtId="0" fontId="5" fillId="8" borderId="8" xfId="0" applyNumberFormat="1" applyFont="1" applyFill="1" applyBorder="1" applyAlignment="1">
      <alignment horizontal="left" vertical="top" wrapText="1"/>
    </xf>
    <xf numFmtId="0" fontId="5" fillId="8" borderId="27" xfId="0" applyNumberFormat="1" applyFont="1" applyFill="1" applyBorder="1" applyAlignment="1">
      <alignment horizontal="left" vertical="top" wrapText="1"/>
    </xf>
    <xf numFmtId="0" fontId="5" fillId="8" borderId="14" xfId="0" applyNumberFormat="1" applyFont="1" applyFill="1" applyBorder="1" applyAlignment="1">
      <alignment horizontal="left" vertical="top" wrapText="1"/>
    </xf>
    <xf numFmtId="0" fontId="5" fillId="8" borderId="15" xfId="0" applyNumberFormat="1" applyFont="1" applyFill="1" applyBorder="1" applyAlignment="1">
      <alignment horizontal="center" vertical="center" wrapText="1"/>
    </xf>
    <xf numFmtId="0" fontId="5" fillId="0" borderId="20" xfId="0" applyNumberFormat="1" applyFont="1" applyBorder="1" applyAlignment="1">
      <alignment horizontal="left" vertical="center" wrapText="1" indent="1"/>
    </xf>
    <xf numFmtId="0" fontId="5" fillId="0" borderId="14" xfId="0" applyNumberFormat="1" applyFont="1" applyBorder="1" applyAlignment="1">
      <alignment horizontal="left" vertical="center" wrapText="1" indent="1"/>
    </xf>
    <xf numFmtId="0" fontId="5" fillId="0" borderId="21" xfId="0" applyNumberFormat="1" applyFont="1" applyBorder="1" applyAlignment="1">
      <alignment horizontal="left" vertical="center" wrapText="1" indent="1"/>
    </xf>
    <xf numFmtId="0" fontId="28" fillId="0" borderId="0" xfId="0" applyNumberFormat="1" applyFont="1" applyAlignment="1">
      <alignment horizontal="center" vertical="center" wrapText="1"/>
    </xf>
    <xf numFmtId="0" fontId="0" fillId="0" borderId="5" xfId="0" applyNumberFormat="1" applyFont="1" applyBorder="1" applyAlignment="1">
      <alignment horizontal="center" vertical="center" wrapText="1"/>
    </xf>
    <xf numFmtId="0" fontId="0" fillId="0" borderId="6" xfId="0" applyNumberFormat="1" applyFont="1" applyBorder="1" applyAlignment="1">
      <alignment horizontal="center" vertical="center" wrapText="1"/>
    </xf>
    <xf numFmtId="0" fontId="0" fillId="0" borderId="4" xfId="0" applyNumberFormat="1" applyFont="1" applyBorder="1" applyAlignment="1">
      <alignment horizontal="center" vertical="center" wrapText="1"/>
    </xf>
    <xf numFmtId="0" fontId="0" fillId="0" borderId="8" xfId="0" applyNumberFormat="1" applyFont="1" applyBorder="1" applyAlignment="1">
      <alignment horizontal="left" vertical="top" wrapText="1"/>
    </xf>
    <xf numFmtId="0" fontId="0" fillId="0" borderId="14" xfId="0" applyNumberFormat="1" applyFont="1" applyBorder="1" applyAlignment="1">
      <alignment horizontal="left" vertical="top" wrapText="1"/>
    </xf>
    <xf numFmtId="0" fontId="0" fillId="0" borderId="8" xfId="0" applyNumberFormat="1" applyFont="1" applyBorder="1" applyAlignment="1">
      <alignment horizontal="center" vertical="center" wrapText="1"/>
    </xf>
    <xf numFmtId="0" fontId="0" fillId="0" borderId="14" xfId="0" applyNumberFormat="1" applyFont="1" applyBorder="1" applyAlignment="1">
      <alignment horizontal="center" vertical="center" wrapText="1"/>
    </xf>
    <xf numFmtId="0" fontId="0" fillId="0" borderId="28" xfId="0" applyNumberFormat="1" applyFont="1" applyBorder="1" applyAlignment="1">
      <alignment horizontal="center" vertical="center" wrapText="1"/>
    </xf>
    <xf numFmtId="0" fontId="0" fillId="0" borderId="21" xfId="0" applyNumberFormat="1" applyFont="1" applyBorder="1" applyAlignment="1">
      <alignment horizontal="center" vertical="center" wrapText="1"/>
    </xf>
    <xf numFmtId="0" fontId="0" fillId="0" borderId="11" xfId="0" applyNumberFormat="1" applyFont="1" applyBorder="1" applyAlignment="1">
      <alignment horizontal="center" vertical="center" wrapText="1"/>
    </xf>
    <xf numFmtId="0" fontId="0" fillId="0" borderId="20" xfId="0" applyNumberFormat="1" applyFont="1" applyBorder="1" applyAlignment="1">
      <alignment horizontal="center" vertical="center" wrapText="1"/>
    </xf>
    <xf numFmtId="0" fontId="5" fillId="0" borderId="14" xfId="0" applyNumberFormat="1" applyFont="1" applyBorder="1" applyAlignment="1">
      <alignment horizontal="center" vertical="center" wrapText="1"/>
    </xf>
    <xf numFmtId="49" fontId="0" fillId="0" borderId="28" xfId="0" applyNumberFormat="1" applyFont="1" applyBorder="1" applyAlignment="1">
      <alignment horizontal="center" vertical="center" wrapText="1"/>
    </xf>
    <xf numFmtId="49" fontId="0" fillId="0" borderId="21" xfId="0" applyNumberFormat="1" applyFont="1" applyBorder="1" applyAlignment="1">
      <alignment horizontal="center" vertical="center" wrapText="1"/>
    </xf>
    <xf numFmtId="0" fontId="5" fillId="13" borderId="10" xfId="0" applyNumberFormat="1" applyFont="1" applyFill="1" applyBorder="1" applyAlignment="1">
      <alignment horizontal="left" vertical="center" wrapText="1"/>
    </xf>
    <xf numFmtId="0" fontId="5" fillId="13" borderId="18" xfId="0" applyNumberFormat="1" applyFont="1" applyFill="1" applyBorder="1" applyAlignment="1">
      <alignment horizontal="left" vertical="center" wrapText="1"/>
    </xf>
    <xf numFmtId="0" fontId="5" fillId="0" borderId="10" xfId="0" applyNumberFormat="1" applyFont="1" applyBorder="1" applyAlignment="1">
      <alignment horizontal="left" vertical="top" wrapText="1" indent="1"/>
    </xf>
    <xf numFmtId="0" fontId="0" fillId="0" borderId="27" xfId="0" applyNumberFormat="1" applyFont="1" applyBorder="1" applyAlignment="1">
      <alignment horizontal="left" vertical="top" wrapText="1"/>
    </xf>
    <xf numFmtId="0" fontId="5" fillId="7" borderId="5" xfId="0" applyNumberFormat="1" applyFont="1" applyFill="1" applyBorder="1" applyAlignment="1">
      <alignment horizontal="left" vertical="center" wrapText="1"/>
    </xf>
    <xf numFmtId="0" fontId="5" fillId="7" borderId="6" xfId="0" applyNumberFormat="1" applyFont="1" applyFill="1" applyBorder="1" applyAlignment="1">
      <alignment horizontal="left" vertical="center" wrapText="1"/>
    </xf>
    <xf numFmtId="0" fontId="5" fillId="7" borderId="4" xfId="0" applyNumberFormat="1" applyFont="1" applyFill="1" applyBorder="1" applyAlignment="1">
      <alignment horizontal="left" vertical="center" wrapText="1"/>
    </xf>
    <xf numFmtId="0" fontId="5" fillId="13" borderId="5" xfId="0" applyNumberFormat="1" applyFont="1" applyFill="1" applyBorder="1" applyAlignment="1">
      <alignment horizontal="left" vertical="center" wrapText="1"/>
    </xf>
    <xf numFmtId="0" fontId="5" fillId="13" borderId="6" xfId="0" applyNumberFormat="1" applyFont="1" applyFill="1" applyBorder="1" applyAlignment="1">
      <alignment horizontal="left" vertical="center" wrapText="1"/>
    </xf>
    <xf numFmtId="0" fontId="5" fillId="13" borderId="4" xfId="0" applyNumberFormat="1" applyFont="1" applyFill="1" applyBorder="1" applyAlignment="1">
      <alignment horizontal="left" vertical="center" wrapText="1"/>
    </xf>
    <xf numFmtId="0" fontId="0" fillId="8" borderId="3" xfId="0" applyNumberFormat="1" applyFont="1" applyFill="1" applyBorder="1" applyAlignment="1">
      <alignment horizontal="right" vertical="center" wrapText="1" indent="1"/>
    </xf>
    <xf numFmtId="0" fontId="5" fillId="7" borderId="3" xfId="0" applyNumberFormat="1" applyFont="1" applyFill="1" applyBorder="1" applyAlignment="1">
      <alignment horizontal="left" vertical="center" wrapText="1" indent="1"/>
    </xf>
    <xf numFmtId="0" fontId="18" fillId="0" borderId="18" xfId="0" applyNumberFormat="1" applyFont="1" applyBorder="1" applyAlignment="1">
      <alignment horizontal="center" vertical="center" wrapText="1"/>
    </xf>
    <xf numFmtId="0" fontId="26" fillId="0" borderId="8" xfId="0" applyNumberFormat="1" applyFont="1" applyBorder="1" applyAlignment="1">
      <alignment horizontal="left" vertical="top" wrapText="1"/>
    </xf>
    <xf numFmtId="0" fontId="26" fillId="0" borderId="27" xfId="0" applyNumberFormat="1" applyFont="1" applyBorder="1" applyAlignment="1">
      <alignment horizontal="left" vertical="top" wrapText="1"/>
    </xf>
    <xf numFmtId="0" fontId="26" fillId="0" borderId="14" xfId="0" applyNumberFormat="1" applyFont="1" applyBorder="1" applyAlignment="1">
      <alignment horizontal="left" vertical="top" wrapText="1"/>
    </xf>
    <xf numFmtId="0" fontId="28" fillId="0" borderId="3" xfId="0" applyNumberFormat="1" applyFont="1" applyBorder="1" applyAlignment="1">
      <alignment horizontal="center" vertical="center" wrapText="1"/>
    </xf>
    <xf numFmtId="0" fontId="29" fillId="0" borderId="0" xfId="0" applyNumberFormat="1" applyFont="1" applyAlignment="1">
      <alignment horizontal="center" vertical="center" wrapText="1"/>
    </xf>
    <xf numFmtId="0" fontId="28" fillId="0" borderId="3" xfId="0" applyNumberFormat="1" applyFont="1" applyBorder="1" applyAlignment="1">
      <alignment horizontal="center" vertical="center"/>
    </xf>
    <xf numFmtId="0" fontId="28" fillId="0" borderId="5" xfId="0" applyNumberFormat="1" applyFont="1" applyBorder="1" applyAlignment="1">
      <alignment horizontal="center" vertical="center"/>
    </xf>
    <xf numFmtId="168" fontId="5" fillId="7" borderId="3" xfId="0" applyNumberFormat="1" applyFont="1" applyFill="1" applyBorder="1" applyAlignment="1">
      <alignment horizontal="left" vertical="center" wrapText="1" indent="1"/>
    </xf>
    <xf numFmtId="168" fontId="0" fillId="12" borderId="3" xfId="0" applyNumberFormat="1" applyFont="1" applyFill="1" applyBorder="1" applyAlignment="1" applyProtection="1">
      <alignment horizontal="center" vertical="center" wrapText="1"/>
      <protection locked="0"/>
    </xf>
    <xf numFmtId="49" fontId="0" fillId="12" borderId="3" xfId="0" applyNumberFormat="1" applyFont="1" applyFill="1" applyBorder="1" applyAlignment="1" applyProtection="1">
      <alignment horizontal="center" vertical="center" wrapText="1"/>
      <protection locked="0"/>
    </xf>
    <xf numFmtId="168" fontId="28" fillId="0" borderId="3" xfId="0" applyNumberFormat="1" applyFont="1" applyBorder="1" applyAlignment="1">
      <alignment horizontal="center" vertical="center" wrapText="1"/>
    </xf>
    <xf numFmtId="49" fontId="28" fillId="0" borderId="3" xfId="0" applyNumberFormat="1" applyFont="1" applyBorder="1" applyAlignment="1">
      <alignment horizontal="center" vertical="center" wrapText="1"/>
    </xf>
    <xf numFmtId="0" fontId="62" fillId="8" borderId="10" xfId="0" applyNumberFormat="1" applyFont="1" applyFill="1" applyBorder="1" applyAlignment="1">
      <alignment horizontal="center" vertical="center" wrapText="1"/>
    </xf>
    <xf numFmtId="0" fontId="5" fillId="8" borderId="3" xfId="0" applyNumberFormat="1" applyFont="1" applyFill="1" applyBorder="1" applyAlignment="1">
      <alignment horizontal="left" vertical="center" wrapText="1"/>
    </xf>
    <xf numFmtId="0" fontId="0" fillId="8" borderId="5" xfId="0" applyNumberFormat="1" applyFont="1" applyFill="1" applyBorder="1" applyAlignment="1">
      <alignment horizontal="center" vertical="center" wrapText="1"/>
    </xf>
    <xf numFmtId="0" fontId="0" fillId="8" borderId="6" xfId="0" applyNumberFormat="1" applyFont="1" applyFill="1" applyBorder="1" applyAlignment="1">
      <alignment horizontal="center" vertical="center" wrapText="1"/>
    </xf>
    <xf numFmtId="0" fontId="0" fillId="8" borderId="4" xfId="0" applyNumberFormat="1" applyFont="1" applyFill="1" applyBorder="1" applyAlignment="1">
      <alignment horizontal="center" vertical="center" wrapText="1"/>
    </xf>
    <xf numFmtId="0" fontId="5" fillId="8" borderId="8" xfId="0" applyNumberFormat="1" applyFont="1" applyFill="1" applyBorder="1" applyAlignment="1">
      <alignment horizontal="center" vertical="center" wrapText="1"/>
    </xf>
    <xf numFmtId="0" fontId="5" fillId="8" borderId="27" xfId="0" applyNumberFormat="1" applyFont="1" applyFill="1" applyBorder="1" applyAlignment="1">
      <alignment horizontal="center" vertical="center" wrapText="1"/>
    </xf>
    <xf numFmtId="0" fontId="5" fillId="8" borderId="14" xfId="0" applyNumberFormat="1" applyFont="1" applyFill="1" applyBorder="1" applyAlignment="1">
      <alignment horizontal="center" vertical="center" wrapText="1"/>
    </xf>
    <xf numFmtId="49" fontId="21" fillId="10" borderId="8" xfId="0" applyNumberFormat="1" applyFont="1" applyFill="1" applyBorder="1" applyAlignment="1">
      <alignment horizontal="center" vertical="center" textRotation="90" wrapText="1"/>
    </xf>
    <xf numFmtId="49" fontId="21" fillId="10" borderId="27" xfId="0" applyNumberFormat="1" applyFont="1" applyFill="1" applyBorder="1" applyAlignment="1">
      <alignment horizontal="center" vertical="center" textRotation="90" wrapText="1"/>
    </xf>
    <xf numFmtId="49" fontId="21" fillId="10" borderId="14" xfId="0" applyNumberFormat="1" applyFont="1" applyFill="1" applyBorder="1" applyAlignment="1">
      <alignment horizontal="center" vertical="center" textRotation="90" wrapText="1"/>
    </xf>
    <xf numFmtId="0" fontId="28" fillId="0" borderId="8" xfId="0" applyNumberFormat="1" applyFont="1" applyBorder="1" applyAlignment="1">
      <alignment horizontal="center" vertical="center" wrapText="1"/>
    </xf>
    <xf numFmtId="0" fontId="28" fillId="0" borderId="14" xfId="0" applyNumberFormat="1" applyFont="1" applyBorder="1" applyAlignment="1">
      <alignment horizontal="center" vertical="center" wrapText="1"/>
    </xf>
    <xf numFmtId="0" fontId="5" fillId="0" borderId="0" xfId="0" applyNumberFormat="1" applyFont="1" applyAlignment="1">
      <alignment horizontal="left" vertical="top" wrapText="1"/>
    </xf>
    <xf numFmtId="0" fontId="28" fillId="0" borderId="5" xfId="0" applyNumberFormat="1" applyFont="1" applyBorder="1" applyAlignment="1">
      <alignment horizontal="center" vertical="center" wrapText="1"/>
    </xf>
    <xf numFmtId="168" fontId="0" fillId="12" borderId="8" xfId="0" applyNumberFormat="1" applyFont="1" applyFill="1" applyBorder="1" applyAlignment="1" applyProtection="1">
      <alignment horizontal="center" vertical="center" wrapText="1"/>
      <protection locked="0"/>
    </xf>
    <xf numFmtId="49" fontId="0" fillId="12" borderId="14" xfId="0" applyNumberFormat="1" applyFont="1" applyFill="1" applyBorder="1" applyAlignment="1" applyProtection="1">
      <alignment horizontal="center" vertical="center" wrapText="1"/>
      <protection locked="0"/>
    </xf>
    <xf numFmtId="0" fontId="5" fillId="0" borderId="3" xfId="0" applyNumberFormat="1" applyFont="1" applyBorder="1" applyAlignment="1">
      <alignment horizontal="center" vertical="center"/>
    </xf>
    <xf numFmtId="0" fontId="5" fillId="0" borderId="5" xfId="0" applyNumberFormat="1" applyFont="1" applyBorder="1" applyAlignment="1">
      <alignment horizontal="center" vertical="center"/>
    </xf>
    <xf numFmtId="0" fontId="0" fillId="8" borderId="10" xfId="0" applyNumberFormat="1" applyFont="1" applyFill="1" applyBorder="1" applyAlignment="1">
      <alignment horizontal="center" vertical="center" wrapText="1"/>
    </xf>
    <xf numFmtId="0" fontId="29" fillId="0" borderId="8" xfId="0" applyNumberFormat="1" applyFont="1" applyBorder="1" applyAlignment="1">
      <alignment horizontal="center" vertical="center" wrapText="1"/>
    </xf>
    <xf numFmtId="0" fontId="29" fillId="0" borderId="14" xfId="0" applyNumberFormat="1" applyFont="1" applyBorder="1" applyAlignment="1">
      <alignment horizontal="center" vertical="center" wrapText="1"/>
    </xf>
    <xf numFmtId="0" fontId="29" fillId="0" borderId="5" xfId="0" applyNumberFormat="1" applyFont="1" applyBorder="1" applyAlignment="1">
      <alignment horizontal="left" vertical="center" wrapText="1"/>
    </xf>
    <xf numFmtId="0" fontId="29" fillId="0" borderId="6" xfId="0" applyNumberFormat="1" applyFont="1" applyBorder="1" applyAlignment="1">
      <alignment horizontal="left" vertical="center" wrapText="1"/>
    </xf>
    <xf numFmtId="0" fontId="29" fillId="0" borderId="4" xfId="0" applyNumberFormat="1" applyFont="1" applyBorder="1" applyAlignment="1">
      <alignment horizontal="left" vertical="center" wrapText="1"/>
    </xf>
    <xf numFmtId="0" fontId="5" fillId="7" borderId="28" xfId="0" applyNumberFormat="1" applyFont="1" applyFill="1" applyBorder="1" applyAlignment="1">
      <alignment horizontal="left" vertical="center" wrapText="1"/>
    </xf>
    <xf numFmtId="0" fontId="5" fillId="7" borderId="10" xfId="0" applyNumberFormat="1" applyFont="1" applyFill="1" applyBorder="1" applyAlignment="1">
      <alignment horizontal="left" vertical="center" wrapText="1"/>
    </xf>
    <xf numFmtId="0" fontId="5" fillId="7" borderId="11" xfId="0" applyNumberFormat="1" applyFont="1" applyFill="1" applyBorder="1" applyAlignment="1">
      <alignment horizontal="left" vertical="center" wrapText="1"/>
    </xf>
    <xf numFmtId="0" fontId="5" fillId="7" borderId="3" xfId="0" applyNumberFormat="1" applyFont="1" applyFill="1" applyBorder="1" applyAlignment="1">
      <alignment horizontal="left" vertical="center" wrapText="1"/>
    </xf>
    <xf numFmtId="0" fontId="29" fillId="0" borderId="3" xfId="0" applyNumberFormat="1" applyFont="1" applyBorder="1" applyAlignment="1">
      <alignment horizontal="left" vertical="center" wrapText="1"/>
    </xf>
    <xf numFmtId="0" fontId="5" fillId="13" borderId="3" xfId="0" applyNumberFormat="1" applyFont="1" applyFill="1" applyBorder="1" applyAlignment="1">
      <alignment horizontal="left" vertical="center" wrapText="1"/>
    </xf>
    <xf numFmtId="168" fontId="0" fillId="12" borderId="14" xfId="0" applyNumberFormat="1" applyFont="1" applyFill="1" applyBorder="1" applyAlignment="1" applyProtection="1">
      <alignment horizontal="center" vertical="center" wrapText="1"/>
      <protection locked="0"/>
    </xf>
    <xf numFmtId="0" fontId="5" fillId="13" borderId="11" xfId="0" applyNumberFormat="1" applyFont="1" applyFill="1" applyBorder="1" applyAlignment="1">
      <alignment horizontal="left" vertical="center" wrapText="1"/>
    </xf>
    <xf numFmtId="0" fontId="5" fillId="0" borderId="10" xfId="0" applyNumberFormat="1" applyFont="1" applyBorder="1" applyAlignment="1">
      <alignment horizontal="center" vertical="center" wrapText="1"/>
    </xf>
    <xf numFmtId="0" fontId="5" fillId="0" borderId="18" xfId="0" applyNumberFormat="1" applyFont="1" applyBorder="1" applyAlignment="1">
      <alignment horizontal="center" vertical="center" wrapText="1"/>
    </xf>
    <xf numFmtId="0" fontId="0" fillId="0" borderId="27" xfId="0" applyNumberFormat="1" applyFont="1" applyBorder="1" applyAlignment="1">
      <alignment horizontal="center" vertical="center" wrapText="1"/>
    </xf>
    <xf numFmtId="0" fontId="18" fillId="0" borderId="3" xfId="0" applyNumberFormat="1" applyFont="1" applyBorder="1" applyAlignment="1">
      <alignment horizontal="center" vertical="center" wrapText="1"/>
    </xf>
    <xf numFmtId="49" fontId="5" fillId="13" borderId="3" xfId="0" applyNumberFormat="1" applyFont="1" applyFill="1" applyBorder="1" applyAlignment="1">
      <alignment horizontal="left" vertical="center" wrapText="1" indent="1"/>
    </xf>
    <xf numFmtId="0" fontId="0" fillId="8" borderId="28" xfId="0" applyNumberFormat="1" applyFont="1" applyFill="1" applyBorder="1" applyAlignment="1">
      <alignment horizontal="center" vertical="center" wrapText="1"/>
    </xf>
    <xf numFmtId="0" fontId="0" fillId="8" borderId="11" xfId="0" applyNumberFormat="1" applyFont="1" applyFill="1" applyBorder="1" applyAlignment="1">
      <alignment horizontal="center" vertical="center" wrapText="1"/>
    </xf>
    <xf numFmtId="0" fontId="0" fillId="8" borderId="13" xfId="0" applyNumberFormat="1" applyFont="1" applyFill="1" applyBorder="1" applyAlignment="1">
      <alignment horizontal="center" vertical="center" wrapText="1"/>
    </xf>
    <xf numFmtId="0" fontId="0" fillId="8" borderId="0" xfId="0" applyNumberFormat="1" applyFont="1" applyFill="1" applyAlignment="1">
      <alignment horizontal="center" vertical="center" wrapText="1"/>
    </xf>
    <xf numFmtId="0" fontId="0" fillId="8" borderId="15" xfId="0" applyNumberFormat="1" applyFont="1" applyFill="1" applyBorder="1" applyAlignment="1">
      <alignment horizontal="center" vertical="center" wrapText="1"/>
    </xf>
    <xf numFmtId="0" fontId="0" fillId="8" borderId="21" xfId="0" applyNumberFormat="1" applyFont="1" applyFill="1" applyBorder="1" applyAlignment="1">
      <alignment horizontal="center" vertical="center" wrapText="1"/>
    </xf>
    <xf numFmtId="0" fontId="0" fillId="8" borderId="18" xfId="0" applyNumberFormat="1" applyFont="1" applyFill="1" applyBorder="1" applyAlignment="1">
      <alignment horizontal="center" vertical="center" wrapText="1"/>
    </xf>
    <xf numFmtId="0" fontId="0" fillId="8" borderId="20" xfId="0" applyNumberFormat="1" applyFont="1" applyFill="1" applyBorder="1" applyAlignment="1">
      <alignment horizontal="center" vertical="center" wrapText="1"/>
    </xf>
    <xf numFmtId="0" fontId="5" fillId="8" borderId="28" xfId="0" applyNumberFormat="1" applyFont="1" applyFill="1" applyBorder="1" applyAlignment="1">
      <alignment horizontal="center" vertical="center" wrapText="1"/>
    </xf>
    <xf numFmtId="0" fontId="5" fillId="8" borderId="13" xfId="0" applyNumberFormat="1" applyFont="1" applyFill="1" applyBorder="1" applyAlignment="1">
      <alignment horizontal="center" vertical="center" wrapText="1"/>
    </xf>
    <xf numFmtId="0" fontId="5" fillId="8" borderId="21" xfId="0" applyNumberFormat="1" applyFont="1" applyFill="1" applyBorder="1" applyAlignment="1">
      <alignment horizontal="center" vertical="center" wrapText="1"/>
    </xf>
    <xf numFmtId="0" fontId="5" fillId="12" borderId="3" xfId="0" applyNumberFormat="1" applyFont="1" applyFill="1" applyBorder="1" applyAlignment="1" applyProtection="1">
      <alignment horizontal="center" vertical="center" wrapText="1"/>
      <protection locked="0"/>
    </xf>
    <xf numFmtId="0" fontId="5" fillId="7" borderId="3" xfId="0" applyNumberFormat="1" applyFont="1" applyFill="1" applyBorder="1" applyAlignment="1">
      <alignment horizontal="center" vertical="center" wrapText="1"/>
    </xf>
    <xf numFmtId="0" fontId="5" fillId="8" borderId="8" xfId="0" applyNumberFormat="1" applyFont="1" applyFill="1" applyBorder="1" applyAlignment="1">
      <alignment horizontal="left" vertical="center" wrapText="1"/>
    </xf>
    <xf numFmtId="0" fontId="5" fillId="8" borderId="27" xfId="0" applyNumberFormat="1" applyFont="1" applyFill="1" applyBorder="1" applyAlignment="1">
      <alignment horizontal="left" vertical="center" wrapText="1"/>
    </xf>
    <xf numFmtId="0" fontId="5" fillId="8" borderId="14" xfId="0" applyNumberFormat="1" applyFont="1" applyFill="1" applyBorder="1" applyAlignment="1">
      <alignment horizontal="left" vertical="center" wrapText="1"/>
    </xf>
    <xf numFmtId="49" fontId="5" fillId="12" borderId="8" xfId="0" applyNumberFormat="1" applyFont="1" applyFill="1" applyBorder="1" applyAlignment="1" applyProtection="1">
      <alignment horizontal="left" vertical="center" wrapText="1" indent="6"/>
      <protection locked="0"/>
    </xf>
    <xf numFmtId="49" fontId="5" fillId="12" borderId="27" xfId="0" applyNumberFormat="1" applyFont="1" applyFill="1" applyBorder="1" applyAlignment="1" applyProtection="1">
      <alignment horizontal="left" vertical="center" wrapText="1" indent="6"/>
      <protection locked="0"/>
    </xf>
    <xf numFmtId="49" fontId="5" fillId="12" borderId="14" xfId="0" applyNumberFormat="1" applyFont="1" applyFill="1" applyBorder="1" applyAlignment="1" applyProtection="1">
      <alignment horizontal="left" vertical="center" wrapText="1" indent="6"/>
      <protection locked="0"/>
    </xf>
    <xf numFmtId="0" fontId="29" fillId="0" borderId="15" xfId="0" applyNumberFormat="1" applyFont="1" applyBorder="1" applyAlignment="1">
      <alignment horizontal="center" vertical="top" wrapText="1"/>
    </xf>
    <xf numFmtId="49" fontId="5" fillId="0" borderId="3" xfId="0" applyNumberFormat="1" applyFont="1" applyBorder="1" applyAlignment="1">
      <alignment horizontal="left" vertical="center" wrapText="1" indent="1"/>
    </xf>
    <xf numFmtId="0" fontId="26" fillId="0" borderId="3" xfId="0" applyNumberFormat="1" applyFont="1" applyBorder="1" applyAlignment="1">
      <alignment horizontal="left" vertical="top" wrapText="1"/>
    </xf>
    <xf numFmtId="0" fontId="5" fillId="9" borderId="5" xfId="0" applyNumberFormat="1" applyFont="1" applyFill="1" applyBorder="1" applyAlignment="1" applyProtection="1">
      <alignment horizontal="left" vertical="center" wrapText="1"/>
      <protection locked="0"/>
    </xf>
    <xf numFmtId="0" fontId="5" fillId="9" borderId="6" xfId="0" applyNumberFormat="1" applyFont="1" applyFill="1" applyBorder="1" applyAlignment="1" applyProtection="1">
      <alignment horizontal="left" vertical="center" wrapText="1"/>
      <protection locked="0"/>
    </xf>
    <xf numFmtId="0" fontId="5" fillId="9" borderId="4" xfId="0" applyNumberFormat="1" applyFont="1" applyFill="1" applyBorder="1" applyAlignment="1" applyProtection="1">
      <alignment horizontal="left" vertical="center" wrapText="1"/>
      <protection locked="0"/>
    </xf>
    <xf numFmtId="49" fontId="5" fillId="9" borderId="5" xfId="0" applyNumberFormat="1" applyFont="1" applyFill="1" applyBorder="1" applyAlignment="1" applyProtection="1">
      <alignment horizontal="left" vertical="center" wrapText="1"/>
      <protection locked="0"/>
    </xf>
    <xf numFmtId="49" fontId="5" fillId="9" borderId="6" xfId="0" applyNumberFormat="1" applyFont="1" applyFill="1" applyBorder="1" applyAlignment="1" applyProtection="1">
      <alignment horizontal="left" vertical="center" wrapText="1"/>
      <protection locked="0"/>
    </xf>
    <xf numFmtId="49" fontId="5" fillId="9" borderId="4" xfId="0" applyNumberFormat="1" applyFont="1" applyFill="1" applyBorder="1" applyAlignment="1" applyProtection="1">
      <alignment horizontal="left" vertical="center" wrapText="1"/>
      <protection locked="0"/>
    </xf>
    <xf numFmtId="0" fontId="5" fillId="12" borderId="4" xfId="0" applyNumberFormat="1" applyFont="1" applyFill="1" applyBorder="1" applyAlignment="1" applyProtection="1">
      <alignment horizontal="center" vertical="center" wrapText="1"/>
      <protection locked="0"/>
    </xf>
    <xf numFmtId="4" fontId="5" fillId="12" borderId="3" xfId="0" applyNumberFormat="1" applyFont="1" applyFill="1" applyBorder="1" applyAlignment="1" applyProtection="1">
      <alignment horizontal="center" vertical="center" wrapText="1"/>
      <protection locked="0"/>
    </xf>
    <xf numFmtId="49" fontId="5" fillId="13" borderId="11" xfId="0" applyNumberFormat="1" applyFont="1" applyFill="1" applyBorder="1" applyAlignment="1">
      <alignment horizontal="center" vertical="center" wrapText="1"/>
    </xf>
    <xf numFmtId="49" fontId="5" fillId="13" borderId="20" xfId="0" applyNumberFormat="1" applyFont="1" applyFill="1" applyBorder="1" applyAlignment="1">
      <alignment horizontal="center" vertical="center" wrapText="1"/>
    </xf>
    <xf numFmtId="49" fontId="5" fillId="9" borderId="8" xfId="0" applyNumberFormat="1" applyFont="1" applyFill="1" applyBorder="1" applyAlignment="1" applyProtection="1">
      <alignment horizontal="left" vertical="center" wrapText="1" indent="6"/>
      <protection locked="0"/>
    </xf>
    <xf numFmtId="49" fontId="5" fillId="9" borderId="27" xfId="0" applyNumberFormat="1" applyFont="1" applyFill="1" applyBorder="1" applyAlignment="1" applyProtection="1">
      <alignment horizontal="left" vertical="center" wrapText="1" indent="6"/>
      <protection locked="0"/>
    </xf>
    <xf numFmtId="49" fontId="5" fillId="9" borderId="14" xfId="0" applyNumberFormat="1" applyFont="1" applyFill="1" applyBorder="1" applyAlignment="1" applyProtection="1">
      <alignment horizontal="left" vertical="center" wrapText="1" indent="6"/>
      <protection locked="0"/>
    </xf>
    <xf numFmtId="4" fontId="5" fillId="12" borderId="3" xfId="0" applyNumberFormat="1" applyFont="1" applyFill="1" applyBorder="1" applyAlignment="1" applyProtection="1">
      <alignment horizontal="left" vertical="center" wrapText="1" indent="1"/>
      <protection locked="0"/>
    </xf>
    <xf numFmtId="0" fontId="29" fillId="0" borderId="10" xfId="0" applyNumberFormat="1" applyFont="1" applyBorder="1" applyAlignment="1">
      <alignment horizontal="left" vertical="center" wrapText="1"/>
    </xf>
    <xf numFmtId="49" fontId="5" fillId="8" borderId="3" xfId="11" applyNumberFormat="1" applyFont="1" applyFill="1" applyBorder="1" applyAlignment="1">
      <alignment horizontal="center" vertical="center" wrapText="1"/>
    </xf>
    <xf numFmtId="0" fontId="5" fillId="0" borderId="6" xfId="0" applyNumberFormat="1" applyFont="1" applyBorder="1" applyAlignment="1">
      <alignment horizontal="right" vertical="center" wrapText="1" indent="1"/>
    </xf>
    <xf numFmtId="0" fontId="5" fillId="0" borderId="4" xfId="0" applyNumberFormat="1" applyFont="1" applyBorder="1" applyAlignment="1">
      <alignment horizontal="right" vertical="center" wrapText="1" indent="1"/>
    </xf>
    <xf numFmtId="0" fontId="5" fillId="0" borderId="5" xfId="0" applyNumberFormat="1" applyFont="1" applyBorder="1" applyAlignment="1">
      <alignment horizontal="right" vertical="center" wrapText="1"/>
    </xf>
    <xf numFmtId="0" fontId="5" fillId="0" borderId="6" xfId="0" applyNumberFormat="1" applyFont="1" applyBorder="1" applyAlignment="1">
      <alignment horizontal="right" vertical="center" wrapText="1"/>
    </xf>
    <xf numFmtId="49" fontId="73" fillId="19" borderId="0" xfId="0" applyNumberFormat="1" applyFont="1" applyFill="1" applyAlignment="1">
      <alignment horizontal="center" vertical="center" textRotation="90" wrapText="1"/>
    </xf>
    <xf numFmtId="0" fontId="54" fillId="0" borderId="0" xfId="0" applyNumberFormat="1" applyFont="1" applyAlignment="1">
      <alignment horizontal="center" vertical="center" wrapText="1"/>
    </xf>
    <xf numFmtId="0" fontId="28" fillId="0" borderId="0" xfId="0" applyNumberFormat="1" applyFont="1" applyAlignment="1">
      <alignment horizontal="center" vertical="top"/>
    </xf>
    <xf numFmtId="0" fontId="5" fillId="0" borderId="14" xfId="0" applyNumberFormat="1" applyFont="1" applyBorder="1" applyAlignment="1">
      <alignment horizontal="left" vertical="center" wrapText="1"/>
    </xf>
    <xf numFmtId="0" fontId="0" fillId="0" borderId="5" xfId="0" applyNumberFormat="1" applyFont="1" applyBorder="1" applyAlignment="1">
      <alignment horizontal="right" vertical="center" wrapText="1" indent="1"/>
    </xf>
    <xf numFmtId="0" fontId="0" fillId="0" borderId="6" xfId="0" applyNumberFormat="1" applyFont="1" applyBorder="1" applyAlignment="1">
      <alignment horizontal="right" vertical="center" wrapText="1" indent="1"/>
    </xf>
    <xf numFmtId="0" fontId="0" fillId="0" borderId="4" xfId="0" applyNumberFormat="1" applyFont="1" applyBorder="1" applyAlignment="1">
      <alignment horizontal="right" vertical="center" wrapText="1" indent="1"/>
    </xf>
    <xf numFmtId="49" fontId="29" fillId="0" borderId="8" xfId="0" applyNumberFormat="1" applyFont="1" applyBorder="1" applyAlignment="1">
      <alignment horizontal="center" vertical="center" wrapText="1"/>
    </xf>
    <xf numFmtId="49" fontId="29" fillId="0" borderId="27" xfId="0" applyNumberFormat="1" applyFont="1" applyBorder="1" applyAlignment="1">
      <alignment horizontal="center" vertical="center" wrapText="1"/>
    </xf>
    <xf numFmtId="49" fontId="29" fillId="0" borderId="14" xfId="0" applyNumberFormat="1" applyFont="1" applyBorder="1" applyAlignment="1">
      <alignment horizontal="center" vertical="center" wrapText="1"/>
    </xf>
    <xf numFmtId="0" fontId="0" fillId="7" borderId="3" xfId="0" applyNumberFormat="1" applyFont="1" applyFill="1" applyBorder="1" applyAlignment="1">
      <alignment horizontal="left" vertical="center" wrapText="1" indent="1"/>
    </xf>
    <xf numFmtId="0" fontId="26" fillId="0" borderId="0" xfId="0" applyNumberFormat="1" applyFont="1" applyAlignment="1">
      <alignment horizontal="left" vertical="top" wrapText="1"/>
    </xf>
    <xf numFmtId="0" fontId="5" fillId="8" borderId="5" xfId="0" applyNumberFormat="1" applyFont="1" applyFill="1" applyBorder="1" applyAlignment="1">
      <alignment horizontal="center" vertical="center" wrapText="1"/>
    </xf>
    <xf numFmtId="0" fontId="5" fillId="8" borderId="6" xfId="0" applyNumberFormat="1" applyFont="1" applyFill="1" applyBorder="1" applyAlignment="1">
      <alignment horizontal="center" vertical="center" wrapText="1"/>
    </xf>
    <xf numFmtId="0" fontId="5" fillId="8" borderId="11" xfId="0" applyNumberFormat="1" applyFont="1" applyFill="1" applyBorder="1" applyAlignment="1">
      <alignment horizontal="center" vertical="center" wrapText="1"/>
    </xf>
    <xf numFmtId="0" fontId="5" fillId="8" borderId="3" xfId="0" applyNumberFormat="1" applyFont="1" applyFill="1" applyBorder="1" applyAlignment="1">
      <alignment horizontal="center" vertical="center"/>
    </xf>
    <xf numFmtId="0" fontId="29" fillId="0" borderId="6" xfId="0" applyNumberFormat="1" applyFont="1" applyBorder="1" applyAlignment="1">
      <alignment horizontal="right" vertical="center" wrapText="1" indent="1"/>
    </xf>
    <xf numFmtId="0" fontId="29" fillId="0" borderId="4" xfId="0" applyNumberFormat="1" applyFont="1" applyBorder="1" applyAlignment="1">
      <alignment horizontal="right" vertical="center" wrapText="1" indent="1"/>
    </xf>
    <xf numFmtId="49" fontId="5" fillId="30" borderId="0" xfId="0" applyNumberFormat="1" applyFont="1" applyFill="1" applyAlignment="1">
      <alignment horizontal="center" vertical="center" textRotation="90" wrapText="1"/>
    </xf>
    <xf numFmtId="0" fontId="5" fillId="7" borderId="5" xfId="0" applyNumberFormat="1" applyFont="1" applyFill="1" applyBorder="1" applyAlignment="1">
      <alignment horizontal="left" vertical="top" wrapText="1"/>
    </xf>
    <xf numFmtId="0" fontId="5" fillId="7" borderId="4" xfId="0" applyNumberFormat="1" applyFont="1" applyFill="1" applyBorder="1" applyAlignment="1">
      <alignment horizontal="left" vertical="top" wrapText="1"/>
    </xf>
    <xf numFmtId="0" fontId="5" fillId="7" borderId="5" xfId="0" applyNumberFormat="1" applyFont="1" applyFill="1" applyBorder="1" applyAlignment="1">
      <alignment horizontal="left" vertical="top" wrapText="1" indent="1"/>
    </xf>
    <xf numFmtId="0" fontId="5" fillId="7" borderId="4" xfId="0" applyNumberFormat="1" applyFont="1" applyFill="1" applyBorder="1" applyAlignment="1">
      <alignment horizontal="left" vertical="top" wrapText="1" indent="1"/>
    </xf>
    <xf numFmtId="49" fontId="5" fillId="0" borderId="0" xfId="0" applyNumberFormat="1" applyFont="1" applyAlignment="1">
      <alignment vertical="center" wrapText="1"/>
    </xf>
    <xf numFmtId="0" fontId="17" fillId="0" borderId="15" xfId="0" applyNumberFormat="1" applyFont="1" applyBorder="1" applyAlignment="1">
      <alignment horizontal="center" vertical="center" wrapText="1"/>
    </xf>
    <xf numFmtId="49" fontId="0" fillId="0" borderId="3" xfId="0" applyNumberFormat="1" applyFont="1" applyBorder="1" applyAlignment="1">
      <alignment horizontal="center" vertical="center" wrapText="1"/>
    </xf>
    <xf numFmtId="0" fontId="0" fillId="0" borderId="3" xfId="0" applyNumberFormat="1" applyFont="1" applyBorder="1" applyAlignment="1">
      <alignment horizontal="left" vertical="center" wrapText="1" indent="1"/>
    </xf>
    <xf numFmtId="49" fontId="5" fillId="0" borderId="3" xfId="0" applyNumberFormat="1" applyFont="1" applyBorder="1" applyAlignment="1">
      <alignment horizontal="left" vertical="center" wrapText="1"/>
    </xf>
    <xf numFmtId="49" fontId="5" fillId="0" borderId="5" xfId="0" applyNumberFormat="1" applyFont="1" applyBorder="1" applyAlignment="1">
      <alignment horizontal="center" vertical="center" wrapText="1"/>
    </xf>
    <xf numFmtId="49" fontId="29" fillId="0" borderId="3" xfId="0" applyNumberFormat="1" applyFont="1" applyBorder="1" applyAlignment="1">
      <alignment horizontal="center" vertical="center" wrapText="1"/>
    </xf>
    <xf numFmtId="0" fontId="5" fillId="0" borderId="0" xfId="0" applyNumberFormat="1" applyFont="1" applyAlignment="1">
      <alignment horizontal="left" vertical="center" wrapText="1"/>
    </xf>
    <xf numFmtId="0" fontId="5" fillId="8" borderId="20" xfId="0" applyNumberFormat="1" applyFont="1" applyFill="1" applyBorder="1" applyAlignment="1">
      <alignment horizontal="center" vertical="center" wrapText="1"/>
    </xf>
    <xf numFmtId="0" fontId="5" fillId="0" borderId="51" xfId="0" applyNumberFormat="1" applyFont="1" applyBorder="1" applyAlignment="1">
      <alignment horizontal="center" vertical="center"/>
    </xf>
    <xf numFmtId="0" fontId="5" fillId="0" borderId="52" xfId="0" applyNumberFormat="1" applyFont="1" applyBorder="1" applyAlignment="1">
      <alignment horizontal="center" vertical="center"/>
    </xf>
    <xf numFmtId="0" fontId="5" fillId="0" borderId="58" xfId="0" applyNumberFormat="1" applyFont="1" applyBorder="1" applyAlignment="1">
      <alignment horizontal="center" vertical="center"/>
    </xf>
    <xf numFmtId="0" fontId="5" fillId="0" borderId="64" xfId="0" applyNumberFormat="1" applyFont="1" applyBorder="1" applyAlignment="1">
      <alignment horizontal="center" vertical="center"/>
    </xf>
    <xf numFmtId="0" fontId="5" fillId="0" borderId="34" xfId="0" applyNumberFormat="1" applyFont="1" applyBorder="1" applyAlignment="1">
      <alignment horizontal="center" vertical="center"/>
    </xf>
    <xf numFmtId="49" fontId="0" fillId="0" borderId="3" xfId="0" applyNumberFormat="1" applyFont="1" applyBorder="1" applyAlignment="1">
      <alignment vertical="center" wrapText="1"/>
    </xf>
    <xf numFmtId="49" fontId="0" fillId="0" borderId="3" xfId="0" applyNumberFormat="1" applyFont="1" applyBorder="1" applyAlignment="1">
      <alignment horizontal="left" vertical="center" wrapText="1"/>
    </xf>
    <xf numFmtId="49" fontId="0" fillId="0" borderId="8" xfId="0" applyNumberFormat="1" applyFont="1" applyBorder="1" applyAlignment="1">
      <alignment horizontal="center" vertical="center" wrapText="1"/>
    </xf>
    <xf numFmtId="49" fontId="0" fillId="0" borderId="27" xfId="0" applyNumberFormat="1" applyFont="1" applyBorder="1" applyAlignment="1">
      <alignment horizontal="center" vertical="center" wrapText="1"/>
    </xf>
    <xf numFmtId="49" fontId="0" fillId="0" borderId="14" xfId="0" applyNumberFormat="1" applyFont="1" applyBorder="1" applyAlignment="1">
      <alignment horizontal="center" vertical="center" wrapText="1"/>
    </xf>
    <xf numFmtId="0" fontId="0" fillId="7" borderId="3" xfId="0" applyNumberFormat="1" applyFont="1" applyFill="1" applyBorder="1" applyAlignment="1">
      <alignment horizontal="center" vertical="center" wrapText="1"/>
    </xf>
    <xf numFmtId="49" fontId="0" fillId="0" borderId="3" xfId="0" applyNumberFormat="1" applyFont="1" applyBorder="1" applyAlignment="1">
      <alignment horizontal="center" vertical="center"/>
    </xf>
    <xf numFmtId="49" fontId="5" fillId="0" borderId="6" xfId="0" applyNumberFormat="1" applyFont="1" applyBorder="1" applyAlignment="1">
      <alignment horizontal="center" vertical="center" wrapText="1"/>
    </xf>
    <xf numFmtId="49" fontId="5" fillId="0" borderId="4" xfId="0" applyNumberFormat="1" applyFont="1" applyBorder="1" applyAlignment="1">
      <alignment horizontal="center" vertical="center" wrapText="1"/>
    </xf>
    <xf numFmtId="0" fontId="5" fillId="0" borderId="11" xfId="0" applyNumberFormat="1" applyFont="1" applyBorder="1" applyAlignment="1">
      <alignment horizontal="left" vertical="top" wrapText="1"/>
    </xf>
    <xf numFmtId="0" fontId="5" fillId="8" borderId="4" xfId="0" applyNumberFormat="1" applyFont="1" applyFill="1" applyBorder="1" applyAlignment="1">
      <alignment horizontal="center" vertical="center" wrapText="1"/>
    </xf>
    <xf numFmtId="0" fontId="5" fillId="14" borderId="3" xfId="0" applyNumberFormat="1" applyFont="1" applyFill="1" applyBorder="1" applyAlignment="1">
      <alignment horizontal="center" vertical="center" wrapText="1"/>
    </xf>
    <xf numFmtId="0" fontId="5" fillId="14" borderId="4" xfId="0" applyNumberFormat="1" applyFont="1" applyFill="1" applyBorder="1" applyAlignment="1">
      <alignment horizontal="center" vertical="center" wrapText="1"/>
    </xf>
    <xf numFmtId="49" fontId="5" fillId="14" borderId="3" xfId="0" applyNumberFormat="1" applyFont="1" applyFill="1" applyBorder="1" applyAlignment="1">
      <alignment horizontal="center" vertical="center" wrapText="1"/>
    </xf>
    <xf numFmtId="49" fontId="28" fillId="20" borderId="5" xfId="0" applyNumberFormat="1" applyFont="1" applyFill="1" applyBorder="1" applyAlignment="1">
      <alignment horizontal="center" vertical="center" wrapText="1"/>
    </xf>
    <xf numFmtId="49" fontId="28" fillId="20" borderId="6" xfId="0" applyNumberFormat="1" applyFont="1" applyFill="1" applyBorder="1" applyAlignment="1">
      <alignment horizontal="center" vertical="center" wrapText="1"/>
    </xf>
    <xf numFmtId="49" fontId="28" fillId="20" borderId="4" xfId="0" applyNumberFormat="1" applyFont="1" applyFill="1" applyBorder="1" applyAlignment="1">
      <alignment horizontal="center" vertical="center" wrapText="1"/>
    </xf>
    <xf numFmtId="49" fontId="28" fillId="23" borderId="5" xfId="0" applyNumberFormat="1" applyFont="1" applyFill="1" applyBorder="1" applyAlignment="1">
      <alignment horizontal="center" vertical="center" wrapText="1"/>
    </xf>
    <xf numFmtId="49" fontId="28" fillId="23" borderId="6" xfId="0" applyNumberFormat="1" applyFont="1" applyFill="1" applyBorder="1" applyAlignment="1">
      <alignment horizontal="center" vertical="center" wrapText="1"/>
    </xf>
    <xf numFmtId="49" fontId="28" fillId="23" borderId="4" xfId="0" applyNumberFormat="1" applyFont="1" applyFill="1" applyBorder="1" applyAlignment="1">
      <alignment horizontal="center" vertical="center" wrapText="1"/>
    </xf>
    <xf numFmtId="49" fontId="5" fillId="24" borderId="5" xfId="0" applyNumberFormat="1" applyFont="1" applyFill="1" applyBorder="1" applyAlignment="1">
      <alignment horizontal="center" vertical="center" wrapText="1"/>
    </xf>
    <xf numFmtId="49" fontId="5" fillId="24" borderId="6" xfId="0" applyNumberFormat="1" applyFont="1" applyFill="1" applyBorder="1" applyAlignment="1">
      <alignment horizontal="center" vertical="center" wrapText="1"/>
    </xf>
    <xf numFmtId="49" fontId="5" fillId="14" borderId="10" xfId="0" applyNumberFormat="1" applyFont="1" applyFill="1" applyBorder="1" applyAlignment="1">
      <alignment horizontal="center" vertical="center" wrapText="1"/>
    </xf>
    <xf numFmtId="49" fontId="5" fillId="14" borderId="0" xfId="0" applyNumberFormat="1" applyFont="1" applyFill="1" applyAlignment="1">
      <alignment horizontal="center" vertical="center" wrapText="1"/>
    </xf>
    <xf numFmtId="49" fontId="5" fillId="14" borderId="18" xfId="0" applyNumberFormat="1" applyFont="1" applyFill="1" applyBorder="1" applyAlignment="1">
      <alignment horizontal="center" vertical="center" wrapText="1"/>
    </xf>
    <xf numFmtId="0" fontId="5" fillId="22" borderId="5" xfId="0" applyNumberFormat="1" applyFont="1" applyFill="1" applyBorder="1" applyAlignment="1">
      <alignment horizontal="center" vertical="center" wrapText="1"/>
    </xf>
    <xf numFmtId="0" fontId="5" fillId="22" borderId="6" xfId="0" applyNumberFormat="1" applyFont="1" applyFill="1" applyBorder="1" applyAlignment="1">
      <alignment horizontal="center" vertical="center" wrapText="1"/>
    </xf>
    <xf numFmtId="0" fontId="5" fillId="22" borderId="4" xfId="0" applyNumberFormat="1" applyFont="1" applyFill="1" applyBorder="1" applyAlignment="1">
      <alignment horizontal="center" vertical="center" wrapText="1"/>
    </xf>
    <xf numFmtId="0" fontId="5" fillId="14" borderId="5" xfId="0" applyNumberFormat="1" applyFont="1" applyFill="1" applyBorder="1" applyAlignment="1">
      <alignment horizontal="center" vertical="center" wrapText="1"/>
    </xf>
    <xf numFmtId="0" fontId="0" fillId="0" borderId="3" xfId="0" applyNumberFormat="1" applyFont="1" applyBorder="1" applyAlignment="1">
      <alignment horizontal="left" vertical="center" wrapText="1"/>
    </xf>
    <xf numFmtId="0" fontId="20" fillId="8" borderId="15" xfId="0" applyNumberFormat="1" applyFont="1" applyFill="1" applyBorder="1" applyAlignment="1">
      <alignment horizontal="center" vertical="top" wrapText="1"/>
    </xf>
    <xf numFmtId="49" fontId="0" fillId="8" borderId="14" xfId="0" applyNumberFormat="1" applyFont="1" applyFill="1" applyBorder="1" applyAlignment="1">
      <alignment horizontal="center" vertical="center" wrapText="1"/>
    </xf>
    <xf numFmtId="0" fontId="0" fillId="7" borderId="14" xfId="0" applyNumberFormat="1" applyFont="1" applyFill="1" applyBorder="1" applyAlignment="1">
      <alignment horizontal="left" vertical="center" wrapText="1" indent="1"/>
    </xf>
    <xf numFmtId="0" fontId="5" fillId="0" borderId="6" xfId="0" applyNumberFormat="1" applyFont="1" applyBorder="1" applyAlignment="1">
      <alignment horizontal="left" vertical="top" wrapText="1" indent="1"/>
    </xf>
    <xf numFmtId="0" fontId="20" fillId="8" borderId="0" xfId="0" applyNumberFormat="1" applyFont="1" applyFill="1" applyAlignment="1">
      <alignment horizontal="center" vertical="top" wrapText="1"/>
    </xf>
    <xf numFmtId="49" fontId="17" fillId="8" borderId="10" xfId="0" applyNumberFormat="1" applyFont="1" applyFill="1" applyBorder="1" applyAlignment="1">
      <alignment horizontal="center" vertical="center" wrapText="1"/>
    </xf>
    <xf numFmtId="0" fontId="0" fillId="0" borderId="8" xfId="0" applyNumberFormat="1" applyFont="1" applyBorder="1" applyAlignment="1">
      <alignment horizontal="left" vertical="center" wrapText="1"/>
    </xf>
    <xf numFmtId="0" fontId="0" fillId="7" borderId="5" xfId="0" applyNumberFormat="1" applyFont="1" applyFill="1" applyBorder="1" applyAlignment="1">
      <alignment horizontal="left" vertical="center" wrapText="1" indent="1"/>
    </xf>
    <xf numFmtId="0" fontId="0" fillId="8" borderId="8" xfId="0" applyNumberFormat="1" applyFont="1" applyFill="1" applyBorder="1" applyAlignment="1">
      <alignment horizontal="left" vertical="top" wrapText="1"/>
    </xf>
    <xf numFmtId="0" fontId="0" fillId="8" borderId="27" xfId="0" applyNumberFormat="1" applyFont="1" applyFill="1" applyBorder="1" applyAlignment="1">
      <alignment horizontal="left" vertical="top" wrapText="1"/>
    </xf>
    <xf numFmtId="0" fontId="0" fillId="8" borderId="14" xfId="0" applyNumberFormat="1" applyFont="1" applyFill="1" applyBorder="1" applyAlignment="1">
      <alignment horizontal="left" vertical="top" wrapText="1"/>
    </xf>
    <xf numFmtId="4" fontId="5" fillId="0" borderId="8" xfId="0" applyNumberFormat="1" applyFont="1" applyBorder="1" applyAlignment="1">
      <alignment horizontal="center" vertical="center" wrapText="1"/>
    </xf>
    <xf numFmtId="4" fontId="5" fillId="0" borderId="14" xfId="0" applyNumberFormat="1" applyFont="1" applyBorder="1" applyAlignment="1">
      <alignment horizontal="center" vertical="center" wrapText="1"/>
    </xf>
    <xf numFmtId="4" fontId="5" fillId="0" borderId="27" xfId="0" applyNumberFormat="1" applyFont="1" applyBorder="1" applyAlignment="1">
      <alignment horizontal="center" vertical="center" wrapText="1"/>
    </xf>
    <xf numFmtId="0" fontId="5" fillId="0" borderId="20" xfId="0" applyNumberFormat="1" applyFont="1" applyBorder="1" applyAlignment="1">
      <alignment horizontal="left" vertical="top" wrapText="1"/>
    </xf>
    <xf numFmtId="169" fontId="5" fillId="0" borderId="8" xfId="0" applyNumberFormat="1" applyFont="1" applyBorder="1" applyAlignment="1">
      <alignment horizontal="center" vertical="center" wrapText="1"/>
    </xf>
    <xf numFmtId="169" fontId="5" fillId="0" borderId="14" xfId="0" applyNumberFormat="1" applyFont="1" applyBorder="1" applyAlignment="1">
      <alignment horizontal="center" vertical="center" wrapText="1"/>
    </xf>
    <xf numFmtId="169" fontId="5" fillId="0" borderId="5" xfId="0" applyNumberFormat="1" applyFont="1" applyBorder="1" applyAlignment="1">
      <alignment horizontal="center" vertical="center" wrapText="1"/>
    </xf>
    <xf numFmtId="169" fontId="5" fillId="0" borderId="6" xfId="0" applyNumberFormat="1" applyFont="1" applyBorder="1" applyAlignment="1">
      <alignment horizontal="center" vertical="center" wrapText="1"/>
    </xf>
    <xf numFmtId="169" fontId="5" fillId="0" borderId="4" xfId="0" applyNumberFormat="1" applyFont="1" applyBorder="1" applyAlignment="1">
      <alignment horizontal="center" vertical="center" wrapText="1"/>
    </xf>
    <xf numFmtId="14" fontId="5" fillId="13" borderId="3" xfId="0" applyNumberFormat="1" applyFont="1" applyFill="1" applyBorder="1" applyAlignment="1">
      <alignment horizontal="left" vertical="center" wrapText="1"/>
    </xf>
    <xf numFmtId="49" fontId="5" fillId="13" borderId="5" xfId="0" applyNumberFormat="1" applyFont="1" applyFill="1" applyBorder="1" applyAlignment="1">
      <alignment horizontal="left" vertical="center" wrapText="1"/>
    </xf>
    <xf numFmtId="49" fontId="5" fillId="13" borderId="3" xfId="0" applyNumberFormat="1" applyFont="1" applyFill="1" applyBorder="1" applyAlignment="1">
      <alignment horizontal="left" vertical="center" wrapText="1"/>
    </xf>
    <xf numFmtId="0" fontId="5" fillId="7" borderId="20" xfId="0" applyNumberFormat="1" applyFont="1" applyFill="1" applyBorder="1" applyAlignment="1">
      <alignment horizontal="left" vertical="center" wrapText="1"/>
    </xf>
    <xf numFmtId="14" fontId="5" fillId="13" borderId="14" xfId="0" applyNumberFormat="1" applyFont="1" applyFill="1" applyBorder="1" applyAlignment="1">
      <alignment horizontal="left" vertical="center" wrapText="1"/>
    </xf>
    <xf numFmtId="49" fontId="5" fillId="0" borderId="3" xfId="0" applyNumberFormat="1" applyFont="1" applyBorder="1" applyAlignment="1">
      <alignment horizontal="left" vertical="top" wrapText="1"/>
    </xf>
    <xf numFmtId="49" fontId="109" fillId="0" borderId="3" xfId="0" applyNumberFormat="1" applyFont="1" applyBorder="1" applyAlignment="1">
      <alignment horizontal="left" vertical="top" wrapText="1"/>
    </xf>
    <xf numFmtId="0" fontId="5" fillId="0" borderId="6" xfId="0" applyNumberFormat="1" applyFont="1" applyBorder="1" applyAlignment="1">
      <alignment horizontal="left" vertical="center" wrapText="1"/>
    </xf>
    <xf numFmtId="169" fontId="5" fillId="0" borderId="27" xfId="0" applyNumberFormat="1" applyFont="1" applyBorder="1" applyAlignment="1">
      <alignment horizontal="center" vertical="center" wrapText="1"/>
    </xf>
    <xf numFmtId="169" fontId="5" fillId="0" borderId="3" xfId="0" applyNumberFormat="1" applyFont="1" applyBorder="1" applyAlignment="1">
      <alignment horizontal="center" vertical="center" wrapText="1"/>
    </xf>
    <xf numFmtId="169" fontId="26" fillId="0" borderId="10" xfId="0" applyNumberFormat="1" applyFont="1" applyBorder="1" applyAlignment="1">
      <alignment horizontal="center" vertical="center" wrapText="1"/>
    </xf>
    <xf numFmtId="49" fontId="5" fillId="13" borderId="21" xfId="0" applyNumberFormat="1" applyFont="1" applyFill="1" applyBorder="1" applyAlignment="1">
      <alignment horizontal="left" vertical="center" wrapText="1"/>
    </xf>
    <xf numFmtId="49" fontId="5" fillId="13" borderId="14" xfId="0" applyNumberFormat="1" applyFont="1" applyFill="1" applyBorder="1" applyAlignment="1">
      <alignment horizontal="left" vertical="center" wrapText="1"/>
    </xf>
    <xf numFmtId="49" fontId="5" fillId="0" borderId="0" xfId="0" applyNumberFormat="1" applyFont="1" applyAlignment="1">
      <alignment horizontal="left" vertical="top" wrapText="1"/>
    </xf>
    <xf numFmtId="0" fontId="5" fillId="0" borderId="4" xfId="0" applyNumberFormat="1" applyFont="1" applyBorder="1" applyAlignment="1">
      <alignment horizontal="left" vertical="center" wrapText="1" indent="1"/>
    </xf>
    <xf numFmtId="0" fontId="5" fillId="0" borderId="5" xfId="0" applyNumberFormat="1" applyFont="1" applyBorder="1" applyAlignment="1">
      <alignment horizontal="left" vertical="center" wrapText="1" indent="1"/>
    </xf>
    <xf numFmtId="49" fontId="0" fillId="0" borderId="6" xfId="0" applyNumberFormat="1" applyFont="1" applyBorder="1" applyAlignment="1">
      <alignment horizontal="left" vertical="center" indent="1"/>
    </xf>
    <xf numFmtId="49" fontId="5" fillId="9" borderId="3" xfId="0" applyNumberFormat="1" applyFont="1" applyFill="1" applyBorder="1" applyAlignment="1" applyProtection="1">
      <alignment horizontal="left" vertical="center" wrapText="1"/>
      <protection locked="0"/>
    </xf>
    <xf numFmtId="49" fontId="0" fillId="12" borderId="3" xfId="0" applyNumberFormat="1" applyFont="1" applyFill="1" applyBorder="1" applyAlignment="1" applyProtection="1">
      <alignment horizontal="left" vertical="center" wrapText="1"/>
      <protection locked="0"/>
    </xf>
    <xf numFmtId="0" fontId="0" fillId="13" borderId="3" xfId="0" applyNumberFormat="1" applyFont="1" applyFill="1" applyBorder="1" applyAlignment="1">
      <alignment horizontal="left" vertical="center" wrapText="1"/>
    </xf>
    <xf numFmtId="49" fontId="0" fillId="13" borderId="3" xfId="0" applyNumberFormat="1" applyFont="1" applyFill="1" applyBorder="1" applyAlignment="1">
      <alignment horizontal="left" vertical="center" wrapText="1"/>
    </xf>
    <xf numFmtId="3" fontId="5" fillId="12" borderId="3" xfId="0" applyNumberFormat="1" applyFont="1" applyFill="1" applyBorder="1" applyAlignment="1" applyProtection="1">
      <alignment horizontal="center" vertical="center" wrapText="1"/>
      <protection locked="0"/>
    </xf>
    <xf numFmtId="49" fontId="5" fillId="13" borderId="5" xfId="0" applyNumberFormat="1" applyFont="1" applyFill="1" applyBorder="1" applyAlignment="1">
      <alignment horizontal="center" vertical="center" wrapText="1"/>
    </xf>
    <xf numFmtId="49" fontId="105" fillId="0" borderId="3" xfId="0" applyNumberFormat="1" applyFont="1" applyBorder="1" applyAlignment="1">
      <alignment horizontal="center" vertical="center" wrapText="1"/>
    </xf>
    <xf numFmtId="0" fontId="26" fillId="0" borderId="4" xfId="0" applyNumberFormat="1" applyFont="1" applyBorder="1" applyAlignment="1">
      <alignment horizontal="center" vertical="center"/>
    </xf>
    <xf numFmtId="49" fontId="5" fillId="13" borderId="8" xfId="0" applyNumberFormat="1" applyFont="1" applyFill="1" applyBorder="1" applyAlignment="1">
      <alignment horizontal="left" vertical="center" wrapText="1" indent="1"/>
    </xf>
    <xf numFmtId="49" fontId="5" fillId="13" borderId="27" xfId="0" applyNumberFormat="1" applyFont="1" applyFill="1" applyBorder="1" applyAlignment="1">
      <alignment horizontal="left" vertical="center" wrapText="1" indent="1"/>
    </xf>
    <xf numFmtId="49" fontId="5" fillId="13" borderId="14" xfId="0" applyNumberFormat="1" applyFont="1" applyFill="1" applyBorder="1" applyAlignment="1">
      <alignment horizontal="left" vertical="center" wrapText="1" indent="1"/>
    </xf>
    <xf numFmtId="49" fontId="5" fillId="7" borderId="3" xfId="0" applyNumberFormat="1" applyFont="1" applyFill="1" applyBorder="1" applyAlignment="1">
      <alignment horizontal="left" vertical="center" wrapText="1"/>
    </xf>
    <xf numFmtId="49" fontId="5" fillId="13" borderId="4" xfId="0" applyNumberFormat="1" applyFont="1" applyFill="1" applyBorder="1" applyAlignment="1">
      <alignment horizontal="left" vertical="center" wrapText="1"/>
    </xf>
    <xf numFmtId="49" fontId="5" fillId="12" borderId="3" xfId="0" applyNumberFormat="1" applyFont="1" applyFill="1" applyBorder="1" applyAlignment="1" applyProtection="1">
      <alignment horizontal="left" vertical="center" wrapText="1"/>
      <protection locked="0"/>
    </xf>
    <xf numFmtId="0" fontId="21" fillId="10" borderId="6" xfId="0" applyNumberFormat="1" applyFont="1" applyFill="1" applyBorder="1" applyAlignment="1">
      <alignment horizontal="left" vertical="center"/>
    </xf>
    <xf numFmtId="0" fontId="21" fillId="10" borderId="4" xfId="0" applyNumberFormat="1" applyFont="1" applyFill="1" applyBorder="1" applyAlignment="1">
      <alignment horizontal="left" vertical="center"/>
    </xf>
    <xf numFmtId="0" fontId="21" fillId="10" borderId="10" xfId="0" applyNumberFormat="1" applyFont="1" applyFill="1" applyBorder="1" applyAlignment="1">
      <alignment horizontal="left" vertical="center"/>
    </xf>
    <xf numFmtId="0" fontId="21" fillId="10" borderId="11" xfId="0" applyNumberFormat="1" applyFont="1" applyFill="1" applyBorder="1" applyAlignment="1">
      <alignment horizontal="left" vertical="center"/>
    </xf>
    <xf numFmtId="49" fontId="5" fillId="12" borderId="8" xfId="0" applyNumberFormat="1" applyFont="1" applyFill="1" applyBorder="1" applyAlignment="1" applyProtection="1">
      <alignment horizontal="left" vertical="center" wrapText="1"/>
      <protection locked="0"/>
    </xf>
    <xf numFmtId="49" fontId="5" fillId="0" borderId="27" xfId="0" applyNumberFormat="1" applyFont="1" applyBorder="1" applyAlignment="1">
      <alignment horizontal="center" vertical="center"/>
    </xf>
    <xf numFmtId="0" fontId="5" fillId="13" borderId="8" xfId="0" applyNumberFormat="1" applyFont="1" applyFill="1" applyBorder="1" applyAlignment="1">
      <alignment horizontal="left" vertical="center" wrapText="1"/>
    </xf>
    <xf numFmtId="0" fontId="5" fillId="13" borderId="27" xfId="0" applyNumberFormat="1" applyFont="1" applyFill="1" applyBorder="1" applyAlignment="1">
      <alignment horizontal="left" vertical="center" wrapText="1"/>
    </xf>
    <xf numFmtId="49" fontId="5" fillId="13" borderId="8" xfId="0" applyNumberFormat="1" applyFont="1" applyFill="1" applyBorder="1" applyAlignment="1">
      <alignment horizontal="left" vertical="center" wrapText="1"/>
    </xf>
    <xf numFmtId="0" fontId="5" fillId="0" borderId="15" xfId="0" applyNumberFormat="1" applyFont="1" applyBorder="1" applyAlignment="1">
      <alignment horizontal="center" vertical="center"/>
    </xf>
    <xf numFmtId="49" fontId="5" fillId="9" borderId="8" xfId="0" applyNumberFormat="1" applyFont="1" applyFill="1" applyBorder="1" applyAlignment="1" applyProtection="1">
      <alignment horizontal="left" vertical="center" wrapText="1"/>
      <protection locked="0"/>
    </xf>
    <xf numFmtId="0" fontId="0" fillId="0" borderId="3" xfId="0" applyNumberFormat="1" applyFont="1" applyBorder="1" applyAlignment="1">
      <alignment horizontal="center" vertical="center"/>
    </xf>
    <xf numFmtId="0" fontId="5" fillId="13" borderId="3" xfId="0" applyNumberFormat="1" applyFont="1" applyFill="1" applyBorder="1" applyAlignment="1">
      <alignment horizontal="left" vertical="top" wrapText="1"/>
    </xf>
    <xf numFmtId="49" fontId="0" fillId="13" borderId="3" xfId="0" applyNumberFormat="1" applyFont="1" applyFill="1" applyBorder="1" applyAlignment="1">
      <alignment horizontal="left" vertical="top"/>
    </xf>
    <xf numFmtId="49" fontId="0" fillId="9" borderId="3" xfId="0" applyNumberFormat="1" applyFont="1" applyFill="1" applyBorder="1" applyAlignment="1" applyProtection="1">
      <alignment horizontal="left" vertical="top"/>
      <protection locked="0"/>
    </xf>
    <xf numFmtId="49" fontId="28" fillId="0" borderId="5" xfId="0" applyNumberFormat="1" applyFont="1" applyBorder="1" applyAlignment="1">
      <alignment horizontal="center" vertical="center" wrapText="1"/>
    </xf>
    <xf numFmtId="49" fontId="21" fillId="10" borderId="42" xfId="0" applyNumberFormat="1" applyFont="1" applyFill="1" applyBorder="1" applyAlignment="1">
      <alignment horizontal="left" vertical="center" indent="1"/>
    </xf>
    <xf numFmtId="49" fontId="5" fillId="7" borderId="3" xfId="0" applyNumberFormat="1" applyFont="1" applyFill="1" applyBorder="1" applyAlignment="1">
      <alignment horizontal="center" vertical="center" wrapText="1"/>
    </xf>
    <xf numFmtId="49" fontId="5" fillId="7" borderId="65" xfId="0" applyNumberFormat="1" applyFont="1" applyFill="1" applyBorder="1" applyAlignment="1">
      <alignment horizontal="center" vertical="center" wrapText="1"/>
    </xf>
    <xf numFmtId="3" fontId="28" fillId="0" borderId="3" xfId="0" applyNumberFormat="1" applyFont="1" applyBorder="1" applyAlignment="1">
      <alignment horizontal="center" vertical="center" wrapText="1"/>
    </xf>
    <xf numFmtId="49" fontId="28" fillId="0" borderId="3" xfId="0" applyNumberFormat="1" applyFont="1" applyBorder="1" applyAlignment="1">
      <alignment horizontal="left" vertical="center" wrapText="1"/>
    </xf>
    <xf numFmtId="49" fontId="28" fillId="0" borderId="4" xfId="0" applyNumberFormat="1" applyFont="1" applyBorder="1" applyAlignment="1">
      <alignment horizontal="center" vertical="center" wrapText="1"/>
    </xf>
    <xf numFmtId="49" fontId="28" fillId="0" borderId="4" xfId="0" applyNumberFormat="1" applyFont="1" applyBorder="1" applyAlignment="1">
      <alignment horizontal="left" vertical="center" wrapText="1"/>
    </xf>
    <xf numFmtId="49" fontId="107" fillId="0" borderId="4" xfId="0" applyNumberFormat="1" applyFont="1" applyBorder="1" applyAlignment="1">
      <alignment horizontal="center" vertical="center" wrapText="1"/>
    </xf>
    <xf numFmtId="0" fontId="76" fillId="0" borderId="3" xfId="0" applyNumberFormat="1" applyFont="1" applyBorder="1" applyAlignment="1">
      <alignment horizontal="center" vertical="center"/>
    </xf>
    <xf numFmtId="49" fontId="5" fillId="13" borderId="3" xfId="0" applyNumberFormat="1" applyFont="1" applyFill="1" applyBorder="1" applyAlignment="1">
      <alignment horizontal="center" vertical="top" wrapText="1"/>
    </xf>
    <xf numFmtId="49" fontId="5" fillId="13" borderId="5" xfId="0" applyNumberFormat="1" applyFont="1" applyFill="1" applyBorder="1" applyAlignment="1">
      <alignment horizontal="center" vertical="top" wrapText="1"/>
    </xf>
    <xf numFmtId="0" fontId="5" fillId="9" borderId="3" xfId="0" applyNumberFormat="1" applyFont="1" applyFill="1" applyBorder="1" applyAlignment="1" applyProtection="1">
      <alignment horizontal="left" vertical="top" wrapText="1"/>
      <protection locked="0"/>
    </xf>
    <xf numFmtId="168" fontId="0" fillId="9" borderId="3" xfId="0" applyNumberFormat="1" applyFont="1" applyFill="1" applyBorder="1" applyAlignment="1" applyProtection="1">
      <alignment horizontal="center" vertical="top" wrapText="1"/>
      <protection locked="0"/>
    </xf>
    <xf numFmtId="49" fontId="0" fillId="9" borderId="3" xfId="0" applyNumberFormat="1" applyFont="1" applyFill="1" applyBorder="1" applyAlignment="1" applyProtection="1">
      <alignment horizontal="center" vertical="top" wrapText="1"/>
      <protection locked="0"/>
    </xf>
    <xf numFmtId="49" fontId="5" fillId="12" borderId="3" xfId="0" applyNumberFormat="1" applyFont="1" applyFill="1" applyBorder="1" applyAlignment="1" applyProtection="1">
      <alignment horizontal="left" vertical="top" wrapText="1"/>
      <protection locked="0"/>
    </xf>
    <xf numFmtId="49" fontId="0" fillId="7" borderId="3" xfId="0" applyNumberFormat="1" applyFont="1" applyFill="1" applyBorder="1" applyAlignment="1">
      <alignment horizontal="center" vertical="top" wrapText="1"/>
    </xf>
    <xf numFmtId="0" fontId="5" fillId="7" borderId="3" xfId="0" applyNumberFormat="1" applyFont="1" applyFill="1" applyBorder="1" applyAlignment="1">
      <alignment horizontal="center" vertical="top" wrapText="1"/>
    </xf>
    <xf numFmtId="14" fontId="63" fillId="0" borderId="8" xfId="0" applyNumberFormat="1" applyFont="1" applyBorder="1" applyAlignment="1">
      <alignment horizontal="center" vertical="center" wrapText="1"/>
    </xf>
    <xf numFmtId="14" fontId="63" fillId="0" borderId="27" xfId="0" applyNumberFormat="1" applyFont="1" applyBorder="1" applyAlignment="1">
      <alignment horizontal="center" vertical="center" wrapText="1"/>
    </xf>
    <xf numFmtId="0" fontId="57" fillId="0" borderId="3" xfId="0" applyNumberFormat="1" applyFont="1" applyBorder="1" applyAlignment="1">
      <alignment horizontal="left" vertical="center" wrapText="1" indent="1"/>
    </xf>
    <xf numFmtId="0" fontId="57" fillId="0" borderId="3" xfId="0" applyNumberFormat="1" applyFont="1" applyBorder="1" applyAlignment="1">
      <alignment horizontal="left" vertical="top" indent="1"/>
    </xf>
    <xf numFmtId="0" fontId="17" fillId="0" borderId="3" xfId="0" applyNumberFormat="1" applyFont="1" applyBorder="1" applyAlignment="1">
      <alignment horizontal="center" vertical="center" wrapText="1"/>
    </xf>
    <xf numFmtId="0" fontId="5" fillId="13" borderId="3" xfId="0" applyNumberFormat="1" applyFont="1" applyFill="1" applyBorder="1" applyAlignment="1">
      <alignment horizontal="left" vertical="center" wrapText="1" indent="1"/>
    </xf>
    <xf numFmtId="0" fontId="0" fillId="12" borderId="3" xfId="0" applyNumberFormat="1" applyFont="1" applyFill="1" applyBorder="1" applyAlignment="1" applyProtection="1">
      <alignment horizontal="left" vertical="center" wrapText="1"/>
      <protection locked="0"/>
    </xf>
    <xf numFmtId="49" fontId="0" fillId="12" borderId="5" xfId="0" applyNumberFormat="1" applyFont="1" applyFill="1" applyBorder="1" applyAlignment="1" applyProtection="1">
      <alignment horizontal="left" vertical="center" wrapText="1"/>
      <protection locked="0"/>
    </xf>
    <xf numFmtId="49" fontId="18" fillId="0" borderId="8" xfId="0" applyNumberFormat="1" applyFont="1" applyBorder="1" applyAlignment="1">
      <alignment horizontal="center" vertical="top" wrapText="1"/>
    </xf>
    <xf numFmtId="49" fontId="5" fillId="0" borderId="27" xfId="0" applyNumberFormat="1" applyFont="1" applyBorder="1" applyAlignment="1">
      <alignment horizontal="center" vertical="top" wrapText="1"/>
    </xf>
    <xf numFmtId="49" fontId="5" fillId="0" borderId="14" xfId="0" applyNumberFormat="1" applyFont="1" applyBorder="1" applyAlignment="1">
      <alignment horizontal="center" vertical="top" wrapText="1"/>
    </xf>
    <xf numFmtId="49" fontId="5" fillId="12" borderId="5" xfId="0" applyNumberFormat="1" applyFont="1" applyFill="1" applyBorder="1" applyAlignment="1" applyProtection="1">
      <alignment horizontal="left" vertical="center" wrapText="1" indent="1"/>
      <protection locked="0"/>
    </xf>
    <xf numFmtId="49" fontId="5" fillId="12" borderId="3" xfId="0" applyNumberFormat="1" applyFont="1" applyFill="1" applyBorder="1" applyAlignment="1" applyProtection="1">
      <alignment horizontal="left" vertical="center" wrapText="1" indent="1"/>
      <protection locked="0"/>
    </xf>
    <xf numFmtId="49" fontId="5" fillId="0" borderId="8" xfId="0" applyNumberFormat="1" applyFont="1" applyBorder="1" applyAlignment="1">
      <alignment horizontal="center" vertical="center" wrapText="1"/>
    </xf>
    <xf numFmtId="49" fontId="5" fillId="0" borderId="27" xfId="0" applyNumberFormat="1" applyFont="1" applyBorder="1" applyAlignment="1">
      <alignment horizontal="center" vertical="center" wrapText="1"/>
    </xf>
    <xf numFmtId="49" fontId="5" fillId="0" borderId="14" xfId="0" applyNumberFormat="1" applyFont="1" applyBorder="1" applyAlignment="1">
      <alignment horizontal="center" vertical="center" wrapText="1"/>
    </xf>
    <xf numFmtId="49" fontId="5" fillId="0" borderId="3" xfId="0" applyNumberFormat="1" applyFont="1" applyBorder="1" applyAlignment="1">
      <alignment horizontal="center" vertical="top" wrapText="1"/>
    </xf>
    <xf numFmtId="0" fontId="0" fillId="7" borderId="3" xfId="0" applyNumberFormat="1" applyFont="1" applyFill="1" applyBorder="1" applyAlignment="1">
      <alignment horizontal="left" vertical="top" wrapText="1" indent="1"/>
    </xf>
    <xf numFmtId="49" fontId="5" fillId="13" borderId="8" xfId="0" applyNumberFormat="1" applyFont="1" applyFill="1" applyBorder="1" applyAlignment="1">
      <alignment horizontal="center" vertical="top" wrapText="1"/>
    </xf>
    <xf numFmtId="49" fontId="5" fillId="13" borderId="14" xfId="0" applyNumberFormat="1" applyFont="1" applyFill="1" applyBorder="1" applyAlignment="1">
      <alignment horizontal="center" vertical="top" wrapText="1"/>
    </xf>
    <xf numFmtId="168" fontId="0" fillId="12" borderId="3" xfId="0" applyNumberFormat="1" applyFont="1" applyFill="1" applyBorder="1" applyAlignment="1" applyProtection="1">
      <alignment horizontal="center" vertical="top" wrapText="1"/>
      <protection locked="0"/>
    </xf>
    <xf numFmtId="49" fontId="0" fillId="12" borderId="3" xfId="0" applyNumberFormat="1" applyFont="1" applyFill="1" applyBorder="1" applyAlignment="1" applyProtection="1">
      <alignment horizontal="center" vertical="top" wrapText="1"/>
      <protection locked="0"/>
    </xf>
    <xf numFmtId="49" fontId="5" fillId="13" borderId="3" xfId="0" applyNumberFormat="1" applyFont="1" applyFill="1" applyBorder="1" applyAlignment="1">
      <alignment horizontal="left" vertical="top" wrapText="1"/>
    </xf>
    <xf numFmtId="49" fontId="28" fillId="0" borderId="8" xfId="0" applyNumberFormat="1" applyFont="1" applyBorder="1" applyAlignment="1">
      <alignment horizontal="left" vertical="center" wrapText="1" indent="1"/>
    </xf>
    <xf numFmtId="49" fontId="28" fillId="0" borderId="27" xfId="0" applyNumberFormat="1" applyFont="1" applyBorder="1" applyAlignment="1">
      <alignment horizontal="left" vertical="center" wrapText="1" indent="1"/>
    </xf>
    <xf numFmtId="49" fontId="28" fillId="0" borderId="14" xfId="0" applyNumberFormat="1" applyFont="1" applyBorder="1" applyAlignment="1">
      <alignment horizontal="left" vertical="center" wrapText="1" indent="1"/>
    </xf>
    <xf numFmtId="0" fontId="26" fillId="0" borderId="3" xfId="0" applyNumberFormat="1" applyFont="1" applyBorder="1" applyAlignment="1">
      <alignment horizontal="center" vertical="center"/>
    </xf>
    <xf numFmtId="49" fontId="77" fillId="0" borderId="3" xfId="0" applyNumberFormat="1" applyFont="1" applyBorder="1" applyAlignment="1">
      <alignment horizontal="center" vertical="top" wrapText="1"/>
    </xf>
    <xf numFmtId="0" fontId="77" fillId="14" borderId="3" xfId="0" applyNumberFormat="1" applyFont="1" applyFill="1" applyBorder="1" applyAlignment="1">
      <alignment horizontal="center" vertical="center" wrapText="1"/>
    </xf>
    <xf numFmtId="49" fontId="77" fillId="0" borderId="28" xfId="0" applyNumberFormat="1" applyFont="1" applyBorder="1" applyAlignment="1">
      <alignment horizontal="center" vertical="top" wrapText="1"/>
    </xf>
    <xf numFmtId="49" fontId="77" fillId="0" borderId="21" xfId="0" applyNumberFormat="1" applyFont="1" applyBorder="1" applyAlignment="1">
      <alignment horizontal="center" vertical="top" wrapText="1"/>
    </xf>
    <xf numFmtId="49" fontId="77" fillId="0" borderId="5" xfId="0" applyNumberFormat="1" applyFont="1" applyBorder="1" applyAlignment="1">
      <alignment horizontal="center" vertical="top" wrapText="1"/>
    </xf>
    <xf numFmtId="49" fontId="77" fillId="0" borderId="6" xfId="0" applyNumberFormat="1" applyFont="1" applyBorder="1" applyAlignment="1">
      <alignment horizontal="center" vertical="top" wrapText="1"/>
    </xf>
    <xf numFmtId="49" fontId="77" fillId="0" borderId="4" xfId="0" applyNumberFormat="1" applyFont="1" applyBorder="1" applyAlignment="1">
      <alignment horizontal="center" vertical="top" wrapText="1"/>
    </xf>
    <xf numFmtId="49" fontId="77" fillId="0" borderId="8" xfId="0" applyNumberFormat="1" applyFont="1" applyBorder="1" applyAlignment="1">
      <alignment horizontal="center" vertical="top" wrapText="1"/>
    </xf>
    <xf numFmtId="49" fontId="77" fillId="0" borderId="27" xfId="0" applyNumberFormat="1" applyFont="1" applyBorder="1" applyAlignment="1">
      <alignment horizontal="center" vertical="top" wrapText="1"/>
    </xf>
    <xf numFmtId="49" fontId="77" fillId="0" borderId="14" xfId="0" applyNumberFormat="1" applyFont="1" applyBorder="1" applyAlignment="1">
      <alignment horizontal="center" vertical="top" wrapText="1"/>
    </xf>
    <xf numFmtId="0" fontId="27" fillId="0" borderId="10" xfId="0" applyNumberFormat="1" applyFont="1" applyBorder="1" applyAlignment="1">
      <alignment horizontal="left" vertical="center" wrapText="1" indent="1"/>
    </xf>
    <xf numFmtId="0" fontId="27" fillId="0" borderId="18" xfId="0" applyNumberFormat="1" applyFont="1" applyBorder="1" applyAlignment="1">
      <alignment horizontal="left" vertical="center" wrapText="1" indent="1"/>
    </xf>
    <xf numFmtId="0" fontId="5" fillId="0" borderId="0" xfId="0" applyNumberFormat="1" applyFont="1" applyAlignment="1">
      <alignment horizontal="right" vertical="center" wrapText="1"/>
    </xf>
    <xf numFmtId="4" fontId="5" fillId="7" borderId="3" xfId="0" applyNumberFormat="1" applyFont="1" applyFill="1" applyBorder="1" applyAlignment="1">
      <alignment horizontal="left" vertical="center" wrapText="1"/>
    </xf>
    <xf numFmtId="49" fontId="0" fillId="0" borderId="3" xfId="13" applyNumberFormat="1" applyFont="1" applyBorder="1" applyAlignment="1">
      <alignment horizontal="center" vertical="top"/>
    </xf>
    <xf numFmtId="49" fontId="0" fillId="0" borderId="5" xfId="13" applyNumberFormat="1" applyFont="1" applyBorder="1" applyAlignment="1">
      <alignment horizontal="center" vertical="top"/>
    </xf>
  </cellXfs>
  <cellStyles count="31">
    <cellStyle name=" 1" xfId="2"/>
    <cellStyle name=" 1 2" xfId="3"/>
    <cellStyle name=" 1_Stage1" xfId="2"/>
    <cellStyle name="_Model_RAB Мой_PR.PROG.WARM.NOTCOMBI.2012.2.16_v1.4(04.04.11) " xfId="4"/>
    <cellStyle name="_Model_RAB Мой_Книга2_PR.PROG.WARM.NOTCOMBI.2012.2.16_v1.4(04.04.11) " xfId="4"/>
    <cellStyle name="_Model_RAB_MRSK_svod_PR.PROG.WARM.NOTCOMBI.2012.2.16_v1.4(04.04.11) " xfId="4"/>
    <cellStyle name="_Model_RAB_MRSK_svod_Книга2_PR.PROG.WARM.NOTCOMBI.2012.2.16_v1.4(04.04.11) " xfId="4"/>
    <cellStyle name="_МОДЕЛЬ_1 (2)_PR.PROG.WARM.NOTCOMBI.2012.2.16_v1.4(04.04.11) " xfId="4"/>
    <cellStyle name="_МОДЕЛЬ_1 (2)_Книга2_PR.PROG.WARM.NOTCOMBI.2012.2.16_v1.4(04.04.11) " xfId="4"/>
    <cellStyle name="_пр 5 тариф RAB_PR.PROG.WARM.NOTCOMBI.2012.2.16_v1.4(04.04.11) " xfId="4"/>
    <cellStyle name="_пр 5 тариф RAB_Книга2_PR.PROG.WARM.NOTCOMBI.2012.2.16_v1.4(04.04.11) " xfId="4"/>
    <cellStyle name="_Расчет RAB_22072008_PR.PROG.WARM.NOTCOMBI.2012.2.16_v1.4(04.04.11) " xfId="4"/>
    <cellStyle name="_Расчет RAB_22072008_Книга2_PR.PROG.WARM.NOTCOMBI.2012.2.16_v1.4(04.04.11) " xfId="4"/>
    <cellStyle name="_Расчет RAB_Лен и МОЭСК_с 2010 года_14.04.2009_со сглаж_version 3.0_без ФСК_PR.PROG.WARM.NOTCOMBI.2012.2.16_v1.4(04.04.11) " xfId="4"/>
    <cellStyle name="_Расчет RAB_Лен и МОЭСК_с 2010 года_14.04.2009_со сглаж_version 3.0_без ФСК_Книга2_PR.PROG.WARM.NOTCOMBI.2012.2.16_v1.4(04.04.11) " xfId="4"/>
    <cellStyle name="currency1" xfId="5"/>
    <cellStyle name="Currency2" xfId="6"/>
    <cellStyle name="currency3" xfId="7"/>
    <cellStyle name="currency4" xfId="8"/>
    <cellStyle name="Followed Hyperlink" xfId="9"/>
    <cellStyle name="normal" xfId="1"/>
    <cellStyle name="Normal1" xfId="10"/>
    <cellStyle name="Normal2" xfId="6"/>
    <cellStyle name="Percent1" xfId="6"/>
    <cellStyle name="Обычный" xfId="0" builtinId="0"/>
    <cellStyle name="Обычный 10" xfId="11"/>
    <cellStyle name="Обычный 16" xfId="12"/>
    <cellStyle name="Обычный 2" xfId="13"/>
    <cellStyle name="Обычный_BALANCE.WARM.2007YEAR(FACT)" xfId="14"/>
    <cellStyle name="Обычный_PRIL1.ELECTR" xfId="14"/>
    <cellStyle name="Открывавшаяся гиперссылка" xfId="1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9" Type="http://schemas.openxmlformats.org/officeDocument/2006/relationships/worksheet" Target="worksheets/sheet39.xml"/><Relationship Id="rId21" Type="http://schemas.openxmlformats.org/officeDocument/2006/relationships/worksheet" Target="worksheets/sheet21.xml"/><Relationship Id="rId34" Type="http://schemas.openxmlformats.org/officeDocument/2006/relationships/worksheet" Target="worksheets/sheet34.xml"/><Relationship Id="rId42" Type="http://schemas.openxmlformats.org/officeDocument/2006/relationships/worksheet" Target="worksheets/sheet42.xml"/><Relationship Id="rId47" Type="http://schemas.openxmlformats.org/officeDocument/2006/relationships/worksheet" Target="worksheets/sheet47.xml"/><Relationship Id="rId50" Type="http://schemas.openxmlformats.org/officeDocument/2006/relationships/worksheet" Target="worksheets/sheet50.xml"/><Relationship Id="rId55" Type="http://schemas.openxmlformats.org/officeDocument/2006/relationships/worksheet" Target="worksheets/sheet55.xml"/><Relationship Id="rId63" Type="http://schemas.openxmlformats.org/officeDocument/2006/relationships/worksheet" Target="worksheets/sheet63.xml"/><Relationship Id="rId68" Type="http://schemas.openxmlformats.org/officeDocument/2006/relationships/worksheet" Target="worksheets/sheet68.xml"/><Relationship Id="rId76" Type="http://schemas.openxmlformats.org/officeDocument/2006/relationships/worksheet" Target="worksheets/sheet76.xml"/><Relationship Id="rId84" Type="http://schemas.openxmlformats.org/officeDocument/2006/relationships/worksheet" Target="worksheets/sheet84.xml"/><Relationship Id="rId89" Type="http://schemas.openxmlformats.org/officeDocument/2006/relationships/worksheet" Target="worksheets/sheet89.xml"/><Relationship Id="rId7" Type="http://schemas.openxmlformats.org/officeDocument/2006/relationships/worksheet" Target="worksheets/sheet7.xml"/><Relationship Id="rId71" Type="http://schemas.openxmlformats.org/officeDocument/2006/relationships/worksheet" Target="worksheets/sheet71.xml"/><Relationship Id="rId92"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worksheet" Target="worksheets/sheet16.xml"/><Relationship Id="rId29" Type="http://schemas.openxmlformats.org/officeDocument/2006/relationships/worksheet" Target="worksheets/sheet29.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worksheet" Target="worksheets/sheet37.xml"/><Relationship Id="rId40" Type="http://schemas.openxmlformats.org/officeDocument/2006/relationships/worksheet" Target="worksheets/sheet40.xml"/><Relationship Id="rId45" Type="http://schemas.openxmlformats.org/officeDocument/2006/relationships/worksheet" Target="worksheets/sheet45.xml"/><Relationship Id="rId53" Type="http://schemas.openxmlformats.org/officeDocument/2006/relationships/worksheet" Target="worksheets/sheet53.xml"/><Relationship Id="rId58" Type="http://schemas.openxmlformats.org/officeDocument/2006/relationships/worksheet" Target="worksheets/sheet58.xml"/><Relationship Id="rId66" Type="http://schemas.openxmlformats.org/officeDocument/2006/relationships/worksheet" Target="worksheets/sheet66.xml"/><Relationship Id="rId74" Type="http://schemas.openxmlformats.org/officeDocument/2006/relationships/worksheet" Target="worksheets/sheet74.xml"/><Relationship Id="rId79" Type="http://schemas.openxmlformats.org/officeDocument/2006/relationships/worksheet" Target="worksheets/sheet79.xml"/><Relationship Id="rId87" Type="http://schemas.openxmlformats.org/officeDocument/2006/relationships/worksheet" Target="worksheets/sheet87.xml"/><Relationship Id="rId5" Type="http://schemas.openxmlformats.org/officeDocument/2006/relationships/worksheet" Target="worksheets/sheet5.xml"/><Relationship Id="rId61" Type="http://schemas.openxmlformats.org/officeDocument/2006/relationships/worksheet" Target="worksheets/sheet61.xml"/><Relationship Id="rId82" Type="http://schemas.openxmlformats.org/officeDocument/2006/relationships/worksheet" Target="worksheets/sheet82.xml"/><Relationship Id="rId90" Type="http://schemas.openxmlformats.org/officeDocument/2006/relationships/theme" Target="theme/theme1.xml"/><Relationship Id="rId19" Type="http://schemas.openxmlformats.org/officeDocument/2006/relationships/worksheet" Target="worksheets/sheet1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 Id="rId43" Type="http://schemas.openxmlformats.org/officeDocument/2006/relationships/worksheet" Target="worksheets/sheet43.xml"/><Relationship Id="rId48" Type="http://schemas.openxmlformats.org/officeDocument/2006/relationships/worksheet" Target="worksheets/sheet48.xml"/><Relationship Id="rId56" Type="http://schemas.openxmlformats.org/officeDocument/2006/relationships/worksheet" Target="worksheets/sheet56.xml"/><Relationship Id="rId64" Type="http://schemas.openxmlformats.org/officeDocument/2006/relationships/worksheet" Target="worksheets/sheet64.xml"/><Relationship Id="rId69" Type="http://schemas.openxmlformats.org/officeDocument/2006/relationships/worksheet" Target="worksheets/sheet69.xml"/><Relationship Id="rId77" Type="http://schemas.openxmlformats.org/officeDocument/2006/relationships/worksheet" Target="worksheets/sheet77.xml"/><Relationship Id="rId8" Type="http://schemas.openxmlformats.org/officeDocument/2006/relationships/worksheet" Target="worksheets/sheet8.xml"/><Relationship Id="rId51" Type="http://schemas.openxmlformats.org/officeDocument/2006/relationships/worksheet" Target="worksheets/sheet51.xml"/><Relationship Id="rId72" Type="http://schemas.openxmlformats.org/officeDocument/2006/relationships/worksheet" Target="worksheets/sheet72.xml"/><Relationship Id="rId80" Type="http://schemas.openxmlformats.org/officeDocument/2006/relationships/worksheet" Target="worksheets/sheet80.xml"/><Relationship Id="rId85" Type="http://schemas.openxmlformats.org/officeDocument/2006/relationships/worksheet" Target="worksheets/sheet85.xml"/><Relationship Id="rId93" Type="http://schemas.openxmlformats.org/officeDocument/2006/relationships/calcChain" Target="calcChain.xml"/><Relationship Id="rId3" Type="http://schemas.openxmlformats.org/officeDocument/2006/relationships/worksheet" Target="worksheets/sheet3.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worksheet" Target="worksheets/sheet38.xml"/><Relationship Id="rId46" Type="http://schemas.openxmlformats.org/officeDocument/2006/relationships/worksheet" Target="worksheets/sheet46.xml"/><Relationship Id="rId59" Type="http://schemas.openxmlformats.org/officeDocument/2006/relationships/worksheet" Target="worksheets/sheet59.xml"/><Relationship Id="rId67" Type="http://schemas.openxmlformats.org/officeDocument/2006/relationships/worksheet" Target="worksheets/sheet67.xml"/><Relationship Id="rId20" Type="http://schemas.openxmlformats.org/officeDocument/2006/relationships/worksheet" Target="worksheets/sheet20.xml"/><Relationship Id="rId41" Type="http://schemas.openxmlformats.org/officeDocument/2006/relationships/worksheet" Target="worksheets/sheet41.xml"/><Relationship Id="rId54" Type="http://schemas.openxmlformats.org/officeDocument/2006/relationships/worksheet" Target="worksheets/sheet54.xml"/><Relationship Id="rId62" Type="http://schemas.openxmlformats.org/officeDocument/2006/relationships/worksheet" Target="worksheets/sheet62.xml"/><Relationship Id="rId70" Type="http://schemas.openxmlformats.org/officeDocument/2006/relationships/worksheet" Target="worksheets/sheet70.xml"/><Relationship Id="rId75" Type="http://schemas.openxmlformats.org/officeDocument/2006/relationships/worksheet" Target="worksheets/sheet75.xml"/><Relationship Id="rId83" Type="http://schemas.openxmlformats.org/officeDocument/2006/relationships/worksheet" Target="worksheets/sheet83.xml"/><Relationship Id="rId88" Type="http://schemas.openxmlformats.org/officeDocument/2006/relationships/worksheet" Target="worksheets/sheet88.xml"/><Relationship Id="rId91"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49" Type="http://schemas.openxmlformats.org/officeDocument/2006/relationships/worksheet" Target="worksheets/sheet49.xml"/><Relationship Id="rId57" Type="http://schemas.openxmlformats.org/officeDocument/2006/relationships/worksheet" Target="worksheets/sheet57.xml"/><Relationship Id="rId10" Type="http://schemas.openxmlformats.org/officeDocument/2006/relationships/worksheet" Target="worksheets/sheet10.xml"/><Relationship Id="rId31" Type="http://schemas.openxmlformats.org/officeDocument/2006/relationships/worksheet" Target="worksheets/sheet31.xml"/><Relationship Id="rId44" Type="http://schemas.openxmlformats.org/officeDocument/2006/relationships/worksheet" Target="worksheets/sheet44.xml"/><Relationship Id="rId52" Type="http://schemas.openxmlformats.org/officeDocument/2006/relationships/worksheet" Target="worksheets/sheet52.xml"/><Relationship Id="rId60" Type="http://schemas.openxmlformats.org/officeDocument/2006/relationships/worksheet" Target="worksheets/sheet60.xml"/><Relationship Id="rId65" Type="http://schemas.openxmlformats.org/officeDocument/2006/relationships/worksheet" Target="worksheets/sheet65.xml"/><Relationship Id="rId73" Type="http://schemas.openxmlformats.org/officeDocument/2006/relationships/worksheet" Target="worksheets/sheet73.xml"/><Relationship Id="rId78" Type="http://schemas.openxmlformats.org/officeDocument/2006/relationships/worksheet" Target="worksheets/sheet78.xml"/><Relationship Id="rId81" Type="http://schemas.openxmlformats.org/officeDocument/2006/relationships/worksheet" Target="worksheets/sheet81.xml"/><Relationship Id="rId86" Type="http://schemas.openxmlformats.org/officeDocument/2006/relationships/worksheet" Target="worksheets/sheet86.xml"/><Relationship Id="rId4" Type="http://schemas.openxmlformats.org/officeDocument/2006/relationships/worksheet" Target="worksheets/sheet4.xml"/><Relationship Id="rId9" Type="http://schemas.openxmlformats.org/officeDocument/2006/relationships/worksheet" Target="worksheets/sheet9.xml"/></Relationships>
</file>

<file path=xl/drawings/_rels/drawing1.xml.rels><?xml version="1.0" encoding="UTF-8" standalone="yes"?>
<Relationships xmlns="http://schemas.openxmlformats.org/package/2006/relationships"><Relationship Id="rId3" Type="http://schemas.openxmlformats.org/officeDocument/2006/relationships/image" Target="../media/image3.png"/><Relationship Id="rId2" Type="http://schemas.openxmlformats.org/officeDocument/2006/relationships/image" Target="../media/image2.png"/><Relationship Id="rId1" Type="http://schemas.openxmlformats.org/officeDocument/2006/relationships/image" Target="../media/image1.jpeg"/></Relationships>
</file>

<file path=xl/drawings/_rels/drawing2.xml.rels><?xml version="1.0" encoding="UTF-8" standalone="yes"?>
<Relationships xmlns="http://schemas.openxmlformats.org/package/2006/relationships"><Relationship Id="rId2" Type="http://schemas.openxmlformats.org/officeDocument/2006/relationships/image" Target="../media/image5.png"/><Relationship Id="rId1" Type="http://schemas.openxmlformats.org/officeDocument/2006/relationships/image" Target="../media/image4.png"/></Relationships>
</file>

<file path=xl/drawings/_rels/drawing3.xml.rels><?xml version="1.0" encoding="UTF-8" standalone="yes"?>
<Relationships xmlns="http://schemas.openxmlformats.org/package/2006/relationships"><Relationship Id="rId1" Type="http://schemas.openxmlformats.org/officeDocument/2006/relationships/image" Target="../media/image5.png"/></Relationships>
</file>

<file path=xl/drawings/_rels/drawing4.xml.rels><?xml version="1.0" encoding="UTF-8" standalone="yes"?>
<Relationships xmlns="http://schemas.openxmlformats.org/package/2006/relationships"><Relationship Id="rId1" Type="http://schemas.openxmlformats.org/officeDocument/2006/relationships/image" Target="../media/image6.png"/></Relationships>
</file>

<file path=xl/drawings/_rels/drawing5.xml.rels><?xml version="1.0" encoding="UTF-8" standalone="yes"?>
<Relationships xmlns="http://schemas.openxmlformats.org/package/2006/relationships"><Relationship Id="rId1" Type="http://schemas.openxmlformats.org/officeDocument/2006/relationships/image" Target="../media/image7.png"/></Relationships>
</file>

<file path=xl/drawings/_rels/drawing6.xml.rels><?xml version="1.0" encoding="UTF-8" standalone="yes"?>
<Relationships xmlns="http://schemas.openxmlformats.org/package/2006/relationships"><Relationship Id="rId1" Type="http://schemas.openxmlformats.org/officeDocument/2006/relationships/image" Target="../media/image8.png"/></Relationships>
</file>

<file path=xl/drawings/_rels/drawing7.xml.rels><?xml version="1.0" encoding="UTF-8" standalone="yes"?>
<Relationships xmlns="http://schemas.openxmlformats.org/package/2006/relationships"><Relationship Id="rId1" Type="http://schemas.openxmlformats.org/officeDocument/2006/relationships/image" Target="../media/image9.png"/></Relationships>
</file>

<file path=xl/drawings/_rels/drawing8.xml.rels><?xml version="1.0" encoding="UTF-8" standalone="yes"?>
<Relationships xmlns="http://schemas.openxmlformats.org/package/2006/relationships"><Relationship Id="rId1" Type="http://schemas.openxmlformats.org/officeDocument/2006/relationships/image" Target="../media/image8.png"/></Relationships>
</file>

<file path=xl/drawings/drawing1.xml><?xml version="1.0" encoding="utf-8"?>
<xdr:wsDr xmlns:xdr="http://schemas.openxmlformats.org/drawingml/2006/spreadsheetDrawing" xmlns:a="http://schemas.openxmlformats.org/drawingml/2006/main">
  <xdr:twoCellAnchor editAs="oneCell">
    <xdr:from>
      <xdr:col>3</xdr:col>
      <xdr:colOff>57150</xdr:colOff>
      <xdr:row>8</xdr:row>
      <xdr:rowOff>0</xdr:rowOff>
    </xdr:from>
    <xdr:to>
      <xdr:col>4</xdr:col>
      <xdr:colOff>314515</xdr:colOff>
      <xdr:row>14</xdr:row>
      <xdr:rowOff>191</xdr:rowOff>
    </xdr:to>
    <xdr:pic>
      <xdr:nvPicPr>
        <xdr:cNvPr id="2" name="PHONE_PIC" descr="update_org.png" hidden="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twoCellAnchor editAs="oneCell">
    <xdr:from>
      <xdr:col>3</xdr:col>
      <xdr:colOff>57150</xdr:colOff>
      <xdr:row>16</xdr:row>
      <xdr:rowOff>0</xdr:rowOff>
    </xdr:from>
    <xdr:to>
      <xdr:col>4</xdr:col>
      <xdr:colOff>314515</xdr:colOff>
      <xdr:row>30</xdr:row>
      <xdr:rowOff>191</xdr:rowOff>
    </xdr:to>
    <xdr:pic>
      <xdr:nvPicPr>
        <xdr:cNvPr id="3" name="PHONE_PIC_1" descr="update_org.png" hidden="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twoCellAnchor editAs="oneCell">
    <xdr:from>
      <xdr:col>7</xdr:col>
      <xdr:colOff>0</xdr:colOff>
      <xdr:row>4</xdr:row>
      <xdr:rowOff>0</xdr:rowOff>
    </xdr:from>
    <xdr:to>
      <xdr:col>8</xdr:col>
      <xdr:colOff>207645</xdr:colOff>
      <xdr:row>4</xdr:row>
      <xdr:rowOff>207645</xdr:rowOff>
    </xdr:to>
    <xdr:pic>
      <xdr:nvPicPr>
        <xdr:cNvPr id="4" name="cmdCreatePrintedForm" descr="Создание печатной формы" hidden="1"/>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twoCellAnchor editAs="oneCell">
    <xdr:from>
      <xdr:col>4</xdr:col>
      <xdr:colOff>0</xdr:colOff>
      <xdr:row>30</xdr:row>
      <xdr:rowOff>0</xdr:rowOff>
    </xdr:from>
    <xdr:to>
      <xdr:col>4</xdr:col>
      <xdr:colOff>288036</xdr:colOff>
      <xdr:row>32</xdr:row>
      <xdr:rowOff>54102</xdr:rowOff>
    </xdr:to>
    <xdr:pic>
      <xdr:nvPicPr>
        <xdr:cNvPr id="5" name="UPDATE_PLAN1X_DATA" descr="update_org.png" hidden="1"/>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twoCellAnchor editAs="oneCell">
    <xdr:from>
      <xdr:col>3</xdr:col>
      <xdr:colOff>57150</xdr:colOff>
      <xdr:row>65</xdr:row>
      <xdr:rowOff>76200</xdr:rowOff>
    </xdr:from>
    <xdr:to>
      <xdr:col>4</xdr:col>
      <xdr:colOff>321850</xdr:colOff>
      <xdr:row>65</xdr:row>
      <xdr:rowOff>400240</xdr:rowOff>
    </xdr:to>
    <xdr:pic>
      <xdr:nvPicPr>
        <xdr:cNvPr id="6" name="PHONE_PIC_2" descr="update_org.png" hidden="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6</xdr:col>
      <xdr:colOff>0</xdr:colOff>
      <xdr:row>8</xdr:row>
      <xdr:rowOff>0</xdr:rowOff>
    </xdr:from>
    <xdr:to>
      <xdr:col>6</xdr:col>
      <xdr:colOff>207645</xdr:colOff>
      <xdr:row>8</xdr:row>
      <xdr:rowOff>207645</xdr:rowOff>
    </xdr:to>
    <xdr:pic>
      <xdr:nvPicPr>
        <xdr:cNvPr id="2" name="ExcludeHelp_2" descr="Справка по листу" hidden="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twoCellAnchor>
    <xdr:from>
      <xdr:col>4</xdr:col>
      <xdr:colOff>114300</xdr:colOff>
      <xdr:row>5</xdr:row>
      <xdr:rowOff>0</xdr:rowOff>
    </xdr:from>
    <xdr:to>
      <xdr:col>6</xdr:col>
      <xdr:colOff>18764</xdr:colOff>
      <xdr:row>6</xdr:row>
      <xdr:rowOff>0</xdr:rowOff>
    </xdr:to>
    <xdr:pic>
      <xdr:nvPicPr>
        <xdr:cNvPr id="3" name="Рисунок 1" hidden="1"/>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wsDr>
</file>

<file path=xl/drawings/drawing3.xml><?xml version="1.0" encoding="utf-8"?>
<xdr:wsDr xmlns:xdr="http://schemas.openxmlformats.org/drawingml/2006/spreadsheetDrawing" xmlns:a="http://schemas.openxmlformats.org/drawingml/2006/main">
  <xdr:twoCellAnchor>
    <xdr:from>
      <xdr:col>3</xdr:col>
      <xdr:colOff>73533</xdr:colOff>
      <xdr:row>6</xdr:row>
      <xdr:rowOff>0</xdr:rowOff>
    </xdr:from>
    <xdr:to>
      <xdr:col>4</xdr:col>
      <xdr:colOff>155734</xdr:colOff>
      <xdr:row>6</xdr:row>
      <xdr:rowOff>0</xdr:rowOff>
    </xdr:to>
    <xdr:pic>
      <xdr:nvPicPr>
        <xdr:cNvPr id="2" name="Рисунок 8" hidden="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wsDr>
</file>

<file path=xl/drawings/drawing4.xml><?xml version="1.0" encoding="utf-8"?>
<xdr:wsDr xmlns:xdr="http://schemas.openxmlformats.org/drawingml/2006/spreadsheetDrawing" xmlns:a="http://schemas.openxmlformats.org/drawingml/2006/main">
  <xdr:twoCellAnchor>
    <xdr:from>
      <xdr:col>4</xdr:col>
      <xdr:colOff>0</xdr:colOff>
      <xdr:row>8</xdr:row>
      <xdr:rowOff>0</xdr:rowOff>
    </xdr:from>
    <xdr:to>
      <xdr:col>5</xdr:col>
      <xdr:colOff>0</xdr:colOff>
      <xdr:row>9</xdr:row>
      <xdr:rowOff>30480</xdr:rowOff>
    </xdr:to>
    <xdr:pic>
      <xdr:nvPicPr>
        <xdr:cNvPr id="2" name="UNFREEZE_PANES_I11" descr="update_org.png" hidden="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wsDr>
</file>

<file path=xl/drawings/drawing5.xml><?xml version="1.0" encoding="utf-8"?>
<xdr:wsDr xmlns:xdr="http://schemas.openxmlformats.org/drawingml/2006/spreadsheetDrawing" xmlns:a="http://schemas.openxmlformats.org/drawingml/2006/main">
  <xdr:twoCellAnchor>
    <xdr:from>
      <xdr:col>4</xdr:col>
      <xdr:colOff>0</xdr:colOff>
      <xdr:row>4</xdr:row>
      <xdr:rowOff>0</xdr:rowOff>
    </xdr:from>
    <xdr:to>
      <xdr:col>8</xdr:col>
      <xdr:colOff>0</xdr:colOff>
      <xdr:row>5</xdr:row>
      <xdr:rowOff>0</xdr:rowOff>
    </xdr:to>
    <xdr:pic>
      <xdr:nvPicPr>
        <xdr:cNvPr id="2" name="UNFREEZE_PANES" descr="update_org.png" hidden="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wsDr>
</file>

<file path=xl/drawings/drawing6.xml><?xml version="1.0" encoding="utf-8"?>
<xdr:wsDr xmlns:xdr="http://schemas.openxmlformats.org/drawingml/2006/spreadsheetDrawing" xmlns:a="http://schemas.openxmlformats.org/drawingml/2006/main">
  <xdr:twoCellAnchor>
    <xdr:from>
      <xdr:col>0</xdr:col>
      <xdr:colOff>0</xdr:colOff>
      <xdr:row>13</xdr:row>
      <xdr:rowOff>0</xdr:rowOff>
    </xdr:from>
    <xdr:to>
      <xdr:col>3</xdr:col>
      <xdr:colOff>0</xdr:colOff>
      <xdr:row>13</xdr:row>
      <xdr:rowOff>247650</xdr:rowOff>
    </xdr:to>
    <xdr:pic>
      <xdr:nvPicPr>
        <xdr:cNvPr id="2" name="UNFREEZE_PANES" descr="update_org.png" hidden="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wsDr>
</file>

<file path=xl/drawings/drawing7.xml><?xml version="1.0" encoding="utf-8"?>
<xdr:wsDr xmlns:xdr="http://schemas.openxmlformats.org/drawingml/2006/spreadsheetDrawing" xmlns:a="http://schemas.openxmlformats.org/drawingml/2006/main">
  <xdr:twoCellAnchor>
    <xdr:from>
      <xdr:col>0</xdr:col>
      <xdr:colOff>0</xdr:colOff>
      <xdr:row>13</xdr:row>
      <xdr:rowOff>0</xdr:rowOff>
    </xdr:from>
    <xdr:to>
      <xdr:col>4</xdr:col>
      <xdr:colOff>0</xdr:colOff>
      <xdr:row>13</xdr:row>
      <xdr:rowOff>171450</xdr:rowOff>
    </xdr:to>
    <xdr:pic>
      <xdr:nvPicPr>
        <xdr:cNvPr id="2" name="UNFREEZE_PANES" descr="update_org.png" hidden="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wsDr>
</file>

<file path=xl/drawings/drawing8.xml><?xml version="1.0" encoding="utf-8"?>
<xdr:wsDr xmlns:xdr="http://schemas.openxmlformats.org/drawingml/2006/spreadsheetDrawing" xmlns:a="http://schemas.openxmlformats.org/drawingml/2006/main">
  <xdr:twoCellAnchor>
    <xdr:from>
      <xdr:col>0</xdr:col>
      <xdr:colOff>0</xdr:colOff>
      <xdr:row>4</xdr:row>
      <xdr:rowOff>0</xdr:rowOff>
    </xdr:from>
    <xdr:to>
      <xdr:col>3</xdr:col>
      <xdr:colOff>0</xdr:colOff>
      <xdr:row>4</xdr:row>
      <xdr:rowOff>247650</xdr:rowOff>
    </xdr:to>
    <xdr:pic>
      <xdr:nvPicPr>
        <xdr:cNvPr id="2" name="UNFREEZE_PANES" descr="update_org.png" hidden="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wsDr>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Тема 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xml version="1.0" encoding="UTF-8" standalone="yes"?>
<Relationships xmlns="http://schemas.openxmlformats.org/package/2006/relationships"><Relationship Id="rId3" Type="http://schemas.openxmlformats.org/officeDocument/2006/relationships/drawing" Target="../drawings/drawing1.xml"/><Relationship Id="rId2" Type="http://schemas.openxmlformats.org/officeDocument/2006/relationships/printerSettings" Target="../printerSettings/printerSettings1.bin"/><Relationship Id="rId1" Type="http://schemas.openxmlformats.org/officeDocument/2006/relationships/hyperlink" Target="mailto:zenit-energo@mail.ru" TargetMode="External"/><Relationship Id="rId5" Type="http://schemas.openxmlformats.org/officeDocument/2006/relationships/comments" Target="../comments1.xml"/><Relationship Id="rId4" Type="http://schemas.openxmlformats.org/officeDocument/2006/relationships/vmlDrawing" Target="../drawings/vmlDrawing1.vml"/></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2.bin"/></Relationships>
</file>

<file path=xl/worksheets/_rels/sheet35.xml.rels><?xml version="1.0" encoding="UTF-8" standalone="yes"?>
<Relationships xmlns="http://schemas.openxmlformats.org/package/2006/relationships"><Relationship Id="rId1" Type="http://schemas.openxmlformats.org/officeDocument/2006/relationships/drawing" Target="../drawings/drawing4.xml"/></Relationships>
</file>

<file path=xl/worksheets/_rels/sheet36.xml.rels><?xml version="1.0" encoding="UTF-8" standalone="yes"?>
<Relationships xmlns="http://schemas.openxmlformats.org/package/2006/relationships"><Relationship Id="rId1" Type="http://schemas.openxmlformats.org/officeDocument/2006/relationships/drawing" Target="../drawings/drawing5.xml"/></Relationships>
</file>

<file path=xl/worksheets/_rels/sheet40.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5.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47.xml.rels><?xml version="1.0" encoding="UTF-8" standalone="yes"?>
<Relationships xmlns="http://schemas.openxmlformats.org/package/2006/relationships"><Relationship Id="rId1" Type="http://schemas.openxmlformats.org/officeDocument/2006/relationships/drawing" Target="../drawings/drawing6.xml"/></Relationships>
</file>

<file path=xl/worksheets/_rels/sheet48.xml.rels><?xml version="1.0" encoding="UTF-8" standalone="yes"?>
<Relationships xmlns="http://schemas.openxmlformats.org/package/2006/relationships"><Relationship Id="rId1" Type="http://schemas.openxmlformats.org/officeDocument/2006/relationships/drawing" Target="../drawings/drawing7.xml"/></Relationships>
</file>

<file path=xl/worksheets/_rels/sheet49.xml.rels><?xml version="1.0" encoding="UTF-8" standalone="yes"?>
<Relationships xmlns="http://schemas.openxmlformats.org/package/2006/relationships"><Relationship Id="rId1" Type="http://schemas.openxmlformats.org/officeDocument/2006/relationships/drawing" Target="../drawings/drawing8.xml"/></Relationships>
</file>

<file path=xl/worksheets/_rels/sheet51.xml.rels><?xml version="1.0" encoding="UTF-8" standalone="yes"?>
<Relationships xmlns="http://schemas.openxmlformats.org/package/2006/relationships"><Relationship Id="rId2" Type="http://schemas.openxmlformats.org/officeDocument/2006/relationships/comments" Target="../comments2.xml"/><Relationship Id="rId1" Type="http://schemas.openxmlformats.org/officeDocument/2006/relationships/vmlDrawing" Target="../drawings/vmlDrawing2.vml"/></Relationships>
</file>

<file path=xl/worksheets/_rels/sheet63.xml.rels><?xml version="1.0" encoding="UTF-8" standalone="yes"?>
<Relationships xmlns="http://schemas.openxmlformats.org/package/2006/relationships"><Relationship Id="rId2" Type="http://schemas.openxmlformats.org/officeDocument/2006/relationships/comments" Target="../comments3.xml"/><Relationship Id="rId1" Type="http://schemas.openxmlformats.org/officeDocument/2006/relationships/vmlDrawing" Target="../drawings/vmlDrawing3.v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B21"/>
  <sheetViews>
    <sheetView showGridLines="0" showRowColHeaders="0" workbookViewId="0"/>
  </sheetViews>
  <sheetFormatPr defaultColWidth="11" defaultRowHeight="12.75" customHeight="1"/>
  <cols>
    <col min="1" max="1" width="5.42578125" style="1629" customWidth="1"/>
    <col min="2" max="2" width="9.140625" style="1629" customWidth="1"/>
    <col min="3" max="3" width="16.42578125" style="1629" customWidth="1"/>
    <col min="4" max="25" width="6.28515625" style="1629" customWidth="1"/>
    <col min="26" max="28" width="11" style="1629"/>
  </cols>
  <sheetData>
    <row r="1" spans="1:28" ht="15.75" customHeight="1">
      <c r="A1" s="1625"/>
      <c r="B1" s="1626"/>
      <c r="C1" s="1626"/>
      <c r="D1" s="1626"/>
      <c r="E1" s="1626"/>
      <c r="F1" s="1626"/>
      <c r="G1" s="1626"/>
      <c r="H1" s="1626"/>
      <c r="I1" s="1626"/>
      <c r="J1" s="1626"/>
      <c r="K1" s="1626"/>
      <c r="L1" s="1626"/>
      <c r="M1" s="1626"/>
      <c r="N1" s="1626"/>
      <c r="O1" s="1626"/>
      <c r="P1" s="1626"/>
      <c r="Q1" s="1626"/>
      <c r="R1" s="1626"/>
      <c r="S1" s="1626"/>
      <c r="T1" s="1626"/>
      <c r="U1" s="1626"/>
      <c r="V1" s="1626"/>
      <c r="W1" s="1626"/>
      <c r="X1" s="1626"/>
      <c r="Y1" s="1627"/>
      <c r="Z1" s="1626"/>
      <c r="AA1" s="1628" t="s">
        <v>0</v>
      </c>
      <c r="AB1" s="1626"/>
    </row>
    <row r="2" spans="1:28" ht="17.25" customHeight="1">
      <c r="A2" s="1626"/>
      <c r="B2" s="2019" t="s">
        <v>1</v>
      </c>
      <c r="C2" s="2019"/>
      <c r="D2" s="2019"/>
      <c r="E2" s="2019"/>
      <c r="F2" s="2019"/>
      <c r="G2" s="2019"/>
      <c r="H2" s="2019"/>
      <c r="I2" s="2019"/>
      <c r="J2" s="2019"/>
      <c r="K2" s="2019"/>
      <c r="L2" s="2019"/>
      <c r="M2" s="2019"/>
      <c r="N2" s="2019"/>
      <c r="O2" s="2019"/>
      <c r="P2" s="2019"/>
      <c r="Q2" s="1630"/>
      <c r="R2" s="1630"/>
      <c r="S2" s="1630"/>
      <c r="T2" s="1630"/>
      <c r="U2" s="1630"/>
      <c r="V2" s="1631"/>
      <c r="W2" s="1630"/>
      <c r="X2" s="1630"/>
      <c r="Y2" s="1627"/>
      <c r="Z2" s="1626"/>
      <c r="AA2" s="1628"/>
      <c r="AB2" s="1626"/>
    </row>
    <row r="3" spans="1:28" ht="15.75" customHeight="1">
      <c r="A3" s="1626"/>
      <c r="B3" s="2020" t="s">
        <v>2</v>
      </c>
      <c r="C3" s="2020"/>
      <c r="D3" s="2020"/>
      <c r="E3" s="2020"/>
      <c r="F3" s="2020"/>
      <c r="G3" s="2020"/>
      <c r="H3" s="2020"/>
      <c r="I3" s="2020"/>
      <c r="J3" s="2020"/>
      <c r="K3" s="2020"/>
      <c r="L3" s="2020"/>
      <c r="M3" s="2020"/>
      <c r="N3" s="2020"/>
      <c r="O3" s="2020"/>
      <c r="P3" s="2020"/>
      <c r="Q3" s="1631"/>
      <c r="R3" s="1631"/>
      <c r="S3" s="1630"/>
      <c r="T3" s="1630"/>
      <c r="U3" s="1630"/>
      <c r="V3" s="1631"/>
      <c r="W3" s="1631"/>
      <c r="X3" s="1631"/>
      <c r="Y3" s="1631"/>
      <c r="Z3" s="1626"/>
      <c r="AA3" s="1628"/>
      <c r="AB3" s="1626"/>
    </row>
    <row r="4" spans="1:28" ht="17.25" customHeight="1">
      <c r="A4" s="1626"/>
      <c r="B4" s="1632"/>
      <c r="C4" s="1626"/>
      <c r="D4" s="1631"/>
      <c r="E4" s="1631"/>
      <c r="F4" s="1631"/>
      <c r="G4" s="1631"/>
      <c r="H4" s="1631"/>
      <c r="I4" s="1631"/>
      <c r="J4" s="1631"/>
      <c r="K4" s="1631"/>
      <c r="L4" s="1631"/>
      <c r="M4" s="1631"/>
      <c r="N4" s="1631"/>
      <c r="O4" s="1631"/>
      <c r="P4" s="1631"/>
      <c r="Q4" s="1631"/>
      <c r="R4" s="1631"/>
      <c r="S4" s="1631"/>
      <c r="T4" s="1631"/>
      <c r="U4" s="1631"/>
      <c r="V4" s="1631"/>
      <c r="W4" s="1631"/>
      <c r="X4" s="1631"/>
      <c r="Y4" s="1631"/>
      <c r="Z4" s="1626"/>
      <c r="AA4" s="1628"/>
      <c r="AB4" s="1626"/>
    </row>
    <row r="5" spans="1:28" ht="22.5" customHeight="1">
      <c r="A5" s="1633"/>
      <c r="B5" s="2021" t="str">
        <f>IF(TEMPLATE_SPHERE="","Информация, подлежащая раскрытию регулируемыми организациями",Титульный!E5)</f>
        <v>Информация о наличии (отсутствии) технической возможности подключения к централизованной системе теплоснабжения, а также о регистрации и ходе реализации заявок о подключении к централизованной системе теплоснабжения</v>
      </c>
      <c r="C5" s="2022"/>
      <c r="D5" s="2022"/>
      <c r="E5" s="2022"/>
      <c r="F5" s="2022"/>
      <c r="G5" s="2022"/>
      <c r="H5" s="2022"/>
      <c r="I5" s="2022"/>
      <c r="J5" s="2022"/>
      <c r="K5" s="2022"/>
      <c r="L5" s="2022"/>
      <c r="M5" s="2022"/>
      <c r="N5" s="2022"/>
      <c r="O5" s="2022"/>
      <c r="P5" s="2022"/>
      <c r="Q5" s="2022"/>
      <c r="R5" s="2022"/>
      <c r="S5" s="2022"/>
      <c r="T5" s="2022"/>
      <c r="U5" s="2022"/>
      <c r="V5" s="2022"/>
      <c r="W5" s="2022"/>
      <c r="X5" s="2022"/>
      <c r="Y5" s="2023"/>
      <c r="Z5" s="1633"/>
      <c r="AA5" s="1628"/>
      <c r="AB5" s="1633"/>
    </row>
    <row r="6" spans="1:28" ht="15" customHeight="1">
      <c r="A6" s="1634"/>
      <c r="B6" s="2024" t="s">
        <v>3</v>
      </c>
      <c r="C6" s="2025"/>
      <c r="D6" s="1635"/>
      <c r="E6" s="1635"/>
      <c r="F6" s="1635"/>
      <c r="G6" s="1635"/>
      <c r="H6" s="1635"/>
      <c r="I6" s="1635"/>
      <c r="J6" s="1635"/>
      <c r="K6" s="1635"/>
      <c r="L6" s="1635"/>
      <c r="M6" s="1635"/>
      <c r="N6" s="1635"/>
      <c r="O6" s="1635"/>
      <c r="P6" s="1635"/>
      <c r="Q6" s="1635"/>
      <c r="R6" s="1635"/>
      <c r="S6" s="1635"/>
      <c r="T6" s="1635"/>
      <c r="U6" s="1635"/>
      <c r="V6" s="1635"/>
      <c r="W6" s="1635"/>
      <c r="X6" s="1635"/>
      <c r="Y6" s="1636"/>
      <c r="Z6" s="1637"/>
      <c r="AA6" s="1638"/>
      <c r="AB6" s="1638"/>
    </row>
    <row r="7" spans="1:28" ht="15" customHeight="1">
      <c r="A7" s="1634"/>
      <c r="B7" s="2024"/>
      <c r="C7" s="2025"/>
      <c r="D7" s="1635"/>
      <c r="E7" s="1635"/>
      <c r="F7" s="1639"/>
      <c r="G7" s="1639"/>
      <c r="H7" s="1639"/>
      <c r="I7" s="1639"/>
      <c r="J7" s="1639"/>
      <c r="K7" s="1639"/>
      <c r="L7" s="1639"/>
      <c r="M7" s="1639"/>
      <c r="N7" s="1639"/>
      <c r="O7" s="1635"/>
      <c r="P7" s="1639"/>
      <c r="Q7" s="1639"/>
      <c r="R7" s="1639"/>
      <c r="S7" s="1639"/>
      <c r="T7" s="1639"/>
      <c r="U7" s="1639"/>
      <c r="V7" s="1639"/>
      <c r="W7" s="1639"/>
      <c r="X7" s="1639"/>
      <c r="Y7" s="1636"/>
      <c r="Z7" s="1637"/>
      <c r="AA7" s="1638"/>
      <c r="AB7" s="1638"/>
    </row>
    <row r="8" spans="1:28" ht="15" customHeight="1">
      <c r="A8" s="1634"/>
      <c r="B8" s="2024"/>
      <c r="C8" s="2025"/>
      <c r="D8" s="1640"/>
      <c r="E8" s="1641" t="s">
        <v>4</v>
      </c>
      <c r="F8" s="2027" t="s">
        <v>5</v>
      </c>
      <c r="G8" s="2028"/>
      <c r="H8" s="2028"/>
      <c r="I8" s="2028"/>
      <c r="J8" s="2028"/>
      <c r="K8" s="2028"/>
      <c r="L8" s="2028"/>
      <c r="M8" s="2028"/>
      <c r="N8" s="1640"/>
      <c r="O8" s="1642" t="s">
        <v>4</v>
      </c>
      <c r="P8" s="2029" t="s">
        <v>6</v>
      </c>
      <c r="Q8" s="2030"/>
      <c r="R8" s="2030"/>
      <c r="S8" s="2030"/>
      <c r="T8" s="2030"/>
      <c r="U8" s="2030"/>
      <c r="V8" s="2030"/>
      <c r="W8" s="2030"/>
      <c r="X8" s="2030"/>
      <c r="Y8" s="1636"/>
      <c r="Z8" s="1637"/>
      <c r="AA8" s="1638"/>
      <c r="AB8" s="1638"/>
    </row>
    <row r="9" spans="1:28" ht="15" customHeight="1">
      <c r="A9" s="1634"/>
      <c r="B9" s="2024"/>
      <c r="C9" s="2025"/>
      <c r="D9" s="1640"/>
      <c r="E9" s="1643" t="s">
        <v>4</v>
      </c>
      <c r="F9" s="2027" t="s">
        <v>7</v>
      </c>
      <c r="G9" s="2028"/>
      <c r="H9" s="2028"/>
      <c r="I9" s="2028"/>
      <c r="J9" s="2028"/>
      <c r="K9" s="2028"/>
      <c r="L9" s="2028"/>
      <c r="M9" s="2028"/>
      <c r="N9" s="1640"/>
      <c r="O9" s="1644" t="s">
        <v>4</v>
      </c>
      <c r="P9" s="2029" t="s">
        <v>8</v>
      </c>
      <c r="Q9" s="2030"/>
      <c r="R9" s="2030"/>
      <c r="S9" s="2030"/>
      <c r="T9" s="2030"/>
      <c r="U9" s="2030"/>
      <c r="V9" s="2030"/>
      <c r="W9" s="2030"/>
      <c r="X9" s="2030"/>
      <c r="Y9" s="1636"/>
      <c r="Z9" s="1637"/>
      <c r="AA9" s="1638"/>
      <c r="AB9" s="1638"/>
    </row>
    <row r="10" spans="1:28" ht="30" customHeight="1">
      <c r="A10" s="1634"/>
      <c r="B10" s="2024"/>
      <c r="C10" s="2026"/>
      <c r="D10" s="1645"/>
      <c r="E10" s="1646"/>
      <c r="F10" s="1639"/>
      <c r="G10" s="1639"/>
      <c r="H10" s="1639"/>
      <c r="I10" s="1639"/>
      <c r="J10" s="1639"/>
      <c r="K10" s="1639"/>
      <c r="L10" s="1639"/>
      <c r="M10" s="1639"/>
      <c r="N10" s="1639"/>
      <c r="O10" s="1646"/>
      <c r="P10" s="1639"/>
      <c r="Q10" s="1639"/>
      <c r="R10" s="1639"/>
      <c r="S10" s="1639"/>
      <c r="T10" s="1639"/>
      <c r="U10" s="1639"/>
      <c r="V10" s="1639"/>
      <c r="W10" s="1639"/>
      <c r="X10" s="1639"/>
      <c r="Y10" s="1636"/>
      <c r="Z10" s="1637"/>
      <c r="AA10" s="1638"/>
      <c r="AB10" s="1638"/>
    </row>
    <row r="11" spans="1:28" ht="19.5" customHeight="1">
      <c r="A11" s="1634"/>
      <c r="B11" s="2031" t="s">
        <v>9</v>
      </c>
      <c r="C11" s="2032"/>
      <c r="D11" s="1640"/>
      <c r="E11" s="1647"/>
      <c r="F11" s="1647"/>
      <c r="G11" s="1647"/>
      <c r="H11" s="1647"/>
      <c r="I11" s="1647"/>
      <c r="J11" s="1647"/>
      <c r="K11" s="1647"/>
      <c r="L11" s="1647"/>
      <c r="M11" s="1647"/>
      <c r="N11" s="1647"/>
      <c r="O11" s="1647"/>
      <c r="P11" s="1647"/>
      <c r="Q11" s="1647"/>
      <c r="R11" s="1647"/>
      <c r="S11" s="1647"/>
      <c r="T11" s="1647"/>
      <c r="U11" s="1647"/>
      <c r="V11" s="1647"/>
      <c r="W11" s="1647"/>
      <c r="X11" s="1647"/>
      <c r="Y11" s="1636"/>
      <c r="Z11" s="1637"/>
      <c r="AA11" s="1638"/>
      <c r="AB11" s="1638"/>
    </row>
    <row r="12" spans="1:28" ht="69" customHeight="1">
      <c r="A12" s="1634"/>
      <c r="B12" s="2024"/>
      <c r="C12" s="2026"/>
      <c r="D12" s="1648"/>
      <c r="E12" s="2028" t="s">
        <v>10</v>
      </c>
      <c r="F12" s="2028"/>
      <c r="G12" s="2028"/>
      <c r="H12" s="2028"/>
      <c r="I12" s="2028"/>
      <c r="J12" s="2028"/>
      <c r="K12" s="2028"/>
      <c r="L12" s="2028"/>
      <c r="M12" s="2028"/>
      <c r="N12" s="2028"/>
      <c r="O12" s="2028"/>
      <c r="P12" s="2028"/>
      <c r="Q12" s="2028"/>
      <c r="R12" s="2028"/>
      <c r="S12" s="2028"/>
      <c r="T12" s="2028"/>
      <c r="U12" s="2028"/>
      <c r="V12" s="2028"/>
      <c r="W12" s="2028"/>
      <c r="X12" s="2028"/>
      <c r="Y12" s="1636"/>
      <c r="Z12" s="1637"/>
      <c r="AA12" s="1638"/>
      <c r="AB12" s="1638"/>
    </row>
    <row r="13" spans="1:28" ht="15" customHeight="1">
      <c r="A13" s="1634"/>
      <c r="B13" s="2031" t="s">
        <v>11</v>
      </c>
      <c r="C13" s="2032"/>
      <c r="D13" s="1635"/>
      <c r="E13" s="1647"/>
      <c r="F13" s="1647"/>
      <c r="G13" s="1647"/>
      <c r="H13" s="1647"/>
      <c r="I13" s="1647"/>
      <c r="J13" s="1647"/>
      <c r="K13" s="1647"/>
      <c r="L13" s="1647"/>
      <c r="M13" s="1647"/>
      <c r="N13" s="1647"/>
      <c r="O13" s="1647"/>
      <c r="P13" s="1647"/>
      <c r="Q13" s="1647"/>
      <c r="R13" s="1647"/>
      <c r="S13" s="1647"/>
      <c r="T13" s="1647"/>
      <c r="U13" s="1647"/>
      <c r="V13" s="1647"/>
      <c r="W13" s="1647"/>
      <c r="X13" s="1647"/>
      <c r="Y13" s="1636"/>
      <c r="Z13" s="1637"/>
      <c r="AA13" s="1638"/>
      <c r="AB13" s="1638"/>
    </row>
    <row r="14" spans="1:28" ht="57" customHeight="1">
      <c r="A14" s="1634"/>
      <c r="B14" s="2024"/>
      <c r="C14" s="2025"/>
      <c r="D14" s="1640"/>
      <c r="E14" s="2035" t="s">
        <v>12</v>
      </c>
      <c r="F14" s="2035"/>
      <c r="G14" s="2035"/>
      <c r="H14" s="2035"/>
      <c r="I14" s="2035"/>
      <c r="J14" s="2035"/>
      <c r="K14" s="2035"/>
      <c r="L14" s="2035"/>
      <c r="M14" s="2035"/>
      <c r="N14" s="2035"/>
      <c r="O14" s="2035"/>
      <c r="P14" s="2035"/>
      <c r="Q14" s="2035"/>
      <c r="R14" s="2035"/>
      <c r="S14" s="2035"/>
      <c r="T14" s="2035"/>
      <c r="U14" s="2035"/>
      <c r="V14" s="2035"/>
      <c r="W14" s="2035"/>
      <c r="X14" s="2035"/>
      <c r="Y14" s="1636"/>
      <c r="Z14" s="1637"/>
      <c r="AA14" s="1638"/>
      <c r="AB14" s="1638"/>
    </row>
    <row r="15" spans="1:28" ht="16.5" customHeight="1">
      <c r="A15" s="1634"/>
      <c r="B15" s="2033"/>
      <c r="C15" s="2034"/>
      <c r="D15" s="1649"/>
      <c r="E15" s="1650"/>
      <c r="F15" s="1650"/>
      <c r="G15" s="1650"/>
      <c r="H15" s="1650"/>
      <c r="I15" s="1650"/>
      <c r="J15" s="1650"/>
      <c r="K15" s="1650"/>
      <c r="L15" s="1650"/>
      <c r="M15" s="1650"/>
      <c r="N15" s="1650"/>
      <c r="O15" s="1650"/>
      <c r="P15" s="1650"/>
      <c r="Q15" s="1650"/>
      <c r="R15" s="1650"/>
      <c r="S15" s="1650"/>
      <c r="T15" s="1650"/>
      <c r="U15" s="1650"/>
      <c r="V15" s="1650"/>
      <c r="W15" s="1650"/>
      <c r="X15" s="1650"/>
      <c r="Y15" s="1651"/>
      <c r="Z15" s="1637"/>
      <c r="AA15" s="1652"/>
      <c r="AB15" s="1638"/>
    </row>
    <row r="16" spans="1:28" ht="95.25" customHeight="1">
      <c r="A16" s="1626"/>
      <c r="B16" s="2035"/>
      <c r="C16" s="2036"/>
      <c r="D16" s="2036"/>
      <c r="E16" s="2036"/>
      <c r="F16" s="2036"/>
      <c r="G16" s="2036"/>
      <c r="H16" s="2036"/>
      <c r="I16" s="2036"/>
      <c r="J16" s="2036"/>
      <c r="K16" s="2036"/>
      <c r="L16" s="2036"/>
      <c r="M16" s="2036"/>
      <c r="N16" s="2036"/>
      <c r="O16" s="2036"/>
      <c r="P16" s="2036"/>
      <c r="Q16" s="2036"/>
      <c r="R16" s="2036"/>
      <c r="S16" s="2036"/>
      <c r="T16" s="2036"/>
      <c r="U16" s="2036"/>
      <c r="V16" s="2036"/>
      <c r="W16" s="2036"/>
      <c r="X16" s="2036"/>
      <c r="Y16" s="2036"/>
      <c r="Z16" s="1626"/>
      <c r="AA16" s="1628"/>
      <c r="AB16" s="1626"/>
    </row>
    <row r="17" spans="1:28" ht="14.25" customHeight="1">
      <c r="A17" s="1626"/>
      <c r="B17" s="1626"/>
      <c r="C17" s="1626"/>
      <c r="D17" s="1626"/>
      <c r="E17" s="1626"/>
      <c r="F17" s="1626"/>
      <c r="G17" s="1626"/>
      <c r="H17" s="1626"/>
      <c r="I17" s="1626"/>
      <c r="J17" s="1626"/>
      <c r="K17" s="1626"/>
      <c r="L17" s="1626"/>
      <c r="M17" s="1626"/>
      <c r="N17" s="1626"/>
      <c r="O17" s="1626"/>
      <c r="P17" s="1626"/>
      <c r="Q17" s="1626"/>
      <c r="R17" s="1626"/>
      <c r="S17" s="1626"/>
      <c r="T17" s="1626"/>
      <c r="U17" s="1626"/>
      <c r="V17" s="1626"/>
      <c r="W17" s="1626"/>
      <c r="X17" s="1626"/>
      <c r="Y17" s="1627"/>
      <c r="Z17" s="1626"/>
      <c r="AA17" s="1628"/>
      <c r="AB17" s="1626"/>
    </row>
    <row r="18" spans="1:28" ht="14.25" customHeight="1">
      <c r="A18" s="1626"/>
      <c r="B18" s="1626"/>
      <c r="C18" s="1626"/>
      <c r="D18" s="1626"/>
      <c r="E18" s="1626"/>
      <c r="F18" s="1626"/>
      <c r="G18" s="1626"/>
      <c r="H18" s="1626"/>
      <c r="I18" s="1626"/>
      <c r="J18" s="1626"/>
      <c r="K18" s="1626"/>
      <c r="L18" s="1626"/>
      <c r="M18" s="1626"/>
      <c r="N18" s="1626"/>
      <c r="O18" s="1626"/>
      <c r="P18" s="1626"/>
      <c r="Q18" s="1626"/>
      <c r="R18" s="1626"/>
      <c r="S18" s="1626"/>
      <c r="T18" s="1626"/>
      <c r="U18" s="1626"/>
      <c r="V18" s="1626"/>
      <c r="W18" s="1626"/>
      <c r="X18" s="1626"/>
      <c r="Y18" s="1627"/>
      <c r="Z18" s="1626"/>
      <c r="AA18" s="1628"/>
      <c r="AB18" s="1626"/>
    </row>
    <row r="19" spans="1:28" ht="14.25" customHeight="1">
      <c r="A19" s="1626"/>
      <c r="B19" s="1626"/>
      <c r="C19" s="1626"/>
      <c r="D19" s="1626"/>
      <c r="E19" s="1626"/>
      <c r="F19" s="1626"/>
      <c r="G19" s="1626"/>
      <c r="H19" s="1626"/>
      <c r="I19" s="1626"/>
      <c r="J19" s="1626"/>
      <c r="K19" s="1626"/>
      <c r="L19" s="1626"/>
      <c r="M19" s="1626"/>
      <c r="N19" s="1626"/>
      <c r="O19" s="1626"/>
      <c r="P19" s="1626"/>
      <c r="Q19" s="1626"/>
      <c r="R19" s="1626"/>
      <c r="S19" s="1626"/>
      <c r="T19" s="1626"/>
      <c r="U19" s="1626"/>
      <c r="V19" s="1626"/>
      <c r="W19" s="1626"/>
      <c r="X19" s="1626"/>
      <c r="Y19" s="1627"/>
      <c r="Z19" s="1626"/>
      <c r="AA19" s="1628"/>
      <c r="AB19" s="1626"/>
    </row>
    <row r="20" spans="1:28" ht="14.25" customHeight="1">
      <c r="A20" s="1626"/>
      <c r="B20" s="1626"/>
      <c r="C20" s="1626"/>
      <c r="D20" s="1626"/>
      <c r="E20" s="1626"/>
      <c r="F20" s="1626"/>
      <c r="G20" s="1626"/>
      <c r="H20" s="1626"/>
      <c r="I20" s="1626"/>
      <c r="J20" s="1626"/>
      <c r="K20" s="1626"/>
      <c r="L20" s="1626"/>
      <c r="M20" s="1626"/>
      <c r="N20" s="1626"/>
      <c r="O20" s="1626"/>
      <c r="P20" s="1626"/>
      <c r="Q20" s="1626"/>
      <c r="R20" s="1626"/>
      <c r="S20" s="1626"/>
      <c r="T20" s="1626"/>
      <c r="U20" s="1626"/>
      <c r="V20" s="1626"/>
      <c r="W20" s="1626"/>
      <c r="X20" s="1626"/>
      <c r="Y20" s="1627"/>
      <c r="Z20" s="1626"/>
      <c r="AA20" s="1628"/>
      <c r="AB20" s="1626"/>
    </row>
    <row r="21" spans="1:28" ht="14.25" customHeight="1">
      <c r="A21" s="1626"/>
      <c r="B21" s="1626"/>
      <c r="C21" s="1626"/>
      <c r="D21" s="1626"/>
      <c r="E21" s="1626"/>
      <c r="F21" s="1626"/>
      <c r="G21" s="1626"/>
      <c r="H21" s="1626"/>
      <c r="I21" s="1626"/>
      <c r="J21" s="1626"/>
      <c r="K21" s="1626"/>
      <c r="L21" s="1626"/>
      <c r="M21" s="1626"/>
      <c r="N21" s="1626"/>
      <c r="O21" s="1626"/>
      <c r="P21" s="1626"/>
      <c r="Q21" s="1626"/>
      <c r="R21" s="1626"/>
      <c r="S21" s="1626"/>
      <c r="T21" s="1626"/>
      <c r="U21" s="1626"/>
      <c r="V21" s="1626"/>
      <c r="W21" s="1626"/>
      <c r="X21" s="1626"/>
      <c r="Y21" s="1627"/>
      <c r="Z21" s="1626"/>
      <c r="AA21" s="1628"/>
      <c r="AB21" s="1626"/>
    </row>
  </sheetData>
  <sheetProtection formatColumns="0" formatRows="0" insertRows="0" deleteColumns="0" deleteRows="0" sort="0" autoFilter="0"/>
  <mergeCells count="13">
    <mergeCell ref="B11:C12"/>
    <mergeCell ref="E12:X12"/>
    <mergeCell ref="B13:C15"/>
    <mergeCell ref="E14:X14"/>
    <mergeCell ref="B16:Y16"/>
    <mergeCell ref="B2:P2"/>
    <mergeCell ref="B3:P3"/>
    <mergeCell ref="B5:Y5"/>
    <mergeCell ref="B6:C10"/>
    <mergeCell ref="F8:M8"/>
    <mergeCell ref="P8:X8"/>
    <mergeCell ref="F9:M9"/>
    <mergeCell ref="P9:X9"/>
  </mergeCell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tabColor rgb="FFCCCCFF"/>
    <pageSetUpPr fitToPage="1"/>
  </sheetPr>
  <dimension ref="A1:Q79"/>
  <sheetViews>
    <sheetView showGridLines="0" tabSelected="1" topLeftCell="C1" zoomScale="90" workbookViewId="0">
      <selection activeCell="F65" sqref="F65"/>
    </sheetView>
  </sheetViews>
  <sheetFormatPr defaultColWidth="9.140625" defaultRowHeight="11.25" customHeight="1"/>
  <cols>
    <col min="1" max="1" width="10.7109375" style="716" hidden="1" customWidth="1"/>
    <col min="2" max="2" width="10.7109375" style="667" hidden="1" customWidth="1"/>
    <col min="3" max="3" width="3" style="465" customWidth="1"/>
    <col min="4" max="4" width="1" style="1560" customWidth="1"/>
    <col min="5" max="6" width="55" style="1560" customWidth="1"/>
    <col min="7" max="7" width="1" style="1998" customWidth="1"/>
    <col min="8" max="8" width="18" style="1560" hidden="1" customWidth="1"/>
    <col min="9" max="9" width="59" style="466" customWidth="1"/>
    <col min="10" max="10" width="52.140625" style="1291" hidden="1" customWidth="1"/>
    <col min="11" max="11" width="8" style="1560" customWidth="1"/>
    <col min="12" max="12" width="77" style="1560" customWidth="1"/>
    <col min="13" max="16" width="8" style="1560" customWidth="1"/>
    <col min="17" max="17" width="12" style="1560" hidden="1" customWidth="1"/>
  </cols>
  <sheetData>
    <row r="1" spans="1:17" s="557" customFormat="1" ht="3" customHeight="1">
      <c r="A1" s="712"/>
      <c r="B1" s="177"/>
      <c r="F1" s="178" t="s">
        <v>13</v>
      </c>
      <c r="G1" s="346"/>
      <c r="H1" s="9"/>
      <c r="I1" s="346"/>
      <c r="J1" s="800"/>
      <c r="Q1" s="178" t="s">
        <v>14</v>
      </c>
    </row>
    <row r="2" spans="1:17" s="1557" customFormat="1" ht="14.25" customHeight="1">
      <c r="A2" s="712"/>
      <c r="B2" s="36"/>
      <c r="E2" s="1665" t="str">
        <f>code</f>
        <v>Код отчёта: PP110.OPEN.INFO.QUARTER.HEAT.EIAS</v>
      </c>
      <c r="F2" s="205"/>
      <c r="G2" s="181"/>
      <c r="H2" s="181"/>
      <c r="I2" s="181"/>
      <c r="J2" s="801"/>
      <c r="K2" s="181"/>
      <c r="Q2" s="9">
        <v>14</v>
      </c>
    </row>
    <row r="3" spans="1:17" ht="14.65" customHeight="1">
      <c r="E3" s="182" t="str">
        <f>version</f>
        <v>Версия отчёта: 1.1.1</v>
      </c>
      <c r="F3" s="205"/>
      <c r="G3" s="700"/>
      <c r="H3" s="700"/>
      <c r="I3" s="700"/>
      <c r="J3" s="802"/>
      <c r="K3" s="26"/>
      <c r="Q3" s="12">
        <v>14</v>
      </c>
    </row>
    <row r="4" spans="1:17" s="1537" customFormat="1" ht="6.4" customHeight="1">
      <c r="A4" s="713"/>
      <c r="B4" s="168"/>
      <c r="C4" s="169"/>
      <c r="D4" s="170"/>
      <c r="E4" s="179"/>
      <c r="F4" s="180"/>
      <c r="G4" s="701"/>
      <c r="H4" s="344"/>
      <c r="I4" s="346"/>
      <c r="J4" s="803"/>
      <c r="Q4" s="172">
        <v>6</v>
      </c>
    </row>
    <row r="5" spans="1:17" ht="39.75" customHeight="1">
      <c r="D5" s="13"/>
      <c r="E5" s="2037" t="str">
        <f>NameTemplatesInTitle</f>
        <v>Информация о наличии (отсутствии) технической возможности подключения к централизованной системе теплоснабжения, а также о регистрации и ходе реализации заявок о подключении к централизованной системе теплоснабжения</v>
      </c>
      <c r="F5" s="2038"/>
      <c r="G5" s="702"/>
      <c r="J5" s="804"/>
      <c r="Q5" s="12">
        <v>38</v>
      </c>
    </row>
    <row r="6" spans="1:17" s="1537" customFormat="1" ht="6.4" customHeight="1">
      <c r="A6" s="713"/>
      <c r="B6" s="168"/>
      <c r="C6" s="169"/>
      <c r="D6" s="170"/>
      <c r="E6" s="173"/>
      <c r="F6" s="174"/>
      <c r="G6" s="702"/>
      <c r="H6" s="344"/>
      <c r="I6" s="346"/>
      <c r="J6" s="803"/>
      <c r="Q6" s="172">
        <v>6</v>
      </c>
    </row>
    <row r="7" spans="1:17" ht="21" customHeight="1">
      <c r="D7" s="13"/>
      <c r="E7" s="326" t="s">
        <v>15</v>
      </c>
      <c r="F7" s="151" t="s">
        <v>16</v>
      </c>
      <c r="G7" s="702"/>
      <c r="Q7" s="12">
        <v>20</v>
      </c>
    </row>
    <row r="8" spans="1:17" s="1537" customFormat="1" ht="6.4" customHeight="1">
      <c r="A8" s="714"/>
      <c r="B8" s="168"/>
      <c r="C8" s="169"/>
      <c r="D8" s="175"/>
      <c r="E8" s="173"/>
      <c r="F8" s="176"/>
      <c r="G8" s="15"/>
      <c r="H8" s="344"/>
      <c r="I8" s="346"/>
      <c r="J8" s="806"/>
      <c r="Q8" s="172">
        <v>6</v>
      </c>
    </row>
    <row r="9" spans="1:17" s="1560" customFormat="1" ht="19.5" hidden="1" customHeight="1">
      <c r="A9" s="713"/>
      <c r="B9" s="36"/>
      <c r="C9" s="343"/>
      <c r="D9" s="345"/>
      <c r="E9" s="1090" t="s">
        <v>17</v>
      </c>
      <c r="F9" s="1845"/>
      <c r="G9" s="702"/>
      <c r="I9" s="1824" t="str">
        <f>IF(TITLE_STRUCTURE_INFO_ROIV="","","раскрывается "&amp;INDEX(ROIV_INFO_COMMENT,MATCH(TITLE_STRUCTURE_INFO_ROIV,ROIV_INFO_LIST,0)))</f>
        <v/>
      </c>
      <c r="J9" s="805"/>
      <c r="Q9" s="344">
        <v>0</v>
      </c>
    </row>
    <row r="10" spans="1:17" s="1537" customFormat="1" ht="24" hidden="1" customHeight="1">
      <c r="A10" s="714"/>
      <c r="B10" s="361"/>
      <c r="C10" s="362"/>
      <c r="D10" s="175"/>
      <c r="E10" s="1090" t="s">
        <v>18</v>
      </c>
      <c r="F10" s="1987" t="s">
        <v>19</v>
      </c>
      <c r="G10" s="15"/>
      <c r="H10" s="344"/>
      <c r="I10" s="346"/>
      <c r="J10" s="806"/>
      <c r="Q10" s="365">
        <v>24</v>
      </c>
    </row>
    <row r="11" spans="1:17" ht="22.5" hidden="1" customHeight="1">
      <c r="A11" s="2040" t="s">
        <v>20</v>
      </c>
      <c r="D11" s="13"/>
      <c r="E11" s="1090" t="s">
        <v>21</v>
      </c>
      <c r="F11" s="1657" t="s">
        <v>22</v>
      </c>
      <c r="G11" s="15"/>
      <c r="H11" s="703" t="s">
        <v>23</v>
      </c>
      <c r="J11" s="805" t="s">
        <v>24</v>
      </c>
      <c r="Q11" s="12">
        <v>0</v>
      </c>
    </row>
    <row r="12" spans="1:17" ht="22.5" hidden="1" customHeight="1">
      <c r="A12" s="2040"/>
      <c r="D12" s="13"/>
      <c r="E12" s="1090" t="s">
        <v>25</v>
      </c>
      <c r="F12" s="1657"/>
      <c r="G12" s="11"/>
      <c r="J12" s="805" t="s">
        <v>26</v>
      </c>
      <c r="Q12" s="12">
        <v>0</v>
      </c>
    </row>
    <row r="13" spans="1:17" s="1560" customFormat="1" ht="22.5" hidden="1" customHeight="1">
      <c r="A13" s="717" t="s">
        <v>27</v>
      </c>
      <c r="B13" s="36"/>
      <c r="C13" s="343"/>
      <c r="D13" s="345"/>
      <c r="E13" s="1700" t="s">
        <v>28</v>
      </c>
      <c r="F13" s="1657" t="s">
        <v>22</v>
      </c>
      <c r="G13" s="15"/>
      <c r="H13" s="700"/>
      <c r="I13" s="346"/>
      <c r="J13" s="1701" t="s">
        <v>29</v>
      </c>
      <c r="Q13" s="344">
        <v>0</v>
      </c>
    </row>
    <row r="14" spans="1:17" s="1560" customFormat="1" ht="27" customHeight="1">
      <c r="A14" s="717" t="s">
        <v>30</v>
      </c>
      <c r="B14" s="36"/>
      <c r="C14" s="343"/>
      <c r="D14" s="345"/>
      <c r="E14" s="1090" t="s">
        <v>31</v>
      </c>
      <c r="F14" s="1692">
        <v>2024</v>
      </c>
      <c r="G14" s="15"/>
      <c r="H14" s="700"/>
      <c r="I14" s="346"/>
      <c r="J14" s="805" t="s">
        <v>32</v>
      </c>
      <c r="Q14" s="344">
        <v>0</v>
      </c>
    </row>
    <row r="15" spans="1:17" s="1560" customFormat="1" ht="19.5" customHeight="1">
      <c r="A15" s="717" t="s">
        <v>33</v>
      </c>
      <c r="B15" s="36"/>
      <c r="C15" s="343"/>
      <c r="D15" s="345"/>
      <c r="E15" s="1090" t="s">
        <v>34</v>
      </c>
      <c r="F15" s="1692" t="s">
        <v>35</v>
      </c>
      <c r="G15" s="15"/>
      <c r="H15" s="700"/>
      <c r="I15" s="346"/>
      <c r="J15" s="805" t="s">
        <v>36</v>
      </c>
      <c r="Q15" s="344">
        <v>0</v>
      </c>
    </row>
    <row r="16" spans="1:17" s="1537" customFormat="1" ht="6.4" customHeight="1">
      <c r="A16" s="714"/>
      <c r="B16" s="168"/>
      <c r="C16" s="169"/>
      <c r="D16" s="175"/>
      <c r="E16" s="173"/>
      <c r="F16" s="176"/>
      <c r="G16" s="15"/>
      <c r="H16" s="344"/>
      <c r="I16" s="346"/>
      <c r="J16" s="803"/>
      <c r="Q16" s="172">
        <v>6</v>
      </c>
    </row>
    <row r="17" spans="1:17" ht="21" customHeight="1">
      <c r="D17" s="13"/>
      <c r="E17" s="326" t="s">
        <v>37</v>
      </c>
      <c r="F17" s="152" t="s">
        <v>38</v>
      </c>
      <c r="G17" s="11"/>
      <c r="H17" s="703" t="s">
        <v>23</v>
      </c>
      <c r="Q17" s="12">
        <v>20</v>
      </c>
    </row>
    <row r="18" spans="1:17" ht="25.5" hidden="1" customHeight="1">
      <c r="D18" s="13"/>
      <c r="E18" s="1700" t="s">
        <v>39</v>
      </c>
      <c r="F18" s="1658"/>
      <c r="G18" s="11"/>
      <c r="I18" s="704"/>
      <c r="J18" s="2039" t="s">
        <v>40</v>
      </c>
      <c r="Q18" s="12">
        <v>0</v>
      </c>
    </row>
    <row r="19" spans="1:17" ht="25.5" hidden="1" customHeight="1">
      <c r="D19" s="13"/>
      <c r="E19" s="1090" t="str">
        <f>"Дата периода регулирования, с которой "&amp;IF(TEMPLATE_GROUP="P","вводятся","предлагаются")&amp;" изменения в тарифы"</f>
        <v>Дата периода регулирования, с которой предлагаются изменения в тарифы</v>
      </c>
      <c r="F19" s="1658"/>
      <c r="G19" s="11"/>
      <c r="I19" s="704"/>
      <c r="J19" s="2039"/>
      <c r="Q19" s="12">
        <v>0</v>
      </c>
    </row>
    <row r="20" spans="1:17" ht="22.5" hidden="1" customHeight="1">
      <c r="D20" s="13"/>
      <c r="E20" s="14"/>
      <c r="F20" s="206" t="str">
        <f>"Первичное "&amp;IF(TEMPLATE_GROUP="P","установление тарифов","предложение по тарифам")</f>
        <v>Первичное предложение по тарифам</v>
      </c>
      <c r="G20" s="11"/>
      <c r="I20" s="329"/>
      <c r="J20" s="804" t="s">
        <v>41</v>
      </c>
      <c r="Q20" s="12">
        <v>0</v>
      </c>
    </row>
    <row r="21" spans="1:17" ht="19.5" hidden="1" customHeight="1">
      <c r="D21" s="13"/>
      <c r="E21" s="326" t="str">
        <f>"Дата "&amp;IF(TEMPLATE_GROUP="P","документа","подачи заявления")&amp;" об утверждении тарифов"</f>
        <v>Дата подачи заявления об утверждении тарифов</v>
      </c>
      <c r="F21" s="1657"/>
      <c r="G21" s="11"/>
      <c r="I21" s="705"/>
      <c r="Q21" s="12">
        <v>0</v>
      </c>
    </row>
    <row r="22" spans="1:17" ht="19.5" hidden="1" customHeight="1">
      <c r="D22" s="13"/>
      <c r="E22" s="326" t="str">
        <f>"Номер "&amp;IF(TEMPLATE_GROUP="P","документа","подачи заявления")&amp;" об утверждении тарифов"</f>
        <v>Номер подачи заявления об утверждении тарифов</v>
      </c>
      <c r="F22" s="152"/>
      <c r="G22" s="11"/>
      <c r="I22" s="705"/>
      <c r="Q22" s="12">
        <v>0</v>
      </c>
    </row>
    <row r="23" spans="1:17" ht="22.5" hidden="1" customHeight="1">
      <c r="D23" s="13"/>
      <c r="E23" s="326" t="s">
        <v>42</v>
      </c>
      <c r="F23" s="152"/>
      <c r="G23" s="11"/>
      <c r="Q23" s="12">
        <v>0</v>
      </c>
    </row>
    <row r="24" spans="1:17" ht="19.5" hidden="1" customHeight="1">
      <c r="D24" s="13"/>
      <c r="E24" s="326" t="s">
        <v>43</v>
      </c>
      <c r="F24" s="152"/>
      <c r="G24" s="11"/>
      <c r="Q24" s="12">
        <v>0</v>
      </c>
    </row>
    <row r="25" spans="1:17" ht="22.5" hidden="1" customHeight="1">
      <c r="D25" s="13"/>
      <c r="E25" s="14"/>
      <c r="F25" s="206" t="str">
        <f>"Изменение "&amp;IF(TEMPLATE_GROUP="P","тарифов","предложения по тарифам")</f>
        <v>Изменение предложения по тарифам</v>
      </c>
      <c r="G25" s="11"/>
      <c r="J25" s="804" t="s">
        <v>44</v>
      </c>
      <c r="Q25" s="12">
        <v>0</v>
      </c>
    </row>
    <row r="26" spans="1:17" ht="19.5" hidden="1" customHeight="1">
      <c r="D26" s="13"/>
      <c r="E26" s="326" t="str">
        <f>"Дата "&amp;IF(TEMPLATE_GROUP="P","принятия решения","подачи заявления")&amp;" об изменении тарифов"</f>
        <v>Дата подачи заявления об изменении тарифов</v>
      </c>
      <c r="F26" s="1658"/>
      <c r="G26" s="11"/>
      <c r="Q26" s="12">
        <v>0</v>
      </c>
    </row>
    <row r="27" spans="1:17" ht="19.5" hidden="1" customHeight="1">
      <c r="D27" s="13"/>
      <c r="E27" s="1090" t="str">
        <f>"Номер "&amp;IF(TEMPLATE_GROUP="P","принятия решения","заявления")&amp;" об изменении тарифов"</f>
        <v>Номер заявления об изменении тарифов</v>
      </c>
      <c r="F27" s="154"/>
      <c r="G27" s="11"/>
      <c r="Q27" s="12">
        <v>0</v>
      </c>
    </row>
    <row r="28" spans="1:17" ht="24.75" hidden="1" customHeight="1">
      <c r="D28" s="13"/>
      <c r="E28" s="326" t="s">
        <v>45</v>
      </c>
      <c r="F28" s="154"/>
      <c r="G28" s="11"/>
      <c r="Q28" s="12">
        <v>0</v>
      </c>
    </row>
    <row r="29" spans="1:17" ht="19.5" hidden="1" customHeight="1">
      <c r="D29" s="13"/>
      <c r="E29" s="326" t="s">
        <v>43</v>
      </c>
      <c r="F29" s="154"/>
      <c r="G29" s="11"/>
      <c r="Q29" s="12">
        <v>0</v>
      </c>
    </row>
    <row r="30" spans="1:17" s="1537" customFormat="1" ht="6.4" customHeight="1">
      <c r="A30" s="714"/>
      <c r="B30" s="168"/>
      <c r="C30" s="169"/>
      <c r="D30" s="175"/>
      <c r="E30" s="173"/>
      <c r="F30" s="176"/>
      <c r="G30" s="15"/>
      <c r="H30" s="344"/>
      <c r="I30" s="346"/>
      <c r="J30" s="803"/>
      <c r="Q30" s="172">
        <v>6</v>
      </c>
    </row>
    <row r="31" spans="1:17" ht="21" customHeight="1">
      <c r="C31" s="16"/>
      <c r="D31" s="17"/>
      <c r="E31" s="326" t="str">
        <f>"Наименование "&amp;IF(TEMPLATE_GROUP="ROIV","органа тарифного регулирования","ЮЛ / ИП")</f>
        <v>Наименование ЮЛ / ИП</v>
      </c>
      <c r="F31" s="153" t="s">
        <v>46</v>
      </c>
      <c r="G31" s="706"/>
      <c r="Q31" s="12">
        <v>20</v>
      </c>
    </row>
    <row r="32" spans="1:17" ht="21" hidden="1" customHeight="1">
      <c r="C32" s="16"/>
      <c r="D32" s="17"/>
      <c r="E32" s="327" t="s">
        <v>47</v>
      </c>
      <c r="F32" s="153"/>
      <c r="G32" s="706"/>
      <c r="Q32" s="12">
        <v>20</v>
      </c>
    </row>
    <row r="33" spans="1:17" ht="21" customHeight="1">
      <c r="C33" s="16"/>
      <c r="D33" s="17"/>
      <c r="E33" s="326" t="s">
        <v>48</v>
      </c>
      <c r="F33" s="153" t="s">
        <v>49</v>
      </c>
      <c r="G33" s="706"/>
      <c r="Q33" s="12">
        <v>20</v>
      </c>
    </row>
    <row r="34" spans="1:17" ht="21" customHeight="1">
      <c r="C34" s="16"/>
      <c r="D34" s="17"/>
      <c r="E34" s="326" t="s">
        <v>50</v>
      </c>
      <c r="F34" s="153" t="s">
        <v>51</v>
      </c>
      <c r="G34" s="706"/>
      <c r="H34" s="18"/>
      <c r="Q34" s="12">
        <v>20</v>
      </c>
    </row>
    <row r="35" spans="1:17" s="1537" customFormat="1" ht="11.45" customHeight="1">
      <c r="A35" s="714"/>
      <c r="B35" s="168"/>
      <c r="C35" s="169"/>
      <c r="D35" s="175"/>
      <c r="E35" s="173"/>
      <c r="F35" s="176"/>
      <c r="G35" s="15"/>
      <c r="H35" s="344"/>
      <c r="I35" s="346"/>
      <c r="J35" s="803"/>
      <c r="Q35" s="172">
        <v>11</v>
      </c>
    </row>
    <row r="36" spans="1:17" ht="19.5" customHeight="1">
      <c r="A36" s="808"/>
      <c r="D36" s="17"/>
      <c r="E36" s="326" t="s">
        <v>52</v>
      </c>
      <c r="F36" s="1135" t="s">
        <v>53</v>
      </c>
      <c r="G36" s="15"/>
      <c r="Q36" s="12">
        <v>0</v>
      </c>
    </row>
    <row r="37" spans="1:17" ht="21" customHeight="1">
      <c r="A37" s="808"/>
      <c r="D37" s="17"/>
      <c r="E37" s="326" t="s">
        <v>54</v>
      </c>
      <c r="F37" s="1135" t="s">
        <v>55</v>
      </c>
      <c r="G37" s="15"/>
      <c r="Q37" s="12">
        <v>20</v>
      </c>
    </row>
    <row r="38" spans="1:17" s="1537" customFormat="1" ht="6.4" customHeight="1">
      <c r="A38" s="714"/>
      <c r="B38" s="168"/>
      <c r="C38" s="169"/>
      <c r="D38" s="170"/>
      <c r="E38" s="171"/>
      <c r="F38" s="981"/>
      <c r="G38" s="11"/>
      <c r="H38" s="344"/>
      <c r="I38" s="346"/>
      <c r="J38" s="805"/>
      <c r="Q38" s="172">
        <v>6</v>
      </c>
    </row>
    <row r="39" spans="1:17" ht="36.75" customHeight="1">
      <c r="A39" s="714"/>
      <c r="D39" s="13"/>
      <c r="E39" s="326" t="s">
        <v>56</v>
      </c>
      <c r="F39" s="645" t="s">
        <v>19</v>
      </c>
      <c r="G39" s="11"/>
      <c r="H39" s="703" t="s">
        <v>23</v>
      </c>
      <c r="Q39" s="12">
        <v>35</v>
      </c>
    </row>
    <row r="40" spans="1:17" s="1537" customFormat="1" ht="6.4" hidden="1" customHeight="1">
      <c r="A40" s="713"/>
      <c r="B40" s="361"/>
      <c r="C40" s="362"/>
      <c r="D40" s="363"/>
      <c r="E40" s="364"/>
      <c r="F40" s="981"/>
      <c r="G40" s="11"/>
      <c r="H40" s="344"/>
      <c r="I40" s="346"/>
      <c r="J40" s="805"/>
      <c r="Q40" s="365">
        <v>6</v>
      </c>
    </row>
    <row r="41" spans="1:17" s="1560" customFormat="1" ht="26.25" hidden="1" customHeight="1">
      <c r="A41" s="717" t="s">
        <v>27</v>
      </c>
      <c r="B41" s="348"/>
      <c r="C41" s="343"/>
      <c r="D41" s="345"/>
      <c r="E41" s="326" t="str">
        <f>"Дифференциация информации по централизованным системам  "&amp;TEMPLATE_SPHERE_RUS</f>
        <v>Дифференциация информации по централизованным системам  теплоснабжения</v>
      </c>
      <c r="F41" s="645" t="s">
        <v>19</v>
      </c>
      <c r="G41" s="11"/>
      <c r="I41" s="346"/>
      <c r="J41" s="805"/>
      <c r="Q41" s="344">
        <v>0</v>
      </c>
    </row>
    <row r="42" spans="1:17" s="1537" customFormat="1" ht="6" hidden="1" customHeight="1">
      <c r="A42" s="713"/>
      <c r="B42" s="361"/>
      <c r="C42" s="362"/>
      <c r="D42" s="363"/>
      <c r="E42" s="364"/>
      <c r="F42" s="981"/>
      <c r="G42" s="11"/>
      <c r="H42" s="344"/>
      <c r="I42" s="346"/>
      <c r="J42" s="803"/>
      <c r="Q42" s="365">
        <v>0</v>
      </c>
    </row>
    <row r="43" spans="1:17" s="1560" customFormat="1" ht="27" hidden="1" customHeight="1">
      <c r="A43" s="713"/>
      <c r="B43" s="348"/>
      <c r="C43" s="343"/>
      <c r="D43" s="345"/>
      <c r="E43" s="326" t="s">
        <v>57</v>
      </c>
      <c r="F43" s="645" t="s">
        <v>19</v>
      </c>
      <c r="G43" s="11"/>
      <c r="I43" s="346"/>
      <c r="J43" s="805"/>
      <c r="Q43" s="344">
        <v>0</v>
      </c>
    </row>
    <row r="44" spans="1:17" s="1560" customFormat="1" ht="27" hidden="1" customHeight="1">
      <c r="A44" s="713"/>
      <c r="B44" s="348"/>
      <c r="C44" s="343"/>
      <c r="D44" s="345"/>
      <c r="E44" s="1090" t="s">
        <v>58</v>
      </c>
      <c r="F44" s="1812"/>
      <c r="G44" s="11"/>
      <c r="I44" s="346"/>
      <c r="J44" s="805"/>
      <c r="Q44" s="344">
        <v>0</v>
      </c>
    </row>
    <row r="45" spans="1:17" s="1537" customFormat="1" ht="6" hidden="1" customHeight="1">
      <c r="A45" s="713"/>
      <c r="B45" s="361"/>
      <c r="C45" s="362"/>
      <c r="D45" s="363"/>
      <c r="E45" s="364"/>
      <c r="F45" s="981"/>
      <c r="G45" s="11"/>
      <c r="H45" s="344"/>
      <c r="I45" s="346"/>
      <c r="J45" s="805"/>
      <c r="Q45" s="365">
        <v>0</v>
      </c>
    </row>
    <row r="46" spans="1:17" s="1537" customFormat="1" ht="24.75" hidden="1" customHeight="1">
      <c r="A46" s="713"/>
      <c r="B46" s="361"/>
      <c r="C46" s="362"/>
      <c r="D46" s="363"/>
      <c r="E46" s="1090" t="s">
        <v>59</v>
      </c>
      <c r="F46" s="645" t="s">
        <v>19</v>
      </c>
      <c r="G46" s="11"/>
      <c r="H46" s="344"/>
      <c r="I46" s="346"/>
      <c r="J46" s="805"/>
      <c r="Q46" s="365">
        <v>0</v>
      </c>
    </row>
    <row r="47" spans="1:17" s="1560" customFormat="1" ht="24.75" hidden="1" customHeight="1">
      <c r="A47" s="713"/>
      <c r="B47" s="348"/>
      <c r="C47" s="343"/>
      <c r="D47" s="345"/>
      <c r="E47" s="1090" t="s">
        <v>60</v>
      </c>
      <c r="F47" s="645" t="s">
        <v>19</v>
      </c>
      <c r="G47" s="11"/>
      <c r="I47" s="346"/>
      <c r="J47" s="805"/>
      <c r="Q47" s="344">
        <v>0</v>
      </c>
    </row>
    <row r="48" spans="1:17" s="1537" customFormat="1" ht="6" hidden="1" customHeight="1">
      <c r="A48" s="713"/>
      <c r="B48" s="168"/>
      <c r="C48" s="169"/>
      <c r="D48" s="170"/>
      <c r="E48" s="171"/>
      <c r="F48" s="981"/>
      <c r="G48" s="11"/>
      <c r="H48" s="344"/>
      <c r="I48" s="346"/>
      <c r="J48" s="805"/>
      <c r="Q48" s="172">
        <v>0</v>
      </c>
    </row>
    <row r="49" spans="1:17" ht="29.25" hidden="1" customHeight="1">
      <c r="B49" s="84"/>
      <c r="D49" s="13"/>
      <c r="E49" s="326" t="str">
        <f>"Организация осуществляет подключение (технологическое присоединение) к системе "&amp;TEMPLATE_SPHERE_RUS</f>
        <v>Организация осуществляет подключение (технологическое присоединение) к системе теплоснабжения</v>
      </c>
      <c r="F49" s="645"/>
      <c r="G49" s="11"/>
      <c r="Q49" s="12">
        <v>0</v>
      </c>
    </row>
    <row r="50" spans="1:17" s="1537" customFormat="1" ht="6" hidden="1" customHeight="1">
      <c r="A50" s="714"/>
      <c r="B50" s="361"/>
      <c r="C50" s="362"/>
      <c r="D50" s="175"/>
      <c r="E50" s="173"/>
      <c r="F50" s="176"/>
      <c r="G50" s="15"/>
      <c r="H50" s="344"/>
      <c r="I50" s="346"/>
      <c r="J50" s="805"/>
      <c r="Q50" s="365">
        <v>0</v>
      </c>
    </row>
    <row r="51" spans="1:17" s="1560" customFormat="1" ht="28.5" hidden="1" customHeight="1">
      <c r="A51" s="715"/>
      <c r="B51" s="348"/>
      <c r="C51" s="465"/>
      <c r="D51" s="466"/>
      <c r="E51" s="326" t="s">
        <v>61</v>
      </c>
      <c r="F51" s="645" t="s">
        <v>19</v>
      </c>
      <c r="G51" s="467"/>
      <c r="I51" s="469"/>
      <c r="J51" s="807"/>
      <c r="P51" s="470"/>
      <c r="Q51" s="468">
        <v>0</v>
      </c>
    </row>
    <row r="52" spans="1:17" s="1537" customFormat="1" ht="6" hidden="1" customHeight="1">
      <c r="A52" s="714"/>
      <c r="B52" s="361"/>
      <c r="C52" s="362"/>
      <c r="D52" s="175"/>
      <c r="E52" s="173"/>
      <c r="F52" s="176"/>
      <c r="G52" s="15"/>
      <c r="H52" s="344"/>
      <c r="I52" s="346"/>
      <c r="J52" s="803"/>
      <c r="Q52" s="365">
        <v>0</v>
      </c>
    </row>
    <row r="53" spans="1:17" s="1560" customFormat="1" ht="27" hidden="1" customHeight="1">
      <c r="A53" s="715"/>
      <c r="B53" s="348"/>
      <c r="C53" s="465"/>
      <c r="D53" s="466"/>
      <c r="E53" s="326" t="s">
        <v>62</v>
      </c>
      <c r="F53" s="976" t="s">
        <v>19</v>
      </c>
      <c r="G53" s="467"/>
      <c r="I53" s="469"/>
      <c r="J53" s="807"/>
      <c r="P53" s="470"/>
      <c r="Q53" s="468">
        <v>0</v>
      </c>
    </row>
    <row r="54" spans="1:17" s="1560" customFormat="1" ht="27" hidden="1" customHeight="1">
      <c r="A54" s="715"/>
      <c r="B54" s="348"/>
      <c r="C54" s="465"/>
      <c r="D54" s="466"/>
      <c r="E54" s="326" t="s">
        <v>63</v>
      </c>
      <c r="F54" s="1699"/>
      <c r="G54" s="467"/>
      <c r="I54" s="469"/>
      <c r="J54" s="807"/>
      <c r="P54" s="470"/>
      <c r="Q54" s="468">
        <v>0</v>
      </c>
    </row>
    <row r="55" spans="1:17" s="1537" customFormat="1" ht="6" hidden="1" customHeight="1">
      <c r="A55" s="714"/>
      <c r="B55" s="361"/>
      <c r="C55" s="362"/>
      <c r="D55" s="175"/>
      <c r="E55" s="173"/>
      <c r="F55" s="176"/>
      <c r="G55" s="15"/>
      <c r="H55" s="344"/>
      <c r="I55" s="346"/>
      <c r="J55" s="803"/>
      <c r="Q55" s="365">
        <v>0</v>
      </c>
    </row>
    <row r="56" spans="1:17" s="1560" customFormat="1" ht="25.5" hidden="1" customHeight="1">
      <c r="A56" s="715"/>
      <c r="B56" s="348"/>
      <c r="C56" s="465"/>
      <c r="D56" s="466"/>
      <c r="E56" s="326" t="s">
        <v>64</v>
      </c>
      <c r="F56" s="976" t="s">
        <v>19</v>
      </c>
      <c r="G56" s="467"/>
      <c r="I56" s="469"/>
      <c r="J56" s="807"/>
      <c r="P56" s="470"/>
      <c r="Q56" s="468">
        <v>0</v>
      </c>
    </row>
    <row r="57" spans="1:17" s="1537" customFormat="1" ht="6" hidden="1" customHeight="1">
      <c r="A57" s="714"/>
      <c r="B57" s="361"/>
      <c r="C57" s="362"/>
      <c r="D57" s="175"/>
      <c r="E57" s="173"/>
      <c r="F57" s="176"/>
      <c r="G57" s="15"/>
      <c r="H57" s="344"/>
      <c r="I57" s="346"/>
      <c r="J57" s="803"/>
      <c r="Q57" s="365">
        <v>0</v>
      </c>
    </row>
    <row r="58" spans="1:17" s="1560" customFormat="1" ht="15" hidden="1" customHeight="1">
      <c r="A58" s="715"/>
      <c r="B58" s="348"/>
      <c r="C58" s="465"/>
      <c r="D58" s="466"/>
      <c r="E58" s="326" t="s">
        <v>65</v>
      </c>
      <c r="F58" s="976" t="s">
        <v>66</v>
      </c>
      <c r="G58" s="467"/>
      <c r="I58" s="469"/>
      <c r="J58" s="807"/>
      <c r="P58" s="470"/>
      <c r="Q58" s="468">
        <v>0</v>
      </c>
    </row>
    <row r="59" spans="1:17" s="1560" customFormat="1" ht="75" hidden="1" customHeight="1">
      <c r="A59" s="715"/>
      <c r="B59" s="348"/>
      <c r="C59" s="465"/>
      <c r="D59" s="466"/>
      <c r="E59" s="326" t="str">
        <f>"Инвестиционная программа относится к деятельности, при осуществлении которой расчеты за товары (услуги) в сфере  "&amp;TEMPLATE_SPHERE_RUS&amp;" осуществляются по регулируемым ценам (тарифам) (за исключением деятельности по подключению (технологическому присоединению) к системе  "&amp;TEMPLATE_SPHERE_RUS&amp;")"</f>
        <v>Инвестиционная программа относится к деятельности, при осуществлении которой расчеты за товары (услуги) в сфере  теплоснабжения осуществляются по регулируемым ценам (тарифам) (за исключением деятельности по подключению (технологическому присоединению) к системе  теплоснабжения)</v>
      </c>
      <c r="F59" s="1114"/>
      <c r="G59" s="467"/>
      <c r="I59" s="469"/>
      <c r="J59" s="807"/>
      <c r="P59" s="470"/>
      <c r="Q59" s="468">
        <v>0</v>
      </c>
    </row>
    <row r="60" spans="1:17" s="1560" customFormat="1" ht="15" hidden="1" customHeight="1">
      <c r="A60" s="715"/>
      <c r="B60" s="348"/>
      <c r="C60" s="465"/>
      <c r="D60" s="466"/>
      <c r="E60" s="1090" t="s">
        <v>67</v>
      </c>
      <c r="F60" s="1076"/>
      <c r="G60" s="467"/>
      <c r="I60" s="469"/>
      <c r="J60" s="807"/>
      <c r="P60" s="470"/>
      <c r="Q60" s="468">
        <v>0</v>
      </c>
    </row>
    <row r="61" spans="1:17" s="1537" customFormat="1" ht="6" hidden="1" customHeight="1">
      <c r="A61" s="714"/>
      <c r="B61" s="361"/>
      <c r="C61" s="362"/>
      <c r="D61" s="363"/>
      <c r="E61" s="364"/>
      <c r="F61" s="981"/>
      <c r="G61" s="11"/>
      <c r="H61" s="344"/>
      <c r="I61" s="346"/>
      <c r="J61" s="805"/>
      <c r="Q61" s="365">
        <v>0</v>
      </c>
    </row>
    <row r="62" spans="1:17" s="1560" customFormat="1" ht="33.75" hidden="1" customHeight="1">
      <c r="A62" s="714"/>
      <c r="B62" s="36"/>
      <c r="C62" s="343"/>
      <c r="D62" s="345"/>
      <c r="E62" s="1090" t="s">
        <v>68</v>
      </c>
      <c r="F62" s="1596" t="s">
        <v>66</v>
      </c>
      <c r="G62" s="11"/>
      <c r="H62" s="703" t="s">
        <v>23</v>
      </c>
      <c r="I62" s="346"/>
      <c r="J62" s="805"/>
      <c r="Q62" s="344">
        <v>0</v>
      </c>
    </row>
    <row r="63" spans="1:17" s="1537" customFormat="1" ht="6.4" customHeight="1">
      <c r="A63" s="714"/>
      <c r="B63" s="168"/>
      <c r="C63" s="169"/>
      <c r="D63" s="175"/>
      <c r="E63" s="173"/>
      <c r="F63" s="176"/>
      <c r="G63" s="15"/>
      <c r="H63" s="344"/>
      <c r="I63" s="346"/>
      <c r="J63" s="803"/>
      <c r="Q63" s="172">
        <v>6</v>
      </c>
    </row>
    <row r="64" spans="1:17" ht="21" customHeight="1">
      <c r="B64" s="37"/>
      <c r="D64" s="20"/>
      <c r="E64" s="326" t="s">
        <v>69</v>
      </c>
      <c r="F64" s="152" t="s">
        <v>70</v>
      </c>
      <c r="G64" s="15"/>
      <c r="Q64" s="12">
        <v>20</v>
      </c>
    </row>
    <row r="65" spans="1:17" ht="21" customHeight="1">
      <c r="B65" s="37"/>
      <c r="D65" s="20"/>
      <c r="E65" s="326" t="s">
        <v>71</v>
      </c>
      <c r="F65" s="152" t="s">
        <v>72</v>
      </c>
      <c r="G65" s="15"/>
      <c r="Q65" s="12">
        <v>20</v>
      </c>
    </row>
    <row r="66" spans="1:17" ht="36.75" customHeight="1">
      <c r="D66" s="13"/>
      <c r="E66" s="328" t="s">
        <v>73</v>
      </c>
      <c r="F66" s="982"/>
      <c r="G66" s="11"/>
      <c r="Q66" s="12">
        <v>35</v>
      </c>
    </row>
    <row r="67" spans="1:17" ht="21" customHeight="1">
      <c r="D67" s="345"/>
      <c r="E67" s="326" t="s">
        <v>74</v>
      </c>
      <c r="F67" s="207" t="s">
        <v>75</v>
      </c>
      <c r="G67" s="15"/>
      <c r="Q67" s="12">
        <v>20</v>
      </c>
    </row>
    <row r="68" spans="1:17" ht="21" customHeight="1">
      <c r="B68" s="37"/>
      <c r="D68" s="20"/>
      <c r="E68" s="326" t="s">
        <v>76</v>
      </c>
      <c r="F68" s="207" t="s">
        <v>77</v>
      </c>
      <c r="G68" s="15"/>
      <c r="Q68" s="12">
        <v>20</v>
      </c>
    </row>
    <row r="69" spans="1:17" ht="21" customHeight="1">
      <c r="B69" s="37"/>
      <c r="D69" s="20"/>
      <c r="E69" s="326" t="s">
        <v>78</v>
      </c>
      <c r="F69" s="207" t="s">
        <v>79</v>
      </c>
      <c r="G69" s="15"/>
      <c r="Q69" s="12">
        <v>20</v>
      </c>
    </row>
    <row r="70" spans="1:17" ht="21" customHeight="1">
      <c r="D70" s="345"/>
      <c r="E70" s="326" t="s">
        <v>80</v>
      </c>
      <c r="F70" s="2015" t="s">
        <v>81</v>
      </c>
      <c r="G70" s="11"/>
      <c r="Q70" s="12">
        <v>20</v>
      </c>
    </row>
    <row r="71" spans="1:17" ht="21" customHeight="1">
      <c r="D71" s="11"/>
      <c r="F71" s="70"/>
      <c r="G71" s="15"/>
      <c r="Q71" s="12">
        <v>20</v>
      </c>
    </row>
    <row r="72" spans="1:17" ht="21" customHeight="1">
      <c r="B72" s="37"/>
      <c r="D72" s="20"/>
      <c r="E72" s="19"/>
      <c r="F72" s="961" t="s">
        <v>13</v>
      </c>
      <c r="G72" s="15"/>
      <c r="Q72" s="12">
        <v>20</v>
      </c>
    </row>
    <row r="73" spans="1:17" ht="21" customHeight="1">
      <c r="B73" s="37"/>
      <c r="D73" s="20"/>
      <c r="E73" s="19"/>
      <c r="F73" s="71"/>
      <c r="G73" s="15"/>
      <c r="Q73" s="12">
        <v>20</v>
      </c>
    </row>
    <row r="74" spans="1:17" ht="21" customHeight="1">
      <c r="B74" s="37"/>
      <c r="D74" s="20"/>
      <c r="E74" s="24"/>
      <c r="F74" s="71"/>
      <c r="G74" s="15"/>
      <c r="Q74" s="12">
        <v>20</v>
      </c>
    </row>
    <row r="75" spans="1:17" ht="21" customHeight="1">
      <c r="B75" s="37"/>
      <c r="D75" s="20"/>
      <c r="E75" s="19"/>
      <c r="F75" s="71"/>
      <c r="G75" s="15"/>
      <c r="Q75" s="12">
        <v>20</v>
      </c>
    </row>
    <row r="76" spans="1:17" ht="11.45" customHeight="1">
      <c r="Q76" s="12">
        <v>11</v>
      </c>
    </row>
    <row r="77" spans="1:17" ht="11.45" customHeight="1">
      <c r="Q77" s="12">
        <v>11</v>
      </c>
    </row>
    <row r="78" spans="1:17" ht="11.45" customHeight="1">
      <c r="E78" s="325"/>
      <c r="F78" s="325"/>
      <c r="G78" s="325"/>
      <c r="H78" s="325"/>
      <c r="I78" s="325"/>
      <c r="Q78" s="12">
        <v>11</v>
      </c>
    </row>
    <row r="79" spans="1:17" ht="11.25" hidden="1" customHeight="1">
      <c r="A79" s="713" t="s">
        <v>82</v>
      </c>
      <c r="B79" s="36">
        <v>0</v>
      </c>
      <c r="C79" s="10">
        <v>3</v>
      </c>
      <c r="D79" s="12">
        <v>1</v>
      </c>
      <c r="E79" s="12">
        <v>55</v>
      </c>
      <c r="F79" s="12">
        <v>54</v>
      </c>
      <c r="G79" s="701">
        <v>1</v>
      </c>
      <c r="H79" s="344">
        <v>0</v>
      </c>
      <c r="I79" s="346">
        <v>59</v>
      </c>
      <c r="J79" s="805">
        <v>0</v>
      </c>
      <c r="K79" s="12">
        <v>8</v>
      </c>
      <c r="L79" s="12">
        <v>77</v>
      </c>
      <c r="M79" s="12">
        <v>8</v>
      </c>
      <c r="N79" s="12">
        <v>8</v>
      </c>
      <c r="O79" s="12">
        <v>8</v>
      </c>
      <c r="P79" s="12">
        <v>8</v>
      </c>
      <c r="Q79" s="12">
        <v>11</v>
      </c>
    </row>
  </sheetData>
  <sheetProtection formatColumns="0" formatRows="0" insertRows="0" deleteColumns="0" deleteRows="0" sort="0" autoFilter="0"/>
  <mergeCells count="3">
    <mergeCell ref="E5:F5"/>
    <mergeCell ref="J18:J19"/>
    <mergeCell ref="A11:A12"/>
  </mergeCells>
  <dataValidations count="13">
    <dataValidation type="textLength" operator="lessThanOrEqual" allowBlank="1" showInputMessage="1" showErrorMessage="1" errorTitle="Ошибка" error="Допускается ввод не более 900 символов!" sqref="F72:F75 F64:F65 F67:F70 F22:F24 F27:F29 F32">
      <formula1>900</formula1>
    </dataValidation>
    <dataValidation type="list" allowBlank="1" showInputMessage="1" showErrorMessage="1" errorTitle="Ошибка" error="Выберите значение из списка" prompt="Выберите значение из списка" sqref="F61 F38">
      <formula1>kind_of_NDS</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F26 F21 F18:F19 F11:F13"/>
    <dataValidation type="list" allowBlank="1" showInputMessage="1" showErrorMessage="1" errorTitle="Ошибка" error="Выберите значение из списка" prompt="Выберите значение из списка" sqref="F17">
      <formula1>kind_of_data_type</formula1>
    </dataValidation>
    <dataValidation allowBlank="1" showInputMessage="1" showErrorMessage="1" prompt="Для выбора выполните двойной щелчок левой клавиши мыши по соответствующей ячейке." sqref="F49 F53 F56 F58 F51 F39:F41 F43 F45:F47 F62 F10"/>
    <dataValidation type="list" allowBlank="1" showInputMessage="1" showErrorMessage="1" errorTitle="Ошибка" error="Выберите значение из списка" prompt="Выберите значение из списка" sqref="F36">
      <formula1>kind_of_org_type</formula1>
    </dataValidation>
    <dataValidation type="list" allowBlank="1" showInputMessage="1" showErrorMessage="1" errorTitle="Ошибка" error="Выберите значение из списка" prompt="Выберите значение из списка" sqref="F14">
      <formula1>year_list</formula1>
    </dataValidation>
    <dataValidation type="list" allowBlank="1" showInputMessage="1" showErrorMessage="1" errorTitle="Ошибка" error="Выберите значение из списка" prompt="Выберите значение из списка" sqref="F15">
      <formula1>QUARTER</formula1>
    </dataValidation>
    <dataValidation allowBlank="1" showInputMessage="1" showErrorMessage="1" prompt="Выберите значение из календаря (иконка справа от выбранной ячейки), либо введите дату непосредственно в ячейку в формате - 'ДД.ММ.ГГГГ'" sqref="F54"/>
    <dataValidation type="list" allowBlank="1" showInputMessage="1" showErrorMessage="1" errorTitle="Ошибка" error="Выберите значение из списка" prompt="Выберите значение из списка" sqref="F60">
      <formula1>TITLE_IP_DETAILED_METHOD_LIST</formula1>
    </dataValidation>
    <dataValidation type="list" allowBlank="1" showInputMessage="1" showErrorMessage="1" errorTitle="Ошибка" error="Выберите значение из списка" prompt="Выберите значение из списка" sqref="F9">
      <formula1>ROIV_INFO_LIST</formula1>
    </dataValidation>
    <dataValidation allowBlank="1" showInputMessage="1" showErrorMessage="1" prompt="Выбор организации двойным щелчком левой клавиши мыши" sqref="F31"/>
    <dataValidation type="list" allowBlank="1" showInputMessage="1" showErrorMessage="1" errorTitle="Ошибка" error="Выберите значение из списка" prompt="Выберите значение из списка:_x000a_ОСН - Общая система налогообложения_x000a_УСН - Упрощённая система налогообложения_x000a_ЕСХН - Единый сельскохозяйственный налог_x000a_ПСН - Патентная система налогообложения_x000a_НПД - Налог на профессиональный доход" sqref="F37">
      <formula1>kind_of_NDS</formula1>
    </dataValidation>
  </dataValidations>
  <hyperlinks>
    <hyperlink ref="H11" location="Титульный!H9" tooltip="Помощь по работе с полями отчётной формы" display="Как заполнить?"/>
    <hyperlink ref="H17" location="Титульный!H9" tooltip="Помощь по работе с полями отчётной формы" display="Как заполнить?"/>
    <hyperlink ref="H39" location="Титульный!H9" tooltip="Помощь по работе с полями отчётной формы" display="Как заполнить?"/>
    <hyperlink ref="H62" location="Титульный!H9" tooltip="Помощь по работе с полями отчётной формы" display="Как заполнить?"/>
    <hyperlink ref="F70" r:id="rId1"/>
  </hyperlinks>
  <pageMargins left="0.74803149606299213" right="0.74803149606299213" top="0.98425196850393704" bottom="0.98425196850393704" header="0.51181102362204722" footer="0.51181102362204722"/>
  <pageSetup paperSize="8" scale="56" orientation="portrait" r:id="rId2"/>
  <headerFooter>
    <oddHeader>&amp;L&amp;C&amp;R</oddHeader>
    <oddFooter>&amp;L&amp;C&amp;R</oddFooter>
    <evenHeader>&amp;L&amp;C&amp;R</evenHeader>
    <evenFooter>&amp;L&amp;C&amp;R</evenFooter>
  </headerFooter>
  <drawing r:id="rId3"/>
  <legacyDrawing r:id="rId4"/>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CCCCFF"/>
    <pageSetUpPr fitToPage="1"/>
  </sheetPr>
  <dimension ref="A1:AC29"/>
  <sheetViews>
    <sheetView showGridLines="0" zoomScale="90" workbookViewId="0">
      <pane xSplit="6" ySplit="11" topLeftCell="G12" activePane="bottomRight" state="frozen"/>
      <selection pane="topRight" activeCell="G1" sqref="G1"/>
      <selection pane="bottomLeft" activeCell="A12" sqref="A12"/>
      <selection pane="bottomRight" activeCell="G13" sqref="G13"/>
    </sheetView>
  </sheetViews>
  <sheetFormatPr defaultColWidth="9.140625" defaultRowHeight="14.25" customHeight="1"/>
  <cols>
    <col min="1" max="1" width="8" style="1560" hidden="1" customWidth="1"/>
    <col min="2" max="2" width="6" style="1291" hidden="1" customWidth="1"/>
    <col min="3" max="3" width="3" style="1560" customWidth="1"/>
    <col min="4" max="4" width="3" style="1766" customWidth="1"/>
    <col min="5" max="5" width="6" style="1560" customWidth="1"/>
    <col min="6" max="6" width="2.7109375" style="1560" hidden="1" customWidth="1"/>
    <col min="7" max="7" width="46.7109375" style="1560" customWidth="1"/>
    <col min="8" max="8" width="42" style="1560" customWidth="1"/>
    <col min="9" max="9" width="14" style="1560" customWidth="1"/>
    <col min="10" max="10" width="3" style="1549" customWidth="1"/>
    <col min="11" max="13" width="9.140625" style="1549" hidden="1"/>
    <col min="14" max="14" width="25.7109375" style="1549" hidden="1" customWidth="1"/>
    <col min="15" max="15" width="14.42578125" style="1549" hidden="1" customWidth="1"/>
    <col min="16" max="19" width="9.140625" style="161" hidden="1"/>
    <col min="20" max="27" width="9.140625" style="1560" hidden="1"/>
    <col min="28" max="28" width="8" style="1560" customWidth="1"/>
    <col min="29" max="29" width="9.140625" style="1560" hidden="1"/>
  </cols>
  <sheetData>
    <row r="1" spans="1:29" s="1567" customFormat="1" ht="5.25" hidden="1" customHeight="1">
      <c r="A1" s="431"/>
      <c r="B1" s="446"/>
      <c r="C1" s="446"/>
      <c r="D1" s="157"/>
      <c r="F1" s="446"/>
      <c r="G1" s="183" t="s">
        <v>83</v>
      </c>
      <c r="H1" s="429" t="s">
        <v>84</v>
      </c>
      <c r="I1" s="163" t="s">
        <v>85</v>
      </c>
      <c r="J1" s="183" t="s">
        <v>83</v>
      </c>
      <c r="K1" s="183"/>
      <c r="L1" s="183"/>
      <c r="M1" s="183"/>
      <c r="N1" s="184"/>
      <c r="O1" s="183"/>
      <c r="P1" s="183"/>
      <c r="Q1" s="183"/>
      <c r="R1" s="183"/>
      <c r="S1" s="183"/>
      <c r="T1" s="163"/>
      <c r="U1" s="163"/>
      <c r="V1" s="163"/>
      <c r="W1" s="163"/>
      <c r="X1" s="163"/>
      <c r="Y1" s="163"/>
      <c r="Z1" s="163"/>
      <c r="AA1" s="163"/>
      <c r="AB1" s="163"/>
      <c r="AC1" s="88" t="s">
        <v>14</v>
      </c>
    </row>
    <row r="2" spans="1:29" s="1337" customFormat="1" ht="11.25" customHeight="1">
      <c r="A2" s="760"/>
      <c r="B2" s="164"/>
      <c r="C2" s="164"/>
      <c r="D2" s="165"/>
      <c r="E2" s="164"/>
      <c r="F2" s="164"/>
      <c r="G2" s="164"/>
      <c r="H2" s="164"/>
      <c r="I2" s="164"/>
      <c r="J2" s="183"/>
      <c r="K2" s="183"/>
      <c r="L2" s="183"/>
      <c r="M2" s="183"/>
      <c r="N2" s="184"/>
      <c r="O2" s="183"/>
      <c r="P2" s="166"/>
      <c r="Q2" s="166"/>
      <c r="R2" s="166"/>
      <c r="S2" s="166"/>
      <c r="T2" s="165"/>
      <c r="U2" s="165"/>
      <c r="V2" s="165"/>
      <c r="W2" s="165"/>
      <c r="X2" s="165"/>
      <c r="Y2" s="165"/>
      <c r="Z2" s="165"/>
      <c r="AA2" s="165"/>
      <c r="AB2" s="165"/>
      <c r="AC2" s="167">
        <v>11</v>
      </c>
    </row>
    <row r="3" spans="1:29" s="1744" customFormat="1" ht="3" customHeight="1">
      <c r="A3" s="691"/>
      <c r="B3" s="352"/>
      <c r="C3" s="691"/>
      <c r="D3" s="100"/>
      <c r="E3" s="41"/>
      <c r="F3" s="444"/>
      <c r="G3" s="41"/>
      <c r="H3" s="41"/>
      <c r="I3" s="102"/>
      <c r="J3" s="183"/>
      <c r="K3" s="91"/>
      <c r="L3" s="91"/>
      <c r="M3" s="91"/>
      <c r="N3" s="162"/>
      <c r="O3" s="91"/>
      <c r="P3" s="161"/>
      <c r="Q3" s="161"/>
      <c r="R3" s="161"/>
      <c r="S3" s="161"/>
      <c r="AC3" s="54">
        <v>3</v>
      </c>
    </row>
    <row r="4" spans="1:29" s="1744" customFormat="1" ht="27.4" customHeight="1">
      <c r="A4" s="691"/>
      <c r="B4" s="352"/>
      <c r="C4" s="691"/>
      <c r="D4" s="100"/>
      <c r="E4" s="2042" t="str">
        <f>NameTemplatesInListMO</f>
        <v>Перечень муниципальных районов и муниципальных образований (территорий действия тарифа)</v>
      </c>
      <c r="F4" s="2042"/>
      <c r="G4" s="2042"/>
      <c r="H4" s="2042"/>
      <c r="I4" s="2042"/>
      <c r="J4" s="183"/>
      <c r="K4" s="91"/>
      <c r="L4" s="91"/>
      <c r="M4" s="91"/>
      <c r="N4" s="162"/>
      <c r="O4" s="91"/>
      <c r="P4" s="161"/>
      <c r="Q4" s="161"/>
      <c r="R4" s="161"/>
      <c r="S4" s="161"/>
      <c r="AC4" s="54">
        <v>26</v>
      </c>
    </row>
    <row r="5" spans="1:29" s="1744" customFormat="1" ht="3" customHeight="1">
      <c r="A5" s="691"/>
      <c r="B5" s="352"/>
      <c r="C5" s="691"/>
      <c r="D5" s="100"/>
      <c r="E5" s="41"/>
      <c r="F5" s="444"/>
      <c r="G5" s="103"/>
      <c r="H5" s="103"/>
      <c r="I5" s="104"/>
      <c r="J5" s="91"/>
      <c r="K5" s="91"/>
      <c r="L5" s="91"/>
      <c r="M5" s="91"/>
      <c r="N5" s="162"/>
      <c r="O5" s="91"/>
      <c r="P5" s="161"/>
      <c r="Q5" s="161"/>
      <c r="R5" s="161"/>
      <c r="S5" s="161"/>
      <c r="AC5" s="54">
        <v>3</v>
      </c>
    </row>
    <row r="6" spans="1:29" s="1744" customFormat="1" ht="20.25" hidden="1" customHeight="1">
      <c r="A6" s="766"/>
      <c r="B6" s="762"/>
      <c r="C6" s="105"/>
      <c r="D6" s="100"/>
      <c r="E6" s="709"/>
      <c r="F6" s="709"/>
      <c r="G6" s="103"/>
      <c r="H6" s="106"/>
      <c r="I6" s="106"/>
      <c r="J6" s="91"/>
      <c r="K6" s="91"/>
      <c r="L6" s="91"/>
      <c r="M6" s="91"/>
      <c r="N6" s="162"/>
      <c r="O6" s="91"/>
      <c r="P6" s="161"/>
      <c r="Q6" s="161"/>
      <c r="R6" s="161"/>
      <c r="S6" s="161"/>
      <c r="AC6" s="54">
        <v>0</v>
      </c>
    </row>
    <row r="7" spans="1:29" ht="25.5" hidden="1" customHeight="1">
      <c r="AC7" s="21">
        <v>0</v>
      </c>
    </row>
    <row r="8" spans="1:29" s="1744" customFormat="1" ht="14.65" customHeight="1">
      <c r="A8" s="691"/>
      <c r="B8" s="352"/>
      <c r="C8" s="691"/>
      <c r="D8" s="100"/>
      <c r="E8" s="2038" t="s">
        <v>86</v>
      </c>
      <c r="F8" s="2043"/>
      <c r="G8" s="2037"/>
      <c r="H8" s="2044" t="s">
        <v>87</v>
      </c>
      <c r="I8" s="2044"/>
      <c r="J8" s="91"/>
      <c r="K8" s="91"/>
      <c r="L8" s="91"/>
      <c r="M8" s="91"/>
      <c r="N8" s="162"/>
      <c r="O8" s="91"/>
      <c r="P8" s="161"/>
      <c r="Q8" s="161"/>
      <c r="R8" s="161"/>
      <c r="S8" s="161"/>
      <c r="AC8" s="54">
        <v>14</v>
      </c>
    </row>
    <row r="9" spans="1:29" s="1744" customFormat="1" ht="21" customHeight="1">
      <c r="A9" s="691"/>
      <c r="B9" s="352"/>
      <c r="C9" s="691"/>
      <c r="D9" s="100"/>
      <c r="E9" s="707" t="s">
        <v>88</v>
      </c>
      <c r="F9" s="707"/>
      <c r="G9" s="108" t="s">
        <v>89</v>
      </c>
      <c r="H9" s="108" t="s">
        <v>89</v>
      </c>
      <c r="I9" s="108" t="s">
        <v>85</v>
      </c>
      <c r="J9" s="91"/>
      <c r="K9" s="91"/>
      <c r="L9" s="91"/>
      <c r="M9" s="91"/>
      <c r="N9" s="162"/>
      <c r="O9" s="91"/>
      <c r="P9" s="161"/>
      <c r="Q9" s="161"/>
      <c r="R9" s="161"/>
      <c r="S9" s="161"/>
      <c r="AC9" s="54">
        <v>20</v>
      </c>
    </row>
    <row r="10" spans="1:29" ht="11.45" customHeight="1">
      <c r="D10" s="112"/>
      <c r="E10" s="708" t="s">
        <v>90</v>
      </c>
      <c r="F10" s="708"/>
      <c r="G10" s="159" t="s">
        <v>91</v>
      </c>
      <c r="H10" s="159" t="s">
        <v>92</v>
      </c>
      <c r="I10" s="159" t="s">
        <v>93</v>
      </c>
      <c r="J10" s="122"/>
      <c r="K10" s="122"/>
      <c r="L10" s="122"/>
      <c r="M10" s="122"/>
      <c r="N10" s="107"/>
      <c r="O10" s="122"/>
      <c r="P10" s="160"/>
      <c r="Q10" s="160"/>
      <c r="R10" s="160"/>
      <c r="S10" s="160"/>
      <c r="AC10" s="21">
        <v>11</v>
      </c>
    </row>
    <row r="11" spans="1:29" s="1744" customFormat="1" ht="1.1499999999999999" customHeight="1">
      <c r="A11" s="691"/>
      <c r="B11" s="352"/>
      <c r="C11" s="691"/>
      <c r="D11" s="100"/>
      <c r="E11" s="719"/>
      <c r="F11" s="719"/>
      <c r="G11" s="109"/>
      <c r="H11" s="109"/>
      <c r="I11" s="111"/>
      <c r="J11" s="185" t="s">
        <v>94</v>
      </c>
      <c r="K11" s="91"/>
      <c r="L11" s="91"/>
      <c r="M11" s="91" t="s">
        <v>95</v>
      </c>
      <c r="N11" s="162" t="s">
        <v>96</v>
      </c>
      <c r="O11" s="91" t="s">
        <v>97</v>
      </c>
      <c r="P11" s="161"/>
      <c r="Q11" s="161"/>
      <c r="R11" s="161"/>
      <c r="S11" s="161"/>
      <c r="AC11" s="54">
        <v>1</v>
      </c>
    </row>
    <row r="12" spans="1:29" s="1744" customFormat="1" ht="15" customHeight="1">
      <c r="A12" s="2041">
        <v>1</v>
      </c>
      <c r="B12" s="352"/>
      <c r="C12" s="691"/>
      <c r="D12" s="711"/>
      <c r="E12" s="155">
        <f>A12</f>
        <v>1</v>
      </c>
      <c r="F12" s="731" t="s">
        <v>98</v>
      </c>
      <c r="G12" s="475" t="str">
        <f>"Территория "&amp;E12</f>
        <v>Территория 1</v>
      </c>
      <c r="H12" s="721"/>
      <c r="I12" s="721"/>
      <c r="J12" s="718"/>
      <c r="K12" s="435"/>
      <c r="L12" s="435"/>
      <c r="M12" s="435"/>
      <c r="N12" s="162"/>
      <c r="O12" s="435"/>
      <c r="P12" s="161"/>
      <c r="Q12" s="161"/>
      <c r="R12" s="161"/>
      <c r="S12" s="161"/>
      <c r="AC12" s="442">
        <v>14</v>
      </c>
    </row>
    <row r="13" spans="1:29" s="1774" customFormat="1" ht="15.75" customHeight="1">
      <c r="A13" s="2041"/>
      <c r="B13" s="352">
        <v>1</v>
      </c>
      <c r="C13" s="352"/>
      <c r="D13" s="729"/>
      <c r="E13" s="710" t="str">
        <f>A12&amp;"."&amp;B13</f>
        <v>1.1</v>
      </c>
      <c r="F13" s="724" t="s">
        <v>99</v>
      </c>
      <c r="G13" s="722" t="s">
        <v>100</v>
      </c>
      <c r="H13" s="722" t="s">
        <v>100</v>
      </c>
      <c r="I13" s="720" t="s">
        <v>101</v>
      </c>
      <c r="J13" s="435" t="e">
        <f ca="1">MERGEVALUE(G13)</f>
        <v>#NAME?</v>
      </c>
      <c r="K13" s="446"/>
      <c r="L13" s="446"/>
      <c r="M13" s="435" t="str">
        <f t="array" ref="M13">IF(ISERROR(MATCH(MID(N13,1,250),MID(note_ter,1,250),0)),"n","y")</f>
        <v>n</v>
      </c>
      <c r="N13" s="446"/>
      <c r="O13" s="435" t="str">
        <f>H13&amp;"("&amp;I13&amp;")"</f>
        <v>город Нижний Новгород(22701000)</v>
      </c>
      <c r="P13" s="352"/>
      <c r="Q13" s="352"/>
      <c r="R13" s="355"/>
      <c r="S13" s="352"/>
      <c r="T13" s="352"/>
      <c r="U13" s="352"/>
      <c r="V13" s="357"/>
      <c r="W13" s="357"/>
      <c r="X13" s="354"/>
      <c r="Y13" s="354"/>
      <c r="Z13" s="354"/>
      <c r="AA13" s="354"/>
      <c r="AB13" s="354"/>
      <c r="AC13" s="358">
        <v>15</v>
      </c>
    </row>
    <row r="14" spans="1:29" s="1774" customFormat="1" ht="15.75" customHeight="1">
      <c r="A14" s="2041"/>
      <c r="B14" s="352"/>
      <c r="C14" s="347"/>
      <c r="D14" s="730"/>
      <c r="E14" s="356"/>
      <c r="F14" s="113"/>
      <c r="G14" s="350" t="s">
        <v>102</v>
      </c>
      <c r="H14" s="123"/>
      <c r="I14" s="359"/>
      <c r="J14" s="446"/>
      <c r="K14" s="446"/>
      <c r="L14" s="446"/>
      <c r="M14" s="446"/>
      <c r="N14" s="435"/>
      <c r="O14" s="446"/>
      <c r="P14" s="352"/>
      <c r="Q14" s="352"/>
      <c r="R14" s="355"/>
      <c r="S14" s="352"/>
      <c r="T14" s="352"/>
      <c r="U14" s="352"/>
      <c r="V14" s="357"/>
      <c r="W14" s="357"/>
      <c r="X14" s="354"/>
      <c r="Y14" s="354"/>
      <c r="Z14" s="354"/>
      <c r="AA14" s="354"/>
      <c r="AB14" s="354"/>
      <c r="AC14" s="358">
        <v>15</v>
      </c>
    </row>
    <row r="15" spans="1:29" s="1744" customFormat="1" ht="14.65" customHeight="1">
      <c r="A15" s="691"/>
      <c r="B15" s="352"/>
      <c r="C15" s="691"/>
      <c r="D15" s="711"/>
      <c r="E15" s="723"/>
      <c r="F15" s="114"/>
      <c r="G15" s="351" t="s">
        <v>103</v>
      </c>
      <c r="H15" s="114"/>
      <c r="I15" s="115"/>
      <c r="J15" s="185"/>
      <c r="K15" s="91"/>
      <c r="L15" s="91"/>
      <c r="M15" s="91"/>
      <c r="N15" s="162" t="s">
        <v>104</v>
      </c>
      <c r="O15" s="91"/>
      <c r="P15" s="161"/>
      <c r="Q15" s="161"/>
      <c r="R15" s="161"/>
      <c r="S15" s="161"/>
      <c r="AC15" s="54">
        <v>14</v>
      </c>
    </row>
    <row r="16" spans="1:29" s="1744" customFormat="1" ht="21.95" customHeight="1">
      <c r="A16" s="691"/>
      <c r="B16" s="352"/>
      <c r="C16" s="691"/>
      <c r="D16" s="101"/>
      <c r="E16" s="116"/>
      <c r="F16" s="116"/>
      <c r="G16" s="116"/>
      <c r="H16" s="116"/>
      <c r="I16" s="116"/>
      <c r="J16" s="91"/>
      <c r="K16" s="91"/>
      <c r="L16" s="91"/>
      <c r="M16" s="91"/>
      <c r="N16" s="162"/>
      <c r="O16" s="91"/>
      <c r="P16" s="161"/>
      <c r="Q16" s="161"/>
      <c r="R16" s="161"/>
      <c r="S16" s="161"/>
      <c r="AC16" s="54">
        <v>21</v>
      </c>
    </row>
    <row r="17" spans="1:29" s="1744" customFormat="1" ht="14.65" customHeight="1">
      <c r="A17" s="691"/>
      <c r="B17" s="352"/>
      <c r="C17" s="691"/>
      <c r="D17" s="101"/>
      <c r="E17" s="21"/>
      <c r="F17" s="691"/>
      <c r="G17" s="21"/>
      <c r="H17" s="21"/>
      <c r="I17" s="21"/>
      <c r="J17" s="91"/>
      <c r="K17" s="91"/>
      <c r="L17" s="91"/>
      <c r="M17" s="91"/>
      <c r="N17" s="162"/>
      <c r="O17" s="91"/>
      <c r="P17" s="161"/>
      <c r="Q17" s="161"/>
      <c r="R17" s="161"/>
      <c r="S17" s="161"/>
      <c r="AC17" s="54">
        <v>14</v>
      </c>
    </row>
    <row r="18" spans="1:29" s="1744" customFormat="1" ht="1.1499999999999999" customHeight="1">
      <c r="A18" s="691"/>
      <c r="B18" s="352"/>
      <c r="C18" s="691"/>
      <c r="D18" s="101"/>
      <c r="E18" s="21"/>
      <c r="F18" s="691"/>
      <c r="G18" s="21"/>
      <c r="H18" s="21"/>
      <c r="I18" s="21"/>
      <c r="J18" s="91"/>
      <c r="K18" s="91"/>
      <c r="L18" s="91"/>
      <c r="M18" s="91"/>
      <c r="N18" s="162"/>
      <c r="O18" s="91"/>
      <c r="P18" s="161"/>
      <c r="Q18" s="161"/>
      <c r="R18" s="161"/>
      <c r="S18" s="161"/>
      <c r="AC18" s="54">
        <v>1</v>
      </c>
    </row>
    <row r="19" spans="1:29" s="992" customFormat="1" ht="10.5" customHeight="1">
      <c r="B19" s="763"/>
      <c r="D19" s="118"/>
      <c r="J19" s="91"/>
      <c r="K19" s="91"/>
      <c r="L19" s="91"/>
      <c r="M19" s="91"/>
      <c r="N19" s="162"/>
      <c r="O19" s="91"/>
      <c r="P19" s="161"/>
      <c r="Q19" s="161"/>
      <c r="R19" s="161"/>
      <c r="S19" s="161"/>
      <c r="AC19" s="117">
        <v>10</v>
      </c>
    </row>
    <row r="20" spans="1:29" s="992" customFormat="1" ht="10.5" customHeight="1">
      <c r="B20" s="763"/>
      <c r="D20" s="118"/>
      <c r="J20" s="91"/>
      <c r="K20" s="91"/>
      <c r="L20" s="91"/>
      <c r="M20" s="91"/>
      <c r="N20" s="162"/>
      <c r="O20" s="91"/>
      <c r="P20" s="161"/>
      <c r="Q20" s="161"/>
      <c r="R20" s="161"/>
      <c r="S20" s="161"/>
      <c r="AC20" s="117">
        <v>10</v>
      </c>
    </row>
    <row r="21" spans="1:29" ht="14.65" customHeight="1">
      <c r="AC21" s="21">
        <v>14</v>
      </c>
    </row>
    <row r="22" spans="1:29" ht="14.65" customHeight="1">
      <c r="AC22" s="21">
        <v>14</v>
      </c>
    </row>
    <row r="23" spans="1:29" ht="14.65" customHeight="1">
      <c r="AC23" s="21">
        <v>14</v>
      </c>
    </row>
    <row r="24" spans="1:29" ht="14.65" customHeight="1">
      <c r="H24" s="2"/>
      <c r="AC24" s="21">
        <v>14</v>
      </c>
    </row>
    <row r="25" spans="1:29" ht="14.65" customHeight="1">
      <c r="AC25" s="21">
        <v>14</v>
      </c>
    </row>
    <row r="26" spans="1:29" ht="14.65" customHeight="1">
      <c r="AC26" s="21">
        <v>14</v>
      </c>
    </row>
    <row r="27" spans="1:29" ht="14.65" customHeight="1">
      <c r="AC27" s="21">
        <v>14</v>
      </c>
    </row>
    <row r="28" spans="1:29" ht="14.65" customHeight="1">
      <c r="J28" s="21"/>
      <c r="K28" s="21"/>
      <c r="L28" s="21"/>
      <c r="AC28" s="21">
        <v>14</v>
      </c>
    </row>
    <row r="29" spans="1:29" ht="22.5" hidden="1" customHeight="1">
      <c r="A29" s="691" t="s">
        <v>82</v>
      </c>
      <c r="B29" s="352">
        <v>0</v>
      </c>
      <c r="C29" s="691">
        <v>3</v>
      </c>
      <c r="D29" s="101">
        <v>3</v>
      </c>
      <c r="E29" s="21">
        <v>6</v>
      </c>
      <c r="F29" s="691">
        <v>0</v>
      </c>
      <c r="G29" s="21">
        <v>46</v>
      </c>
      <c r="H29" s="21">
        <v>42</v>
      </c>
      <c r="I29" s="21">
        <v>14</v>
      </c>
      <c r="J29" s="91">
        <v>3</v>
      </c>
      <c r="K29" s="91">
        <v>0</v>
      </c>
      <c r="L29" s="91">
        <v>0</v>
      </c>
      <c r="M29" s="91">
        <v>0</v>
      </c>
      <c r="N29" s="162">
        <v>0</v>
      </c>
      <c r="O29" s="91">
        <v>0</v>
      </c>
      <c r="P29" s="161">
        <v>0</v>
      </c>
      <c r="Q29" s="161">
        <v>0</v>
      </c>
      <c r="R29" s="161">
        <v>0</v>
      </c>
      <c r="S29" s="161">
        <v>0</v>
      </c>
      <c r="T29" s="21">
        <v>0</v>
      </c>
      <c r="U29" s="21">
        <v>0</v>
      </c>
      <c r="V29" s="21">
        <v>0</v>
      </c>
      <c r="W29" s="21">
        <v>0</v>
      </c>
      <c r="X29" s="21">
        <v>0</v>
      </c>
      <c r="Y29" s="21">
        <v>0</v>
      </c>
      <c r="Z29" s="21">
        <v>0</v>
      </c>
      <c r="AA29" s="21">
        <v>0</v>
      </c>
      <c r="AB29" s="21">
        <v>8</v>
      </c>
      <c r="AC29" s="21">
        <v>23</v>
      </c>
    </row>
  </sheetData>
  <sheetProtection formatColumns="0" formatRows="0" insertRows="0" deleteColumns="0" deleteRows="0" sort="0" autoFilter="0"/>
  <mergeCells count="4">
    <mergeCell ref="A12:A14"/>
    <mergeCell ref="E4:I4"/>
    <mergeCell ref="E8:G8"/>
    <mergeCell ref="H8:I8"/>
  </mergeCells>
  <dataValidations count="1">
    <dataValidation type="textLength" operator="lessThanOrEqual" allowBlank="1" showInputMessage="1" showErrorMessage="1" errorTitle="Ошибка" error="Допускается ввод не более 900 символов!" sqref="G12">
      <formula1>900</formula1>
    </dataValidation>
  </dataValidations>
  <printOptions horizontalCentered="1" verticalCentered="1"/>
  <pageMargins left="0" right="0" top="0" bottom="0" header="0" footer="0.79"/>
  <pageSetup paperSize="9" scale="93" fitToHeight="0" orientation="portrait" blackAndWhite="1"/>
  <headerFooter>
    <oddHeader>&amp;L&amp;C&amp;R</oddHeader>
    <oddFooter>&amp;L&amp;C&amp;R</oddFooter>
    <evenHeader>&amp;L&amp;C&amp;R</evenHeader>
    <evenFooter>&amp;L&amp;C&amp;R</evenFooter>
  </headerFooter>
  <drawing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CCCCFF"/>
    <pageSetUpPr fitToPage="1"/>
  </sheetPr>
  <dimension ref="A1:AM17"/>
  <sheetViews>
    <sheetView showGridLines="0" zoomScale="90" workbookViewId="0">
      <pane xSplit="4" ySplit="12" topLeftCell="E13" activePane="bottomRight" state="frozen"/>
      <selection pane="topRight" activeCell="E1" sqref="E1"/>
      <selection pane="bottomLeft" activeCell="A13" sqref="A13"/>
      <selection pane="bottomRight" activeCell="I13" sqref="I13:I14"/>
    </sheetView>
  </sheetViews>
  <sheetFormatPr defaultColWidth="9.140625" defaultRowHeight="11.25" customHeight="1"/>
  <cols>
    <col min="1" max="1" width="6.42578125" style="1777" hidden="1" customWidth="1"/>
    <col min="2" max="2" width="2" style="1777" hidden="1" customWidth="1"/>
    <col min="3" max="3" width="3" style="1777" customWidth="1"/>
    <col min="4" max="4" width="4" style="1777" customWidth="1"/>
    <col min="5" max="5" width="44" style="1777" customWidth="1"/>
    <col min="6" max="6" width="6.42578125" style="1777" customWidth="1"/>
    <col min="7" max="7" width="4" style="1777" customWidth="1"/>
    <col min="8" max="8" width="5" style="1777" customWidth="1"/>
    <col min="9" max="9" width="52" style="1777" customWidth="1"/>
    <col min="10" max="10" width="7" style="1777" customWidth="1"/>
    <col min="11" max="11" width="3" style="1777" customWidth="1"/>
    <col min="12" max="12" width="6" style="1777" customWidth="1"/>
    <col min="13" max="13" width="56" style="1777" customWidth="1"/>
    <col min="14" max="14" width="8" style="1295" customWidth="1"/>
    <col min="15" max="20" width="9.140625" style="1549" hidden="1"/>
    <col min="21" max="24" width="9.140625" style="1191" hidden="1"/>
    <col min="25" max="37" width="9.140625" style="1295" hidden="1"/>
    <col min="38" max="38" width="8" style="1295" customWidth="1"/>
    <col min="39" max="39" width="9.140625" style="1777" hidden="1"/>
  </cols>
  <sheetData>
    <row r="1" spans="1:39" ht="11.25" hidden="1" customHeight="1">
      <c r="AM1" s="518" t="s">
        <v>14</v>
      </c>
    </row>
    <row r="2" spans="1:39" ht="11.25" hidden="1" customHeight="1">
      <c r="AM2" s="518">
        <v>0</v>
      </c>
    </row>
    <row r="3" spans="1:39" ht="11.45" customHeight="1">
      <c r="AM3" s="518">
        <v>11</v>
      </c>
    </row>
    <row r="4" spans="1:39" ht="35.65" customHeight="1">
      <c r="A4" s="520"/>
      <c r="B4" s="520"/>
      <c r="D4" s="2059" t="str">
        <f>Титульный!E5</f>
        <v>Информация о наличии (отсутствии) технической возможности подключения к централизованной системе теплоснабжения, а также о регистрации и ходе реализации заявок о подключении к централизованной системе теплоснабжения</v>
      </c>
      <c r="E4" s="2060"/>
      <c r="F4" s="2060"/>
      <c r="G4" s="2060"/>
      <c r="H4" s="2060"/>
      <c r="I4" s="2061"/>
      <c r="J4" s="519"/>
      <c r="K4" s="519"/>
      <c r="L4" s="519"/>
      <c r="M4" s="519"/>
      <c r="AM4" s="518">
        <v>34</v>
      </c>
    </row>
    <row r="5" spans="1:39" s="524" customFormat="1" ht="14.65" customHeight="1">
      <c r="A5" s="520"/>
      <c r="B5" s="520"/>
      <c r="C5" s="520"/>
      <c r="D5" s="2062" t="str">
        <f>IF(org=0,"Не определено",org)</f>
        <v>ООО "ЗЕНИТ ЭНЕРГО"</v>
      </c>
      <c r="E5" s="2063"/>
      <c r="F5" s="2063"/>
      <c r="G5" s="2063"/>
      <c r="H5" s="2063"/>
      <c r="I5" s="2064"/>
      <c r="J5" s="521"/>
      <c r="K5" s="521"/>
      <c r="L5" s="521"/>
      <c r="M5" s="521"/>
      <c r="N5" s="521"/>
      <c r="O5" s="799"/>
      <c r="P5" s="799"/>
      <c r="Q5" s="799"/>
      <c r="R5" s="799"/>
      <c r="S5" s="799"/>
      <c r="T5" s="799"/>
      <c r="U5" s="1186"/>
      <c r="V5" s="1186"/>
      <c r="W5" s="1186"/>
      <c r="X5" s="1186"/>
      <c r="Y5" s="521"/>
      <c r="Z5" s="521"/>
      <c r="AA5" s="521"/>
      <c r="AB5" s="521"/>
      <c r="AC5" s="521"/>
      <c r="AD5" s="521"/>
      <c r="AE5" s="521"/>
      <c r="AF5" s="521"/>
      <c r="AG5" s="521"/>
      <c r="AH5" s="521"/>
      <c r="AI5" s="521"/>
      <c r="AJ5" s="521"/>
      <c r="AK5" s="521"/>
      <c r="AL5" s="521"/>
      <c r="AM5" s="522">
        <v>14</v>
      </c>
    </row>
    <row r="6" spans="1:39" s="524" customFormat="1" ht="6.4" customHeight="1">
      <c r="A6" s="2041"/>
      <c r="B6" s="2041"/>
      <c r="C6" s="2041"/>
      <c r="D6" s="2041"/>
      <c r="E6" s="2041"/>
      <c r="F6" s="2041"/>
      <c r="G6" s="523"/>
      <c r="H6" s="523"/>
      <c r="I6" s="523"/>
      <c r="J6" s="523"/>
      <c r="K6" s="523"/>
      <c r="N6" s="525"/>
      <c r="O6" s="1339"/>
      <c r="P6" s="1339"/>
      <c r="Q6" s="1339"/>
      <c r="R6" s="1339"/>
      <c r="S6" s="1339"/>
      <c r="T6" s="1339"/>
      <c r="U6" s="1189"/>
      <c r="V6" s="1189"/>
      <c r="W6" s="1189"/>
      <c r="X6" s="1189"/>
      <c r="Y6" s="525"/>
      <c r="Z6" s="525"/>
      <c r="AA6" s="525"/>
      <c r="AB6" s="525"/>
      <c r="AC6" s="525"/>
      <c r="AD6" s="525"/>
      <c r="AE6" s="525"/>
      <c r="AF6" s="525"/>
      <c r="AG6" s="525"/>
      <c r="AH6" s="525"/>
      <c r="AI6" s="525"/>
      <c r="AJ6" s="525"/>
      <c r="AK6" s="525"/>
      <c r="AL6" s="525"/>
      <c r="AM6" s="524">
        <v>6</v>
      </c>
    </row>
    <row r="7" spans="1:39" ht="45.75" hidden="1" customHeight="1">
      <c r="E7" s="2069" t="str">
        <f>"1. В случае дифференциации раскрываемой информации по системам "&amp;TEMPLATE_SPHERE_RUS&amp;" для каждой системы "&amp;TEMPLATE_SPHERE_RUS&amp;"должна быть указана территория, в которую входят только те муниципальные районы и муниципальные образования, на которой расположена данная система. На веб-портале РИ системы "&amp;TEMPLATE_SPHERE_RUS&amp;"будут отображены во всех МР/МО, входящих в указанную для них территорию.
2. Для каждого вида деятельности также необходимо указывать только те территории, на которых осуществляется данный вид деятельности."</f>
        <v>1. В случае дифференциации раскрываемой информации по системам теплоснабжения для каждой системы теплоснабжениядолжна быть указана территория, в которую входят только те муниципальные районы и муниципальные образования, на которой расположена данная система. На веб-портале РИ системы теплоснабжениябудут отображены во всех МР/МО, входящих в указанную для них территорию.
2. Для каждого вида деятельности также необходимо указывать только те территории, на которых осуществляется данный вид деятельности.</v>
      </c>
      <c r="F7" s="2070"/>
      <c r="G7" s="2070"/>
      <c r="H7" s="2070"/>
      <c r="I7" s="2070"/>
      <c r="J7" s="2070"/>
      <c r="K7" s="2070"/>
      <c r="L7" s="2070"/>
      <c r="M7" s="2070"/>
      <c r="AM7" s="518">
        <v>0</v>
      </c>
    </row>
    <row r="8" spans="1:39" s="524" customFormat="1" ht="6.4" customHeight="1">
      <c r="A8" s="526"/>
      <c r="B8" s="526"/>
      <c r="C8" s="526"/>
      <c r="D8" s="526"/>
      <c r="E8" s="526"/>
      <c r="F8" s="526"/>
      <c r="G8" s="526"/>
      <c r="H8" s="526"/>
      <c r="I8" s="526"/>
      <c r="J8" s="526"/>
      <c r="K8" s="526"/>
      <c r="L8" s="526"/>
      <c r="N8" s="521"/>
      <c r="O8" s="799"/>
      <c r="P8" s="799"/>
      <c r="Q8" s="799"/>
      <c r="R8" s="799"/>
      <c r="S8" s="799"/>
      <c r="T8" s="799"/>
      <c r="U8" s="1186"/>
      <c r="V8" s="1186"/>
      <c r="W8" s="1186"/>
      <c r="X8" s="1186"/>
      <c r="Y8" s="521"/>
      <c r="Z8" s="521"/>
      <c r="AA8" s="521"/>
      <c r="AB8" s="521"/>
      <c r="AC8" s="521"/>
      <c r="AD8" s="521"/>
      <c r="AE8" s="521"/>
      <c r="AF8" s="521"/>
      <c r="AG8" s="521"/>
      <c r="AH8" s="521"/>
      <c r="AI8" s="521"/>
      <c r="AJ8" s="521"/>
      <c r="AK8" s="521"/>
      <c r="AL8" s="521"/>
      <c r="AM8" s="522">
        <v>6</v>
      </c>
    </row>
    <row r="9" spans="1:39" ht="18.75" customHeight="1">
      <c r="A9" s="2065"/>
      <c r="B9" s="259"/>
      <c r="C9" s="259"/>
      <c r="D9" s="2066" t="s">
        <v>105</v>
      </c>
      <c r="E9" s="2066"/>
      <c r="F9" s="2067" t="s">
        <v>106</v>
      </c>
      <c r="G9" s="2068"/>
      <c r="H9" s="2068"/>
      <c r="I9" s="2068"/>
      <c r="J9" s="2071" t="s">
        <v>107</v>
      </c>
      <c r="K9" s="2071"/>
      <c r="L9" s="2071"/>
      <c r="M9" s="2071"/>
      <c r="AM9" s="518">
        <v>18</v>
      </c>
    </row>
    <row r="10" spans="1:39" ht="24" customHeight="1">
      <c r="A10" s="2065"/>
      <c r="B10" s="527"/>
      <c r="C10" s="460"/>
      <c r="D10" s="458" t="s">
        <v>88</v>
      </c>
      <c r="E10" s="458" t="s">
        <v>89</v>
      </c>
      <c r="F10" s="458" t="s">
        <v>108</v>
      </c>
      <c r="G10" s="2072" t="s">
        <v>88</v>
      </c>
      <c r="H10" s="2073"/>
      <c r="I10" s="458" t="s">
        <v>89</v>
      </c>
      <c r="J10" s="458" t="s">
        <v>108</v>
      </c>
      <c r="K10" s="2072" t="s">
        <v>88</v>
      </c>
      <c r="L10" s="2073"/>
      <c r="M10" s="458" t="s">
        <v>89</v>
      </c>
      <c r="N10" s="1552"/>
      <c r="AM10" s="518">
        <v>23</v>
      </c>
    </row>
    <row r="11" spans="1:39" s="1777" customFormat="1" ht="11.25" hidden="1" customHeight="1">
      <c r="A11" s="528"/>
      <c r="B11" s="528"/>
      <c r="C11" s="528"/>
      <c r="D11" s="529" t="s">
        <v>109</v>
      </c>
      <c r="E11" s="529" t="s">
        <v>110</v>
      </c>
      <c r="F11" s="529" t="s">
        <v>90</v>
      </c>
      <c r="G11" s="2055" t="s">
        <v>91</v>
      </c>
      <c r="H11" s="2056"/>
      <c r="I11" s="529" t="s">
        <v>111</v>
      </c>
      <c r="J11" s="529" t="s">
        <v>92</v>
      </c>
      <c r="K11" s="2057" t="s">
        <v>93</v>
      </c>
      <c r="L11" s="2058"/>
      <c r="M11" s="529" t="s">
        <v>112</v>
      </c>
      <c r="N11" s="1551"/>
      <c r="O11" s="1338"/>
      <c r="P11" s="1340"/>
      <c r="Q11" s="1340"/>
      <c r="R11" s="1340"/>
      <c r="S11" s="1340"/>
      <c r="T11" s="1340"/>
      <c r="U11" s="1190"/>
      <c r="V11" s="1190"/>
      <c r="W11" s="1190"/>
      <c r="X11" s="1190"/>
      <c r="Y11" s="530"/>
      <c r="Z11" s="530"/>
      <c r="AA11" s="530"/>
      <c r="AB11" s="530"/>
      <c r="AC11" s="530"/>
      <c r="AD11" s="530"/>
      <c r="AE11" s="530"/>
      <c r="AF11" s="530"/>
      <c r="AG11" s="530"/>
      <c r="AH11" s="530"/>
      <c r="AI11" s="530"/>
      <c r="AJ11" s="530"/>
      <c r="AK11" s="530"/>
      <c r="AL11" s="530"/>
      <c r="AM11" s="531">
        <v>0</v>
      </c>
    </row>
    <row r="12" spans="1:39" ht="1.1499999999999999" customHeight="1">
      <c r="A12" s="532"/>
      <c r="B12" s="533"/>
      <c r="C12" s="533"/>
      <c r="D12" s="534"/>
      <c r="E12" s="302"/>
      <c r="F12" s="535"/>
      <c r="G12" s="987"/>
      <c r="H12" s="987"/>
      <c r="I12" s="535"/>
      <c r="J12" s="535"/>
      <c r="K12" s="110"/>
      <c r="L12" s="302"/>
      <c r="M12" s="536"/>
      <c r="N12" s="1552"/>
      <c r="O12" s="1338" t="s">
        <v>113</v>
      </c>
      <c r="P12" s="1338" t="s">
        <v>114</v>
      </c>
      <c r="Q12" s="1338" t="s">
        <v>115</v>
      </c>
      <c r="R12" s="1338" t="s">
        <v>116</v>
      </c>
      <c r="AM12" s="518">
        <v>1</v>
      </c>
    </row>
    <row r="13" spans="1:39" s="1777" customFormat="1" ht="15.75" customHeight="1">
      <c r="A13" s="229"/>
      <c r="B13" s="229"/>
      <c r="C13" s="461"/>
      <c r="D13" s="2048" t="s">
        <v>109</v>
      </c>
      <c r="E13" s="2049" t="str">
        <f>INDEX(VD_NAME_LIST,MATCH("4190064",VD_ID_LIST,0))&amp;"; "&amp;INDEX(VD_NAME_LIST,MATCH("4190068",VD_ID_LIST,0))&amp;"; "&amp;INDEX(VD_NAME_LIST,MATCH("4190070",VD_ID_LIST,0))</f>
        <v>Производство тепловой энергии. Некомбинированная выработка; Передача. Тепловая энергия; Сбыт. Тепловая энергия</v>
      </c>
      <c r="F13" s="2052" t="s">
        <v>66</v>
      </c>
      <c r="G13" s="2053"/>
      <c r="H13" s="2054">
        <v>1</v>
      </c>
      <c r="I13" s="2045" t="str">
        <f>IF(U13="","",INDEX(TERRITORY_MR_LIST,MATCH(U13,TERRITORY_LIST_ID,0)))</f>
        <v>Территория 1</v>
      </c>
      <c r="J13" s="2047" t="s">
        <v>19</v>
      </c>
      <c r="K13" s="537"/>
      <c r="L13" s="462" t="s">
        <v>109</v>
      </c>
      <c r="M13" s="538" t="s">
        <v>22</v>
      </c>
      <c r="N13" s="741"/>
      <c r="O13" s="1341" t="s">
        <v>117</v>
      </c>
      <c r="P13" s="1338" t="str">
        <f>$E$13</f>
        <v>Производство тепловой энергии. Некомбинированная выработка; Передача. Тепловая энергия; Сбыт. Тепловая энергия</v>
      </c>
      <c r="Q13" s="1338" t="str">
        <f>IF($F$13="нет","без дифференциации",$I$13)</f>
        <v>Территория 1</v>
      </c>
      <c r="R13" s="1338" t="str">
        <f>IF($J$13="нет","без дифференциации",M13)</f>
        <v>без дифференциации</v>
      </c>
      <c r="S13" s="1341"/>
      <c r="T13" s="1341"/>
      <c r="U13" s="1191" t="s">
        <v>98</v>
      </c>
      <c r="V13" s="1191" t="s">
        <v>118</v>
      </c>
      <c r="W13" s="1191"/>
      <c r="X13" s="1191"/>
      <c r="Y13" s="539" t="s">
        <v>119</v>
      </c>
      <c r="Z13" s="539">
        <v>1705000</v>
      </c>
      <c r="AA13" s="539"/>
      <c r="AB13" s="539"/>
      <c r="AC13" s="539"/>
      <c r="AD13" s="539"/>
      <c r="AE13" s="539"/>
      <c r="AF13" s="539"/>
      <c r="AG13" s="539"/>
      <c r="AH13" s="539"/>
      <c r="AI13" s="539"/>
      <c r="AJ13" s="539"/>
      <c r="AK13" s="539"/>
      <c r="AL13" s="539"/>
      <c r="AM13" s="541">
        <v>15</v>
      </c>
    </row>
    <row r="14" spans="1:39" s="1777" customFormat="1" ht="15.75" customHeight="1">
      <c r="A14" s="229"/>
      <c r="B14" s="229"/>
      <c r="C14" s="112"/>
      <c r="D14" s="2048"/>
      <c r="E14" s="2050"/>
      <c r="F14" s="2047"/>
      <c r="G14" s="2053"/>
      <c r="H14" s="2054"/>
      <c r="I14" s="2046"/>
      <c r="J14" s="2047"/>
      <c r="K14" s="356"/>
      <c r="L14" s="113"/>
      <c r="M14" s="542" t="s">
        <v>120</v>
      </c>
      <c r="N14" s="741"/>
      <c r="O14" s="1341"/>
      <c r="P14" s="1338"/>
      <c r="Q14" s="1338"/>
      <c r="R14" s="1338"/>
      <c r="S14" s="1341"/>
      <c r="T14" s="1341"/>
      <c r="U14" s="1191"/>
      <c r="V14" s="1191"/>
      <c r="W14" s="1191"/>
      <c r="X14" s="1191"/>
      <c r="Y14" s="539"/>
      <c r="Z14" s="539"/>
      <c r="AA14" s="539"/>
      <c r="AB14" s="539"/>
      <c r="AC14" s="539"/>
      <c r="AD14" s="539"/>
      <c r="AE14" s="539"/>
      <c r="AF14" s="539"/>
      <c r="AG14" s="539"/>
      <c r="AH14" s="539"/>
      <c r="AI14" s="539"/>
      <c r="AJ14" s="539"/>
      <c r="AK14" s="539"/>
      <c r="AL14" s="539"/>
      <c r="AM14" s="541">
        <v>15</v>
      </c>
    </row>
    <row r="15" spans="1:39" s="1777" customFormat="1" ht="15.75" customHeight="1">
      <c r="A15" s="229"/>
      <c r="B15" s="229"/>
      <c r="C15" s="112"/>
      <c r="D15" s="2048"/>
      <c r="E15" s="2051"/>
      <c r="F15" s="2047"/>
      <c r="G15" s="988"/>
      <c r="H15" s="989"/>
      <c r="I15" s="515" t="s">
        <v>121</v>
      </c>
      <c r="J15" s="113"/>
      <c r="K15" s="113"/>
      <c r="L15" s="113"/>
      <c r="M15" s="543"/>
      <c r="N15" s="741"/>
      <c r="O15" s="1341"/>
      <c r="P15" s="1338"/>
      <c r="Q15" s="1338"/>
      <c r="R15" s="1338"/>
      <c r="S15" s="1341"/>
      <c r="T15" s="1341"/>
      <c r="U15" s="1191"/>
      <c r="V15" s="1191"/>
      <c r="W15" s="1191"/>
      <c r="X15" s="1191"/>
      <c r="Y15" s="539"/>
      <c r="Z15" s="539"/>
      <c r="AA15" s="539"/>
      <c r="AB15" s="539"/>
      <c r="AC15" s="539"/>
      <c r="AD15" s="539"/>
      <c r="AE15" s="539"/>
      <c r="AF15" s="539"/>
      <c r="AG15" s="539"/>
      <c r="AH15" s="539"/>
      <c r="AI15" s="539"/>
      <c r="AJ15" s="539"/>
      <c r="AK15" s="539"/>
      <c r="AL15" s="539"/>
      <c r="AM15" s="541">
        <v>15</v>
      </c>
    </row>
    <row r="16" spans="1:39" ht="15.75" customHeight="1">
      <c r="A16" s="544"/>
      <c r="B16" s="72"/>
      <c r="C16" s="735"/>
      <c r="D16" s="356"/>
      <c r="E16" s="506" t="s">
        <v>122</v>
      </c>
      <c r="F16" s="113"/>
      <c r="G16" s="113"/>
      <c r="H16" s="113"/>
      <c r="I16" s="113"/>
      <c r="J16" s="113"/>
      <c r="K16" s="113" t="s">
        <v>22</v>
      </c>
      <c r="L16" s="113"/>
      <c r="M16" s="543"/>
      <c r="N16" s="1552"/>
      <c r="AM16" s="518">
        <v>15</v>
      </c>
    </row>
    <row r="17" spans="1:39" ht="11.25" hidden="1" customHeight="1">
      <c r="A17" s="518" t="s">
        <v>82</v>
      </c>
      <c r="B17" s="518">
        <v>0</v>
      </c>
      <c r="C17" s="518">
        <v>3</v>
      </c>
      <c r="D17" s="518">
        <v>4</v>
      </c>
      <c r="E17" s="518">
        <v>44</v>
      </c>
      <c r="F17" s="518">
        <v>6</v>
      </c>
      <c r="G17" s="518">
        <v>4</v>
      </c>
      <c r="H17" s="518">
        <v>5</v>
      </c>
      <c r="I17" s="518">
        <v>52</v>
      </c>
      <c r="J17" s="518">
        <v>6</v>
      </c>
      <c r="K17" s="518">
        <v>3</v>
      </c>
      <c r="L17" s="518">
        <v>6</v>
      </c>
      <c r="M17" s="518">
        <v>56</v>
      </c>
      <c r="N17" s="519">
        <v>8</v>
      </c>
      <c r="O17" s="1338">
        <v>0</v>
      </c>
      <c r="P17" s="1338">
        <v>0</v>
      </c>
      <c r="Q17" s="1338">
        <v>0</v>
      </c>
      <c r="R17" s="1338">
        <v>0</v>
      </c>
      <c r="S17" s="1338">
        <v>0</v>
      </c>
      <c r="T17" s="1338">
        <v>0</v>
      </c>
      <c r="U17" s="1188">
        <v>0</v>
      </c>
      <c r="V17" s="1188">
        <v>0</v>
      </c>
      <c r="W17" s="1188">
        <v>0</v>
      </c>
      <c r="X17" s="1188">
        <v>0</v>
      </c>
      <c r="Y17" s="519">
        <v>0</v>
      </c>
      <c r="Z17" s="519">
        <v>0</v>
      </c>
      <c r="AA17" s="519">
        <v>0</v>
      </c>
      <c r="AB17" s="519">
        <v>0</v>
      </c>
      <c r="AC17" s="519">
        <v>0</v>
      </c>
      <c r="AD17" s="519">
        <v>0</v>
      </c>
      <c r="AE17" s="519">
        <v>0</v>
      </c>
      <c r="AF17" s="519">
        <v>0</v>
      </c>
      <c r="AG17" s="519">
        <v>0</v>
      </c>
      <c r="AH17" s="519">
        <v>0</v>
      </c>
      <c r="AI17" s="519">
        <v>0</v>
      </c>
      <c r="AJ17" s="519">
        <v>0</v>
      </c>
      <c r="AK17" s="519">
        <v>0</v>
      </c>
      <c r="AL17" s="519">
        <v>8</v>
      </c>
      <c r="AM17" s="518">
        <v>11</v>
      </c>
    </row>
  </sheetData>
  <sheetProtection formatColumns="0" formatRows="0" insertRows="0" deleteColumns="0" deleteRows="0" sort="0" autoFilter="0"/>
  <mergeCells count="19">
    <mergeCell ref="G11:H11"/>
    <mergeCell ref="K11:L11"/>
    <mergeCell ref="D4:I4"/>
    <mergeCell ref="D5:I5"/>
    <mergeCell ref="A6:F6"/>
    <mergeCell ref="A9:A10"/>
    <mergeCell ref="D9:E9"/>
    <mergeCell ref="F9:I9"/>
    <mergeCell ref="E7:M7"/>
    <mergeCell ref="J9:M9"/>
    <mergeCell ref="G10:H10"/>
    <mergeCell ref="K10:L10"/>
    <mergeCell ref="I13:I14"/>
    <mergeCell ref="J13:J14"/>
    <mergeCell ref="D13:D15"/>
    <mergeCell ref="E13:E15"/>
    <mergeCell ref="F13:F15"/>
    <mergeCell ref="G13:G14"/>
    <mergeCell ref="H13:H14"/>
  </mergeCells>
  <dataValidations count="1">
    <dataValidation type="textLength" operator="lessThan" allowBlank="1" showInputMessage="1" showErrorMessage="1" error="Допускается ввод не более 900 символов!" sqref="M13">
      <formula1>900</formula1>
    </dataValidation>
  </dataValidations>
  <pageMargins left="0.70866141732283472" right="0.70866141732283472" top="0.74803149606299213" bottom="0.74803149606299213" header="0.31496062992125984" footer="0.31496062992125984"/>
  <pageSetup paperSize="9" scale="75" orientation="landscape" r:id="rId1"/>
  <headerFooter>
    <oddHeader>&amp;L&amp;C&amp;R</oddHeader>
    <oddFooter>&amp;L&amp;C&amp;R</oddFooter>
    <evenHeader>&amp;L&amp;C&amp;R</evenHeader>
    <evenFooter>&amp;L&amp;C&amp;R</evenFooter>
  </headerFooter>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CCCCFF"/>
  </sheetPr>
  <dimension ref="A1:AR146"/>
  <sheetViews>
    <sheetView showGridLines="0" zoomScale="90" workbookViewId="0">
      <pane xSplit="6" ySplit="12" topLeftCell="G13" activePane="bottomRight" state="frozen"/>
      <selection pane="topRight" activeCell="G1" sqref="G1"/>
      <selection pane="bottomLeft" activeCell="A13" sqref="A13"/>
      <selection pane="bottomRight"/>
    </sheetView>
  </sheetViews>
  <sheetFormatPr defaultColWidth="9.140625" defaultRowHeight="11.25" customHeight="1"/>
  <cols>
    <col min="1" max="2" width="3.7109375" style="1549" hidden="1" customWidth="1"/>
    <col min="3" max="3" width="3" style="1777" customWidth="1"/>
    <col min="4" max="4" width="6" style="1777" customWidth="1"/>
    <col min="5" max="5" width="42" style="1777" customWidth="1"/>
    <col min="6" max="6" width="15" style="1777" customWidth="1"/>
    <col min="7" max="7" width="42" style="1777" customWidth="1"/>
    <col min="8" max="8" width="3" style="1777" customWidth="1"/>
    <col min="9" max="9" width="5" style="1777" customWidth="1"/>
    <col min="10" max="10" width="47" style="1777" customWidth="1"/>
    <col min="11" max="12" width="3" style="1777" customWidth="1"/>
    <col min="13" max="13" width="5" style="1777" customWidth="1"/>
    <col min="14" max="14" width="28" style="1777" customWidth="1"/>
    <col min="15" max="16" width="3" style="1777" customWidth="1"/>
    <col min="17" max="17" width="5" style="1777" customWidth="1"/>
    <col min="18" max="18" width="34" style="1777" customWidth="1"/>
    <col min="19" max="20" width="3.7109375" style="1777" customWidth="1"/>
    <col min="21" max="21" width="5.7109375" style="1777" customWidth="1"/>
    <col min="22" max="22" width="34.42578125" style="1777" customWidth="1"/>
    <col min="23" max="23" width="30" style="1777" customWidth="1"/>
    <col min="24" max="24" width="3" style="1777" customWidth="1"/>
    <col min="25" max="28" width="9.85546875" style="1191" hidden="1" customWidth="1"/>
    <col min="29" max="29" width="27" style="1191" hidden="1" customWidth="1"/>
    <col min="30" max="30" width="10.5703125" style="1191" hidden="1" customWidth="1"/>
    <col min="31" max="31" width="10.7109375" style="1191" hidden="1" customWidth="1"/>
    <col min="32" max="32" width="10" style="1191" hidden="1" customWidth="1"/>
    <col min="33" max="33" width="12.85546875" style="1191" hidden="1" customWidth="1"/>
    <col min="34" max="34" width="24.42578125" style="1191" hidden="1" customWidth="1"/>
    <col min="35" max="35" width="15.85546875" style="1191" hidden="1" customWidth="1"/>
    <col min="36" max="36" width="19.42578125" style="1191" hidden="1" customWidth="1"/>
    <col min="37" max="37" width="11" style="1191" hidden="1" customWidth="1"/>
    <col min="38" max="38" width="23.5703125" style="1191" hidden="1" customWidth="1"/>
    <col min="39" max="39" width="23.85546875" style="1191" hidden="1" customWidth="1"/>
    <col min="40" max="40" width="25.28515625" style="1191" hidden="1" customWidth="1"/>
    <col min="41" max="41" width="16.85546875" style="1191" hidden="1" customWidth="1"/>
    <col min="42" max="42" width="29.5703125" style="1191" hidden="1" customWidth="1"/>
    <col min="43" max="43" width="29.85546875" style="1191" hidden="1" customWidth="1"/>
    <col min="44" max="44" width="9.140625" style="1777" hidden="1"/>
  </cols>
  <sheetData>
    <row r="1" spans="1:44" ht="11.25" hidden="1" customHeight="1">
      <c r="A1" s="92"/>
      <c r="AR1" s="42" t="s">
        <v>14</v>
      </c>
    </row>
    <row r="2" spans="1:44" ht="11.25" hidden="1" customHeight="1">
      <c r="AR2" s="42">
        <v>0</v>
      </c>
    </row>
    <row r="3" spans="1:44" ht="11.25" hidden="1" customHeight="1">
      <c r="AR3" s="42">
        <v>0</v>
      </c>
    </row>
    <row r="4" spans="1:44" ht="3" customHeight="1">
      <c r="AR4" s="42">
        <v>3</v>
      </c>
    </row>
    <row r="5" spans="1:44" s="524" customFormat="1" ht="30.4" customHeight="1">
      <c r="A5" s="90"/>
      <c r="B5" s="90"/>
      <c r="D5" s="2096" t="str">
        <f>"Перечень тарифов и технологически не связанных между собой централизованных систем "&amp;TEMPLATE_SPHERE_RUS&amp;", в отношении которых предлагаются различные тарифы в сфере  "&amp;TEMPLATE_SPHERE_RUS&amp;IF(TEMPLATE_SPHERE="HEAT"," и горячего водоснабжения с использованием открытых систем "&amp;TEMPLATE_SPHERE_RUS,"")&amp;" (информация раскрывается отдельно по каждой системе  "&amp;TEMPLATE_SPHERE_RUS&amp;")"</f>
        <v>Перечень тарифов и технологически не связанных между собой централизованных систем теплоснабжения, в отношении которых предлагаются различные тарифы в сфере  теплоснабжения и горячего водоснабжения с использованием открытых систем теплоснабжения (информация раскрывается отдельно по каждой системе  теплоснабжения)</v>
      </c>
      <c r="E5" s="2097"/>
      <c r="F5" s="2097"/>
      <c r="G5" s="2097"/>
      <c r="H5" s="2097"/>
      <c r="I5" s="2097"/>
      <c r="J5" s="2098"/>
      <c r="K5" s="201"/>
      <c r="L5" s="79"/>
      <c r="M5" s="79"/>
      <c r="N5" s="79"/>
      <c r="O5" s="79"/>
      <c r="P5" s="79"/>
      <c r="Q5" s="79"/>
      <c r="R5" s="79"/>
      <c r="S5" s="226"/>
      <c r="T5" s="226"/>
      <c r="U5" s="226"/>
      <c r="V5" s="226"/>
      <c r="W5" s="79"/>
      <c r="Y5" s="1185"/>
      <c r="Z5" s="1185"/>
      <c r="AA5" s="1185"/>
      <c r="AB5" s="1185"/>
      <c r="AC5" s="1185"/>
      <c r="AD5" s="1185"/>
      <c r="AE5" s="1185"/>
      <c r="AF5" s="1185"/>
      <c r="AG5" s="1185"/>
      <c r="AH5" s="1185"/>
      <c r="AI5" s="1185"/>
      <c r="AJ5" s="1185"/>
      <c r="AK5" s="1185"/>
      <c r="AL5" s="1185"/>
      <c r="AM5" s="1185"/>
      <c r="AN5" s="1185"/>
      <c r="AO5" s="1185"/>
      <c r="AP5" s="1185"/>
      <c r="AQ5" s="1185"/>
      <c r="AR5" s="49">
        <v>29</v>
      </c>
    </row>
    <row r="6" spans="1:44" s="524" customFormat="1" ht="14.65" customHeight="1">
      <c r="A6" s="520"/>
      <c r="B6" s="520"/>
      <c r="C6" s="520"/>
      <c r="D6" s="2102" t="str">
        <f>IF(org=0,"Не определено",org)</f>
        <v>ООО "ЗЕНИТ ЭНЕРГО"</v>
      </c>
      <c r="E6" s="2102"/>
      <c r="F6" s="2102"/>
      <c r="G6" s="2102"/>
      <c r="H6" s="2102"/>
      <c r="I6" s="2102"/>
      <c r="J6" s="2102"/>
      <c r="K6" s="521"/>
      <c r="L6" s="521"/>
      <c r="M6" s="521"/>
      <c r="N6" s="521"/>
      <c r="O6" s="799"/>
      <c r="P6" s="799"/>
      <c r="Q6" s="799"/>
      <c r="R6" s="799"/>
      <c r="S6" s="799"/>
      <c r="T6" s="799"/>
      <c r="U6" s="799"/>
      <c r="V6" s="799"/>
      <c r="W6" s="799"/>
      <c r="X6" s="521"/>
      <c r="Y6" s="1186"/>
      <c r="Z6" s="1186"/>
      <c r="AA6" s="1186"/>
      <c r="AB6" s="1186"/>
      <c r="AC6" s="1186"/>
      <c r="AD6" s="1186"/>
      <c r="AE6" s="1186"/>
      <c r="AF6" s="1186"/>
      <c r="AG6" s="1186"/>
      <c r="AH6" s="1186"/>
      <c r="AI6" s="1186"/>
      <c r="AJ6" s="1186"/>
      <c r="AK6" s="1186"/>
      <c r="AL6" s="1186"/>
      <c r="AM6" s="1186"/>
      <c r="AN6" s="1186"/>
      <c r="AO6" s="1186"/>
      <c r="AP6" s="1186"/>
      <c r="AQ6" s="1186"/>
      <c r="AR6" s="522">
        <v>14</v>
      </c>
    </row>
    <row r="7" spans="1:44" s="235" customFormat="1" ht="11.45" customHeight="1">
      <c r="A7" s="147"/>
      <c r="B7" s="147"/>
      <c r="D7" s="2099"/>
      <c r="E7" s="2100"/>
      <c r="F7" s="2100"/>
      <c r="G7" s="2100"/>
      <c r="H7" s="2100"/>
      <c r="I7" s="2100"/>
      <c r="J7" s="2101"/>
      <c r="Y7" s="1187"/>
      <c r="Z7" s="1187"/>
      <c r="AA7" s="1187"/>
      <c r="AB7" s="1187"/>
      <c r="AC7" s="1187"/>
      <c r="AD7" s="1187"/>
      <c r="AE7" s="1187"/>
      <c r="AF7" s="1187"/>
      <c r="AG7" s="1187"/>
      <c r="AH7" s="1187"/>
      <c r="AI7" s="1187"/>
      <c r="AJ7" s="1187"/>
      <c r="AK7" s="1187"/>
      <c r="AL7" s="1187"/>
      <c r="AM7" s="1187"/>
      <c r="AN7" s="1187"/>
      <c r="AO7" s="1187"/>
      <c r="AP7" s="1187"/>
      <c r="AQ7" s="1187"/>
      <c r="AR7" s="212">
        <v>11</v>
      </c>
    </row>
    <row r="8" spans="1:44" s="524" customFormat="1" ht="1.1499999999999999" customHeight="1">
      <c r="A8" s="90"/>
      <c r="B8" s="90"/>
      <c r="D8" s="148"/>
      <c r="E8" s="148"/>
      <c r="F8" s="148"/>
      <c r="G8" s="148"/>
      <c r="H8" s="148"/>
      <c r="I8" s="148"/>
      <c r="J8" s="148"/>
      <c r="K8" s="148"/>
      <c r="L8" s="148"/>
      <c r="M8" s="148"/>
      <c r="N8" s="148"/>
      <c r="O8" s="148"/>
      <c r="P8" s="148"/>
      <c r="Q8" s="148"/>
      <c r="R8" s="148"/>
      <c r="S8" s="148"/>
      <c r="T8" s="148"/>
      <c r="U8" s="148"/>
      <c r="V8" s="148"/>
      <c r="W8" s="148"/>
      <c r="X8" s="69"/>
      <c r="Y8" s="1185"/>
      <c r="Z8" s="1185"/>
      <c r="AA8" s="1185"/>
      <c r="AB8" s="1185"/>
      <c r="AC8" s="1185"/>
      <c r="AD8" s="1185"/>
      <c r="AE8" s="1185"/>
      <c r="AF8" s="1185"/>
      <c r="AG8" s="1185"/>
      <c r="AH8" s="1185"/>
      <c r="AI8" s="1185"/>
      <c r="AJ8" s="1185"/>
      <c r="AK8" s="1185"/>
      <c r="AL8" s="1185"/>
      <c r="AM8" s="1185"/>
      <c r="AN8" s="1185"/>
      <c r="AO8" s="1185"/>
      <c r="AP8" s="1185"/>
      <c r="AQ8" s="1185"/>
      <c r="AR8" s="49">
        <v>1</v>
      </c>
    </row>
    <row r="9" spans="1:44" ht="28.5" customHeight="1">
      <c r="D9" s="2066" t="s">
        <v>88</v>
      </c>
      <c r="E9" s="2038" t="s">
        <v>123</v>
      </c>
      <c r="F9" s="2037"/>
      <c r="G9" s="2066" t="s">
        <v>105</v>
      </c>
      <c r="H9" s="2066" t="s">
        <v>88</v>
      </c>
      <c r="I9" s="2066"/>
      <c r="J9" s="2066" t="s">
        <v>124</v>
      </c>
      <c r="K9" s="2094" t="s">
        <v>125</v>
      </c>
      <c r="L9" s="2094"/>
      <c r="M9" s="2094"/>
      <c r="N9" s="2094"/>
      <c r="O9" s="2094" t="s">
        <v>126</v>
      </c>
      <c r="P9" s="2094"/>
      <c r="Q9" s="2094"/>
      <c r="R9" s="2094"/>
      <c r="S9" s="2094" t="s">
        <v>127</v>
      </c>
      <c r="T9" s="2094"/>
      <c r="U9" s="2094"/>
      <c r="V9" s="2094"/>
      <c r="W9" s="2066" t="s">
        <v>128</v>
      </c>
      <c r="AR9" s="42">
        <v>27</v>
      </c>
    </row>
    <row r="10" spans="1:44" ht="31.5" customHeight="1">
      <c r="D10" s="2066"/>
      <c r="E10" s="1209" t="s">
        <v>89</v>
      </c>
      <c r="F10" s="1209" t="s">
        <v>129</v>
      </c>
      <c r="G10" s="2066"/>
      <c r="H10" s="2066"/>
      <c r="I10" s="2066"/>
      <c r="J10" s="2066"/>
      <c r="K10" s="48" t="s">
        <v>108</v>
      </c>
      <c r="L10" s="2066" t="s">
        <v>88</v>
      </c>
      <c r="M10" s="2066"/>
      <c r="N10" s="48" t="s">
        <v>130</v>
      </c>
      <c r="O10" s="48" t="s">
        <v>108</v>
      </c>
      <c r="P10" s="2066" t="s">
        <v>88</v>
      </c>
      <c r="Q10" s="2066"/>
      <c r="R10" s="48" t="s">
        <v>130</v>
      </c>
      <c r="S10" s="219" t="s">
        <v>108</v>
      </c>
      <c r="T10" s="2066" t="s">
        <v>88</v>
      </c>
      <c r="U10" s="2066"/>
      <c r="V10" s="219" t="s">
        <v>89</v>
      </c>
      <c r="W10" s="2066"/>
      <c r="Z10" s="1184" t="s">
        <v>131</v>
      </c>
      <c r="AA10" s="1184" t="s">
        <v>132</v>
      </c>
      <c r="AB10" s="1184" t="s">
        <v>133</v>
      </c>
      <c r="AC10" s="1184" t="s">
        <v>134</v>
      </c>
      <c r="AD10" s="1184" t="s">
        <v>135</v>
      </c>
      <c r="AE10" s="1184" t="s">
        <v>136</v>
      </c>
      <c r="AF10" s="1184" t="s">
        <v>137</v>
      </c>
      <c r="AG10" s="1184" t="s">
        <v>138</v>
      </c>
      <c r="AH10" s="1184" t="s">
        <v>139</v>
      </c>
      <c r="AI10" s="1184" t="s">
        <v>140</v>
      </c>
      <c r="AJ10" s="1184" t="s">
        <v>141</v>
      </c>
      <c r="AK10" s="1184" t="s">
        <v>142</v>
      </c>
      <c r="AL10" s="1184" t="s">
        <v>143</v>
      </c>
      <c r="AM10" s="1184" t="s">
        <v>144</v>
      </c>
      <c r="AN10" s="1184" t="s">
        <v>145</v>
      </c>
      <c r="AO10" s="1184" t="s">
        <v>146</v>
      </c>
      <c r="AP10" s="1184" t="s">
        <v>147</v>
      </c>
      <c r="AQ10" s="1184" t="s">
        <v>148</v>
      </c>
      <c r="AR10" s="42">
        <v>30</v>
      </c>
    </row>
    <row r="11" spans="1:44" s="1549" customFormat="1" ht="12" hidden="1" customHeight="1">
      <c r="D11" s="1174" t="s">
        <v>109</v>
      </c>
      <c r="E11" s="1174" t="s">
        <v>110</v>
      </c>
      <c r="F11" s="1174"/>
      <c r="G11" s="1174" t="s">
        <v>90</v>
      </c>
      <c r="H11" s="2095" t="s">
        <v>111</v>
      </c>
      <c r="I11" s="2095"/>
      <c r="J11" s="1174" t="s">
        <v>92</v>
      </c>
      <c r="K11" s="1174" t="s">
        <v>93</v>
      </c>
      <c r="L11" s="2095" t="s">
        <v>112</v>
      </c>
      <c r="M11" s="2095"/>
      <c r="N11" s="1174" t="s">
        <v>149</v>
      </c>
      <c r="O11" s="1174" t="s">
        <v>150</v>
      </c>
      <c r="P11" s="2095" t="s">
        <v>151</v>
      </c>
      <c r="Q11" s="2095"/>
      <c r="R11" s="1174" t="s">
        <v>152</v>
      </c>
      <c r="S11" s="1174" t="s">
        <v>151</v>
      </c>
      <c r="T11" s="2095" t="s">
        <v>152</v>
      </c>
      <c r="U11" s="2095"/>
      <c r="V11" s="1174" t="s">
        <v>153</v>
      </c>
      <c r="W11" s="1174" t="s">
        <v>154</v>
      </c>
      <c r="Y11" s="1184"/>
      <c r="Z11" s="1184"/>
      <c r="AA11" s="1184"/>
      <c r="AB11" s="1184"/>
      <c r="AC11" s="1184"/>
      <c r="AD11" s="1184"/>
      <c r="AE11" s="1184"/>
      <c r="AF11" s="1184"/>
      <c r="AG11" s="1184"/>
      <c r="AH11" s="1184"/>
      <c r="AI11" s="1184"/>
      <c r="AJ11" s="1184"/>
      <c r="AK11" s="1184"/>
      <c r="AL11" s="1184"/>
      <c r="AM11" s="1184"/>
      <c r="AN11" s="1184"/>
      <c r="AO11" s="1184"/>
      <c r="AP11" s="1184"/>
      <c r="AQ11" s="1184"/>
      <c r="AR11" s="213">
        <v>0</v>
      </c>
    </row>
    <row r="12" spans="1:44" ht="14.25" hidden="1" customHeight="1">
      <c r="C12" s="145"/>
      <c r="D12" s="1207">
        <v>0</v>
      </c>
      <c r="E12" s="186"/>
      <c r="F12" s="186"/>
      <c r="G12" s="186"/>
      <c r="H12" s="187"/>
      <c r="I12" s="187"/>
      <c r="J12" s="94"/>
      <c r="K12" s="50"/>
      <c r="L12" s="94"/>
      <c r="M12" s="94"/>
      <c r="N12" s="188"/>
      <c r="O12" s="50"/>
      <c r="P12" s="94"/>
      <c r="Q12" s="94"/>
      <c r="R12" s="189"/>
      <c r="S12" s="220"/>
      <c r="T12" s="228"/>
      <c r="U12" s="228"/>
      <c r="V12" s="232"/>
      <c r="W12" s="50"/>
      <c r="X12" s="78"/>
      <c r="AR12" s="42">
        <v>0</v>
      </c>
    </row>
    <row r="13" spans="1:44" s="1777" customFormat="1" ht="17.25" hidden="1" customHeight="1">
      <c r="A13" s="257"/>
      <c r="C13" s="145"/>
      <c r="D13" s="2074">
        <v>1</v>
      </c>
      <c r="E13" s="2082" t="s">
        <v>155</v>
      </c>
      <c r="F13" s="2084" t="s">
        <v>19</v>
      </c>
      <c r="G13" s="2082"/>
      <c r="H13" s="2087"/>
      <c r="I13" s="2089"/>
      <c r="J13" s="2091"/>
      <c r="K13" s="2076"/>
      <c r="L13" s="2076"/>
      <c r="M13" s="2076"/>
      <c r="N13" s="2078"/>
      <c r="O13" s="2076"/>
      <c r="P13" s="2076"/>
      <c r="Q13" s="2076"/>
      <c r="R13" s="2081"/>
      <c r="S13" s="2076"/>
      <c r="T13" s="1345"/>
      <c r="U13" s="1345"/>
      <c r="V13" s="1344"/>
      <c r="W13" s="1221"/>
      <c r="Y13" s="1192"/>
      <c r="Z13" s="1192"/>
      <c r="AA13" s="1192"/>
      <c r="AB13" s="1192"/>
      <c r="AC13" s="1192" t="s">
        <v>156</v>
      </c>
      <c r="AD13" s="1192" t="s">
        <v>157</v>
      </c>
      <c r="AE13" s="1192" t="s">
        <v>158</v>
      </c>
      <c r="AF13" s="1192" t="s">
        <v>159</v>
      </c>
      <c r="AG13" s="1192" t="s">
        <v>160</v>
      </c>
      <c r="AH13" s="1192" t="str">
        <f>IF($E$13=0,"",$E$13)</f>
        <v>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v>
      </c>
      <c r="AI13" s="1192" t="str">
        <f>IF($G$13=0,"",$G$13)</f>
        <v/>
      </c>
      <c r="AJ13" s="1192" t="str">
        <f>IF($J$13=0,"",$J$13)</f>
        <v/>
      </c>
      <c r="AK13" s="1192" t="str">
        <f>IF($K$13="нет","без дифференциации",IF($N$13=0,"",$N$13))</f>
        <v/>
      </c>
      <c r="AL13" s="1192" t="str">
        <f>IF($O$13="нет","без дифференциации",IF($R$13=0,"",$R$13))</f>
        <v/>
      </c>
      <c r="AM13" s="1192" t="str">
        <f>IF($S$13="нет","без дифференциации",IF($V$13=0,"",$V$13))</f>
        <v/>
      </c>
      <c r="AN13" s="1192">
        <f>$I$13</f>
        <v>0</v>
      </c>
      <c r="AO13" s="1192" t="str">
        <f>$I$13&amp;"."&amp;$M$13</f>
        <v>.</v>
      </c>
      <c r="AP13" s="1192" t="str">
        <f>$I$13&amp;"."&amp;$M$13&amp;"."&amp;$Q$13</f>
        <v>..</v>
      </c>
      <c r="AQ13" s="1192" t="str">
        <f>$I$13&amp;"."&amp;$M$13&amp;"."&amp;$Q$13&amp;"."&amp;$U$13</f>
        <v>...</v>
      </c>
      <c r="AR13" s="685">
        <v>0</v>
      </c>
    </row>
    <row r="14" spans="1:44" s="1777" customFormat="1" ht="17.25" hidden="1" customHeight="1">
      <c r="A14" s="257"/>
      <c r="C14" s="256"/>
      <c r="D14" s="2074"/>
      <c r="E14" s="2082"/>
      <c r="F14" s="2085"/>
      <c r="G14" s="2082"/>
      <c r="H14" s="2088"/>
      <c r="I14" s="2090"/>
      <c r="J14" s="2092"/>
      <c r="K14" s="2077"/>
      <c r="L14" s="2077"/>
      <c r="M14" s="2077"/>
      <c r="N14" s="2079"/>
      <c r="O14" s="2077"/>
      <c r="P14" s="2077"/>
      <c r="Q14" s="2077"/>
      <c r="R14" s="2080"/>
      <c r="S14" s="2077"/>
      <c r="T14" s="1222"/>
      <c r="U14" s="1222"/>
      <c r="V14" s="1222"/>
      <c r="W14" s="1223"/>
      <c r="Y14" s="1184"/>
      <c r="Z14" s="1184"/>
      <c r="AA14" s="1184"/>
      <c r="AB14" s="1184"/>
      <c r="AC14" s="1184"/>
      <c r="AD14" s="1184"/>
      <c r="AE14" s="1184"/>
      <c r="AF14" s="1184"/>
      <c r="AG14" s="1184"/>
      <c r="AH14" s="1184"/>
      <c r="AI14" s="1184"/>
      <c r="AJ14" s="1184"/>
      <c r="AK14" s="1184"/>
      <c r="AL14" s="1184"/>
      <c r="AM14" s="1184"/>
      <c r="AN14" s="1184"/>
      <c r="AO14" s="1184"/>
      <c r="AP14" s="1184"/>
      <c r="AQ14" s="1184"/>
      <c r="AR14" s="685">
        <v>0</v>
      </c>
    </row>
    <row r="15" spans="1:44" s="1777" customFormat="1" ht="17.25" hidden="1" customHeight="1">
      <c r="A15" s="257"/>
      <c r="C15" s="145"/>
      <c r="D15" s="2074"/>
      <c r="E15" s="2082"/>
      <c r="F15" s="2085"/>
      <c r="G15" s="2082"/>
      <c r="H15" s="2088"/>
      <c r="I15" s="2090"/>
      <c r="J15" s="2093"/>
      <c r="K15" s="2077"/>
      <c r="L15" s="2077"/>
      <c r="M15" s="2077"/>
      <c r="N15" s="2080"/>
      <c r="O15" s="2077"/>
      <c r="P15" s="1343"/>
      <c r="Q15" s="1222"/>
      <c r="R15" s="1222"/>
      <c r="S15" s="265"/>
      <c r="T15" s="265"/>
      <c r="U15" s="265"/>
      <c r="V15" s="265"/>
      <c r="W15" s="1223"/>
      <c r="Y15" s="1192"/>
      <c r="Z15" s="1192"/>
      <c r="AA15" s="1192"/>
      <c r="AB15" s="1192"/>
      <c r="AC15" s="1192"/>
      <c r="AD15" s="1192"/>
      <c r="AE15" s="1192"/>
      <c r="AF15" s="1192"/>
      <c r="AG15" s="1192"/>
      <c r="AH15" s="1192"/>
      <c r="AI15" s="1192"/>
      <c r="AJ15" s="1192"/>
      <c r="AK15" s="1192"/>
      <c r="AL15" s="1192"/>
      <c r="AM15" s="1192"/>
      <c r="AN15" s="1192"/>
      <c r="AO15" s="1192"/>
      <c r="AP15" s="1192"/>
      <c r="AQ15" s="1192"/>
      <c r="AR15" s="1342">
        <v>0</v>
      </c>
    </row>
    <row r="16" spans="1:44" s="1777" customFormat="1" ht="17.25" hidden="1" customHeight="1">
      <c r="A16" s="257"/>
      <c r="C16" s="256"/>
      <c r="D16" s="2074"/>
      <c r="E16" s="2082"/>
      <c r="F16" s="2085"/>
      <c r="G16" s="2082"/>
      <c r="H16" s="2088"/>
      <c r="I16" s="2090"/>
      <c r="J16" s="2093"/>
      <c r="K16" s="2077"/>
      <c r="L16" s="1222"/>
      <c r="M16" s="1222"/>
      <c r="N16" s="1222"/>
      <c r="O16" s="1222"/>
      <c r="P16" s="1222"/>
      <c r="Q16" s="1222"/>
      <c r="R16" s="1222"/>
      <c r="S16" s="265"/>
      <c r="T16" s="265"/>
      <c r="U16" s="265"/>
      <c r="V16" s="265"/>
      <c r="W16" s="1223"/>
      <c r="Y16" s="1184"/>
      <c r="Z16" s="1184"/>
      <c r="AA16" s="1184"/>
      <c r="AB16" s="1184"/>
      <c r="AC16" s="1184"/>
      <c r="AD16" s="1184"/>
      <c r="AE16" s="1184"/>
      <c r="AF16" s="1184"/>
      <c r="AG16" s="1184"/>
      <c r="AH16" s="1184"/>
      <c r="AI16" s="1184"/>
      <c r="AJ16" s="1184"/>
      <c r="AK16" s="1184"/>
      <c r="AL16" s="1184"/>
      <c r="AM16" s="1184"/>
      <c r="AN16" s="1184"/>
      <c r="AO16" s="1184"/>
      <c r="AP16" s="1184"/>
      <c r="AQ16" s="1184"/>
      <c r="AR16" s="1342">
        <v>0</v>
      </c>
    </row>
    <row r="17" spans="1:44" s="1777" customFormat="1" ht="17.25" hidden="1" customHeight="1">
      <c r="A17" s="257"/>
      <c r="C17" s="256"/>
      <c r="D17" s="2075"/>
      <c r="E17" s="2083"/>
      <c r="F17" s="2086"/>
      <c r="G17" s="2083"/>
      <c r="H17" s="1224"/>
      <c r="I17" s="1225"/>
      <c r="J17" s="1225"/>
      <c r="K17" s="1225"/>
      <c r="L17" s="1225"/>
      <c r="M17" s="1225"/>
      <c r="N17" s="1225"/>
      <c r="O17" s="1225"/>
      <c r="P17" s="1225"/>
      <c r="Q17" s="1225"/>
      <c r="R17" s="1225"/>
      <c r="S17" s="1226"/>
      <c r="T17" s="1226"/>
      <c r="U17" s="1226"/>
      <c r="V17" s="1226"/>
      <c r="W17" s="1227"/>
      <c r="Y17" s="1184"/>
      <c r="Z17" s="1184"/>
      <c r="AA17" s="1184"/>
      <c r="AB17" s="1184"/>
      <c r="AC17" s="1184"/>
      <c r="AD17" s="1184"/>
      <c r="AE17" s="1184"/>
      <c r="AF17" s="1184"/>
      <c r="AG17" s="1184"/>
      <c r="AH17" s="1184"/>
      <c r="AI17" s="1184"/>
      <c r="AJ17" s="1184"/>
      <c r="AK17" s="1184"/>
      <c r="AL17" s="1184"/>
      <c r="AM17" s="1184"/>
      <c r="AN17" s="1184"/>
      <c r="AO17" s="1184"/>
      <c r="AP17" s="1184"/>
      <c r="AQ17" s="1184"/>
      <c r="AR17" s="685">
        <v>0</v>
      </c>
    </row>
    <row r="18" spans="1:44" s="1777" customFormat="1" ht="17.25" hidden="1" customHeight="1">
      <c r="A18" s="257"/>
      <c r="C18" s="145"/>
      <c r="D18" s="2074">
        <v>2</v>
      </c>
      <c r="E18" s="2103"/>
      <c r="F18" s="2084" t="s">
        <v>19</v>
      </c>
      <c r="G18" s="2082"/>
      <c r="H18" s="2087"/>
      <c r="I18" s="2089"/>
      <c r="J18" s="2091"/>
      <c r="K18" s="2076"/>
      <c r="L18" s="2076"/>
      <c r="M18" s="2076"/>
      <c r="N18" s="2078"/>
      <c r="O18" s="2076"/>
      <c r="P18" s="2076"/>
      <c r="Q18" s="2076"/>
      <c r="R18" s="2081"/>
      <c r="S18" s="2076"/>
      <c r="T18" s="1345"/>
      <c r="U18" s="1345"/>
      <c r="V18" s="1344"/>
      <c r="W18" s="1221"/>
      <c r="X18" s="1192"/>
      <c r="Y18" s="1192"/>
      <c r="Z18" s="1192"/>
      <c r="AA18" s="1192"/>
      <c r="AB18" s="1192"/>
      <c r="AC18" s="1192" t="s">
        <v>161</v>
      </c>
      <c r="AD18" s="1192" t="s">
        <v>162</v>
      </c>
      <c r="AE18" s="1192" t="s">
        <v>163</v>
      </c>
      <c r="AF18" s="1192" t="s">
        <v>164</v>
      </c>
      <c r="AG18" s="1192" t="s">
        <v>165</v>
      </c>
      <c r="AH18" s="1192" t="str">
        <f>IF($E$18=0,"",$E$18)</f>
        <v/>
      </c>
      <c r="AI18" s="1192" t="str">
        <f>IF($G$18=0,"",$G$18)</f>
        <v/>
      </c>
      <c r="AJ18" s="1192" t="str">
        <f>IF($J$18=0,"",$J$18)</f>
        <v/>
      </c>
      <c r="AK18" s="1192" t="str">
        <f>IF($K$18="нет","без дифференциации",IF($N$18=0,"",$N$18))</f>
        <v/>
      </c>
      <c r="AL18" s="1192" t="str">
        <f>IF($O$18="нет","без дифференциации",IF($R$18=0,"",$R$18))</f>
        <v/>
      </c>
      <c r="AM18" s="1192" t="str">
        <f>IF($S$18="нет","без дифференциации",IF($V$18=0,"",$V$18))</f>
        <v/>
      </c>
      <c r="AN18" s="1697">
        <f>$I$18</f>
        <v>0</v>
      </c>
      <c r="AO18" s="1192" t="str">
        <f>$I$18&amp;"."&amp;$M$18</f>
        <v>.</v>
      </c>
      <c r="AP18" s="1184" t="str">
        <f>$I$18&amp;"."&amp;$M$18&amp;"."&amp;$Q$18</f>
        <v>..</v>
      </c>
      <c r="AQ18" s="1184" t="str">
        <f>$I$18&amp;"."&amp;$M$18&amp;"."&amp;$Q$18&amp;"."&amp;$U$18</f>
        <v>...</v>
      </c>
      <c r="AR18" s="1208">
        <v>0</v>
      </c>
    </row>
    <row r="19" spans="1:44" s="1777" customFormat="1" ht="17.25" hidden="1" customHeight="1">
      <c r="A19" s="257"/>
      <c r="C19" s="256"/>
      <c r="D19" s="2074"/>
      <c r="E19" s="2103"/>
      <c r="F19" s="2085"/>
      <c r="G19" s="2082"/>
      <c r="H19" s="2088"/>
      <c r="I19" s="2090"/>
      <c r="J19" s="2092"/>
      <c r="K19" s="2077"/>
      <c r="L19" s="2077"/>
      <c r="M19" s="2077"/>
      <c r="N19" s="2079"/>
      <c r="O19" s="2077"/>
      <c r="P19" s="2077"/>
      <c r="Q19" s="2077"/>
      <c r="R19" s="2080"/>
      <c r="S19" s="2077"/>
      <c r="T19" s="1222"/>
      <c r="U19" s="1222"/>
      <c r="V19" s="1222"/>
      <c r="W19" s="1223"/>
      <c r="X19" s="1184"/>
      <c r="Y19" s="1184"/>
      <c r="Z19" s="1184"/>
      <c r="AA19" s="1184"/>
      <c r="AB19" s="1184"/>
      <c r="AC19" s="1184"/>
      <c r="AD19" s="1184"/>
      <c r="AE19" s="1184"/>
      <c r="AF19" s="1184"/>
      <c r="AG19" s="1184"/>
      <c r="AH19" s="1184"/>
      <c r="AI19" s="1184"/>
      <c r="AJ19" s="1184"/>
      <c r="AK19" s="1184"/>
      <c r="AL19" s="1184"/>
      <c r="AM19" s="1184"/>
      <c r="AN19" s="1184"/>
      <c r="AO19" s="1184"/>
      <c r="AP19" s="1184"/>
      <c r="AQ19" s="1184"/>
      <c r="AR19" s="1208">
        <v>0</v>
      </c>
    </row>
    <row r="20" spans="1:44" s="1777" customFormat="1" ht="17.25" hidden="1" customHeight="1">
      <c r="A20" s="257"/>
      <c r="C20" s="256"/>
      <c r="D20" s="2075"/>
      <c r="E20" s="2104"/>
      <c r="F20" s="2085"/>
      <c r="G20" s="2083"/>
      <c r="H20" s="2088"/>
      <c r="I20" s="2090"/>
      <c r="J20" s="2093"/>
      <c r="K20" s="2077"/>
      <c r="L20" s="2077"/>
      <c r="M20" s="2077"/>
      <c r="N20" s="2080"/>
      <c r="O20" s="2077"/>
      <c r="P20" s="1343"/>
      <c r="Q20" s="1222"/>
      <c r="R20" s="1222"/>
      <c r="S20" s="265"/>
      <c r="T20" s="265"/>
      <c r="U20" s="265"/>
      <c r="V20" s="265"/>
      <c r="W20" s="1223"/>
      <c r="X20" s="1184"/>
      <c r="Y20" s="1184"/>
      <c r="Z20" s="1184"/>
      <c r="AA20" s="1184"/>
      <c r="AB20" s="1184"/>
      <c r="AC20" s="1184"/>
      <c r="AD20" s="1184"/>
      <c r="AE20" s="1184"/>
      <c r="AF20" s="1184"/>
      <c r="AG20" s="1184"/>
      <c r="AH20" s="1184"/>
      <c r="AI20" s="1184"/>
      <c r="AJ20" s="1184"/>
      <c r="AK20" s="1184"/>
      <c r="AL20" s="1184"/>
      <c r="AM20" s="1184"/>
      <c r="AN20" s="1184"/>
      <c r="AO20" s="1184"/>
      <c r="AP20" s="1184"/>
      <c r="AQ20" s="1184"/>
      <c r="AR20" s="1208">
        <v>0</v>
      </c>
    </row>
    <row r="21" spans="1:44" s="1777" customFormat="1" ht="17.25" hidden="1" customHeight="1">
      <c r="A21" s="257"/>
      <c r="C21" s="256"/>
      <c r="D21" s="2075"/>
      <c r="E21" s="2104"/>
      <c r="F21" s="2085"/>
      <c r="G21" s="2083"/>
      <c r="H21" s="2088"/>
      <c r="I21" s="2090"/>
      <c r="J21" s="2093"/>
      <c r="K21" s="2077"/>
      <c r="L21" s="1222"/>
      <c r="M21" s="1222"/>
      <c r="N21" s="1222"/>
      <c r="O21" s="1222"/>
      <c r="P21" s="1222"/>
      <c r="Q21" s="1222"/>
      <c r="R21" s="1222"/>
      <c r="S21" s="265"/>
      <c r="T21" s="265"/>
      <c r="U21" s="265"/>
      <c r="V21" s="265"/>
      <c r="W21" s="1223"/>
      <c r="X21" s="1184"/>
      <c r="Y21" s="1184"/>
      <c r="Z21" s="1184"/>
      <c r="AA21" s="1184"/>
      <c r="AB21" s="1184"/>
      <c r="AC21" s="1184"/>
      <c r="AD21" s="1184"/>
      <c r="AE21" s="1184"/>
      <c r="AF21" s="1184"/>
      <c r="AG21" s="1184"/>
      <c r="AH21" s="1184"/>
      <c r="AI21" s="1184"/>
      <c r="AJ21" s="1184"/>
      <c r="AK21" s="1184"/>
      <c r="AL21" s="1184"/>
      <c r="AM21" s="1184"/>
      <c r="AN21" s="1184"/>
      <c r="AO21" s="1184"/>
      <c r="AP21" s="1184"/>
      <c r="AQ21" s="1184"/>
      <c r="AR21" s="1208">
        <v>0</v>
      </c>
    </row>
    <row r="22" spans="1:44" s="1777" customFormat="1" ht="17.25" hidden="1" customHeight="1">
      <c r="A22" s="257"/>
      <c r="C22" s="256"/>
      <c r="D22" s="2075"/>
      <c r="E22" s="2104"/>
      <c r="F22" s="2086"/>
      <c r="G22" s="2083"/>
      <c r="H22" s="1224"/>
      <c r="I22" s="1225"/>
      <c r="J22" s="1225"/>
      <c r="K22" s="1225"/>
      <c r="L22" s="1225"/>
      <c r="M22" s="1225"/>
      <c r="N22" s="1225"/>
      <c r="O22" s="1225"/>
      <c r="P22" s="1225"/>
      <c r="Q22" s="1225"/>
      <c r="R22" s="1225"/>
      <c r="S22" s="1226"/>
      <c r="T22" s="1226"/>
      <c r="U22" s="1226"/>
      <c r="V22" s="1226"/>
      <c r="W22" s="1227"/>
      <c r="X22" s="1184"/>
      <c r="Y22" s="1184"/>
      <c r="Z22" s="1184"/>
      <c r="AA22" s="1184"/>
      <c r="AB22" s="1184"/>
      <c r="AC22" s="1184"/>
      <c r="AD22" s="1184"/>
      <c r="AE22" s="1184"/>
      <c r="AF22" s="1184"/>
      <c r="AG22" s="1184"/>
      <c r="AH22" s="1184"/>
      <c r="AI22" s="1184"/>
      <c r="AJ22" s="1184"/>
      <c r="AK22" s="1184"/>
      <c r="AL22" s="1184"/>
      <c r="AM22" s="1184"/>
      <c r="AN22" s="1184"/>
      <c r="AO22" s="1184"/>
      <c r="AP22" s="1184"/>
      <c r="AQ22" s="1184"/>
      <c r="AR22" s="1208">
        <v>0</v>
      </c>
    </row>
    <row r="23" spans="1:44" s="1777" customFormat="1" ht="17.25" hidden="1" customHeight="1">
      <c r="A23" s="257"/>
      <c r="C23" s="145"/>
      <c r="D23" s="2074">
        <v>2</v>
      </c>
      <c r="E23" s="2082" t="s">
        <v>166</v>
      </c>
      <c r="F23" s="2084" t="s">
        <v>19</v>
      </c>
      <c r="G23" s="2082"/>
      <c r="H23" s="2087"/>
      <c r="I23" s="2089"/>
      <c r="J23" s="2091"/>
      <c r="K23" s="2076"/>
      <c r="L23" s="2076"/>
      <c r="M23" s="2076"/>
      <c r="N23" s="2078"/>
      <c r="O23" s="2076"/>
      <c r="P23" s="2076"/>
      <c r="Q23" s="2076"/>
      <c r="R23" s="2081"/>
      <c r="S23" s="2076"/>
      <c r="T23" s="1919"/>
      <c r="U23" s="1919"/>
      <c r="V23" s="1921"/>
      <c r="W23" s="1221"/>
      <c r="X23" s="1192"/>
      <c r="Y23" s="1192"/>
      <c r="Z23" s="1192"/>
      <c r="AA23" s="1192"/>
      <c r="AB23" s="1192"/>
      <c r="AC23" s="1192" t="s">
        <v>161</v>
      </c>
      <c r="AD23" s="1192" t="s">
        <v>162</v>
      </c>
      <c r="AE23" s="1192" t="s">
        <v>163</v>
      </c>
      <c r="AF23" s="1192" t="s">
        <v>164</v>
      </c>
      <c r="AG23" s="1192" t="s">
        <v>165</v>
      </c>
      <c r="AH23" s="1192" t="str">
        <f>IF($E$23=0,"",$E$23)</f>
        <v>Тарифы на тепловую энергию (мощность), поставляемую теплоснабжающими организациями потребителям, другим теплоснабжающим организациям</v>
      </c>
      <c r="AI23" s="1192" t="str">
        <f>IF($G$23=0,"",$G$23)</f>
        <v/>
      </c>
      <c r="AJ23" s="1192" t="str">
        <f>IF($J$23=0,"",$J$23)</f>
        <v/>
      </c>
      <c r="AK23" s="1192" t="str">
        <f>IF($K$23="нет","без дифференциации",IF($N$23=0,"",$N$23))</f>
        <v/>
      </c>
      <c r="AL23" s="1192" t="str">
        <f>IF($O$23="нет","без дифференциации",IF($R$23=0,"",$R$23))</f>
        <v/>
      </c>
      <c r="AM23" s="1192" t="str">
        <f>IF($S$23="нет","без дифференциации",IF($V$23=0,"",$V$23))</f>
        <v/>
      </c>
      <c r="AN23" s="1697">
        <f>$I$23</f>
        <v>0</v>
      </c>
      <c r="AO23" s="1192" t="str">
        <f>$I$23&amp;"."&amp;$M$23</f>
        <v>.</v>
      </c>
      <c r="AP23" s="1191" t="str">
        <f>$I$23&amp;"."&amp;$M$23&amp;"."&amp;$Q$23</f>
        <v>..</v>
      </c>
      <c r="AQ23" s="1191" t="str">
        <f>$I$23&amp;"."&amp;$M$23&amp;"."&amp;$Q$23&amp;"."&amp;$U$23</f>
        <v>...</v>
      </c>
      <c r="AR23" s="1392">
        <v>0</v>
      </c>
    </row>
    <row r="24" spans="1:44" s="1777" customFormat="1" ht="17.25" hidden="1" customHeight="1">
      <c r="A24" s="257"/>
      <c r="C24" s="256"/>
      <c r="D24" s="2074"/>
      <c r="E24" s="2082"/>
      <c r="F24" s="2085"/>
      <c r="G24" s="2082"/>
      <c r="H24" s="2088"/>
      <c r="I24" s="2090"/>
      <c r="J24" s="2092"/>
      <c r="K24" s="2077"/>
      <c r="L24" s="2077"/>
      <c r="M24" s="2077"/>
      <c r="N24" s="2079"/>
      <c r="O24" s="2077"/>
      <c r="P24" s="2077"/>
      <c r="Q24" s="2077"/>
      <c r="R24" s="2080"/>
      <c r="S24" s="2077"/>
      <c r="T24" s="1924"/>
      <c r="U24" s="1924"/>
      <c r="V24" s="1924"/>
      <c r="W24" s="1925"/>
      <c r="X24" s="1191"/>
      <c r="Y24" s="1191"/>
      <c r="Z24" s="1191"/>
      <c r="AA24" s="1191"/>
      <c r="AB24" s="1191"/>
      <c r="AC24" s="1191"/>
      <c r="AD24" s="1191"/>
      <c r="AE24" s="1191"/>
      <c r="AF24" s="1191"/>
      <c r="AG24" s="1191"/>
      <c r="AH24" s="1191"/>
      <c r="AI24" s="1191"/>
      <c r="AJ24" s="1191"/>
      <c r="AK24" s="1191"/>
      <c r="AL24" s="1191"/>
      <c r="AM24" s="1191"/>
      <c r="AN24" s="1191"/>
      <c r="AO24" s="1191"/>
      <c r="AP24" s="1191"/>
      <c r="AQ24" s="1191"/>
      <c r="AR24" s="1392">
        <v>0</v>
      </c>
    </row>
    <row r="25" spans="1:44" s="1777" customFormat="1" ht="17.25" hidden="1" customHeight="1">
      <c r="A25" s="257"/>
      <c r="C25" s="256"/>
      <c r="D25" s="2075"/>
      <c r="E25" s="2083"/>
      <c r="F25" s="2085"/>
      <c r="G25" s="2083"/>
      <c r="H25" s="2088"/>
      <c r="I25" s="2090"/>
      <c r="J25" s="2093"/>
      <c r="K25" s="2077"/>
      <c r="L25" s="2077"/>
      <c r="M25" s="2077"/>
      <c r="N25" s="2080"/>
      <c r="O25" s="2077"/>
      <c r="P25" s="1920"/>
      <c r="Q25" s="1924"/>
      <c r="R25" s="1924"/>
      <c r="S25" s="265"/>
      <c r="T25" s="265"/>
      <c r="U25" s="265"/>
      <c r="V25" s="265"/>
      <c r="W25" s="1925"/>
      <c r="X25" s="1191"/>
      <c r="Y25" s="1191"/>
      <c r="Z25" s="1191"/>
      <c r="AA25" s="1191"/>
      <c r="AB25" s="1191"/>
      <c r="AC25" s="1191"/>
      <c r="AD25" s="1191"/>
      <c r="AE25" s="1191"/>
      <c r="AF25" s="1191"/>
      <c r="AG25" s="1191"/>
      <c r="AH25" s="1191"/>
      <c r="AI25" s="1191"/>
      <c r="AJ25" s="1191"/>
      <c r="AK25" s="1191"/>
      <c r="AL25" s="1191"/>
      <c r="AM25" s="1191"/>
      <c r="AN25" s="1191"/>
      <c r="AO25" s="1191"/>
      <c r="AP25" s="1191"/>
      <c r="AQ25" s="1191"/>
      <c r="AR25" s="1392">
        <v>0</v>
      </c>
    </row>
    <row r="26" spans="1:44" s="1777" customFormat="1" ht="17.25" hidden="1" customHeight="1">
      <c r="A26" s="257"/>
      <c r="C26" s="256"/>
      <c r="D26" s="2075"/>
      <c r="E26" s="2083"/>
      <c r="F26" s="2085"/>
      <c r="G26" s="2083"/>
      <c r="H26" s="2088"/>
      <c r="I26" s="2090"/>
      <c r="J26" s="2093"/>
      <c r="K26" s="2077"/>
      <c r="L26" s="1924"/>
      <c r="M26" s="1924"/>
      <c r="N26" s="1924"/>
      <c r="O26" s="1924"/>
      <c r="P26" s="1924"/>
      <c r="Q26" s="1924"/>
      <c r="R26" s="1924"/>
      <c r="S26" s="265"/>
      <c r="T26" s="265"/>
      <c r="U26" s="265"/>
      <c r="V26" s="265"/>
      <c r="W26" s="1925"/>
      <c r="X26" s="1191"/>
      <c r="Y26" s="1191"/>
      <c r="Z26" s="1191"/>
      <c r="AA26" s="1191"/>
      <c r="AB26" s="1191"/>
      <c r="AC26" s="1191"/>
      <c r="AD26" s="1191"/>
      <c r="AE26" s="1191"/>
      <c r="AF26" s="1191"/>
      <c r="AG26" s="1191"/>
      <c r="AH26" s="1191"/>
      <c r="AI26" s="1191"/>
      <c r="AJ26" s="1191"/>
      <c r="AK26" s="1191"/>
      <c r="AL26" s="1191"/>
      <c r="AM26" s="1191"/>
      <c r="AN26" s="1191"/>
      <c r="AO26" s="1191"/>
      <c r="AP26" s="1191"/>
      <c r="AQ26" s="1191"/>
      <c r="AR26" s="1392">
        <v>0</v>
      </c>
    </row>
    <row r="27" spans="1:44" s="1777" customFormat="1" ht="17.25" hidden="1" customHeight="1">
      <c r="A27" s="257"/>
      <c r="C27" s="256"/>
      <c r="D27" s="2075"/>
      <c r="E27" s="2083"/>
      <c r="F27" s="2086"/>
      <c r="G27" s="2083"/>
      <c r="H27" s="1224"/>
      <c r="I27" s="1922"/>
      <c r="J27" s="1922"/>
      <c r="K27" s="1922"/>
      <c r="L27" s="1922"/>
      <c r="M27" s="1922"/>
      <c r="N27" s="1922"/>
      <c r="O27" s="1922"/>
      <c r="P27" s="1922"/>
      <c r="Q27" s="1922"/>
      <c r="R27" s="1922"/>
      <c r="S27" s="1226"/>
      <c r="T27" s="1226"/>
      <c r="U27" s="1226"/>
      <c r="V27" s="1226"/>
      <c r="W27" s="1923"/>
      <c r="X27" s="1191"/>
      <c r="Y27" s="1191"/>
      <c r="Z27" s="1191"/>
      <c r="AA27" s="1191"/>
      <c r="AB27" s="1191"/>
      <c r="AC27" s="1191"/>
      <c r="AD27" s="1191"/>
      <c r="AE27" s="1191"/>
      <c r="AF27" s="1191"/>
      <c r="AG27" s="1191"/>
      <c r="AH27" s="1191"/>
      <c r="AI27" s="1191"/>
      <c r="AJ27" s="1191"/>
      <c r="AK27" s="1191"/>
      <c r="AL27" s="1191"/>
      <c r="AM27" s="1191"/>
      <c r="AN27" s="1191"/>
      <c r="AO27" s="1191"/>
      <c r="AP27" s="1191"/>
      <c r="AQ27" s="1191"/>
      <c r="AR27" s="1392">
        <v>0</v>
      </c>
    </row>
    <row r="28" spans="1:44" s="1777" customFormat="1" ht="17.25" hidden="1" customHeight="1">
      <c r="A28" s="257"/>
      <c r="C28" s="145"/>
      <c r="D28" s="2074">
        <v>3</v>
      </c>
      <c r="E28" s="2082" t="s">
        <v>167</v>
      </c>
      <c r="F28" s="2084" t="s">
        <v>19</v>
      </c>
      <c r="G28" s="2082"/>
      <c r="H28" s="2087"/>
      <c r="I28" s="2089"/>
      <c r="J28" s="2091"/>
      <c r="K28" s="2076"/>
      <c r="L28" s="2076"/>
      <c r="M28" s="2076"/>
      <c r="N28" s="2078"/>
      <c r="O28" s="2076"/>
      <c r="P28" s="2076"/>
      <c r="Q28" s="2076"/>
      <c r="R28" s="2081"/>
      <c r="S28" s="2076"/>
      <c r="T28" s="1345"/>
      <c r="U28" s="1345"/>
      <c r="V28" s="1344"/>
      <c r="W28" s="1221"/>
      <c r="X28" s="1192"/>
      <c r="Y28" s="1192"/>
      <c r="Z28" s="1192"/>
      <c r="AA28" s="1192"/>
      <c r="AB28" s="1192"/>
      <c r="AC28" s="1192" t="s">
        <v>168</v>
      </c>
      <c r="AD28" s="1192" t="s">
        <v>169</v>
      </c>
      <c r="AE28" s="1192" t="s">
        <v>170</v>
      </c>
      <c r="AF28" s="1192" t="s">
        <v>171</v>
      </c>
      <c r="AG28" s="1192" t="s">
        <v>172</v>
      </c>
      <c r="AH28" s="1192" t="str">
        <f>IF($E$28=0,"",$E$28)</f>
        <v>Тарифы на теплоноситель, поставляемый теплоснабжающими организациями потребителям, другим теплоснабжающим организациям</v>
      </c>
      <c r="AI28" s="1192" t="str">
        <f>IF($G$28=0,"",$G$28)</f>
        <v/>
      </c>
      <c r="AJ28" s="1192" t="str">
        <f>IF($J$28=0,"",$J$28)</f>
        <v/>
      </c>
      <c r="AK28" s="1192" t="str">
        <f>IF($K$28="нет","без дифференциации",IF($N$28=0,"",$N$28))</f>
        <v/>
      </c>
      <c r="AL28" s="1192" t="str">
        <f>IF($O$28="нет","без дифференциации",IF($R$28=0,"",$R$28))</f>
        <v/>
      </c>
      <c r="AM28" s="1192" t="str">
        <f>IF($S$28="нет","без дифференциации",IF($V$28=0,"",$V$28))</f>
        <v/>
      </c>
      <c r="AN28" s="1697">
        <f>$I$28</f>
        <v>0</v>
      </c>
      <c r="AO28" s="1192" t="str">
        <f>$I$28&amp;"."&amp;$M$28</f>
        <v>.</v>
      </c>
      <c r="AP28" s="1184" t="str">
        <f>$I$28&amp;"."&amp;$M$28&amp;"."&amp;$Q$28</f>
        <v>..</v>
      </c>
      <c r="AQ28" s="1184" t="str">
        <f>$I$28&amp;"."&amp;$M$28&amp;"."&amp;$Q$28&amp;"."&amp;$U$28</f>
        <v>...</v>
      </c>
      <c r="AR28" s="1208">
        <v>0</v>
      </c>
    </row>
    <row r="29" spans="1:44" s="1777" customFormat="1" ht="17.25" hidden="1" customHeight="1">
      <c r="A29" s="257"/>
      <c r="C29" s="256"/>
      <c r="D29" s="2074"/>
      <c r="E29" s="2082"/>
      <c r="F29" s="2085"/>
      <c r="G29" s="2082"/>
      <c r="H29" s="2088"/>
      <c r="I29" s="2090"/>
      <c r="J29" s="2092"/>
      <c r="K29" s="2077"/>
      <c r="L29" s="2077"/>
      <c r="M29" s="2077"/>
      <c r="N29" s="2079"/>
      <c r="O29" s="2077"/>
      <c r="P29" s="2077"/>
      <c r="Q29" s="2077"/>
      <c r="R29" s="2080"/>
      <c r="S29" s="2077"/>
      <c r="T29" s="1222"/>
      <c r="U29" s="1222"/>
      <c r="V29" s="1222"/>
      <c r="W29" s="1223"/>
      <c r="X29" s="1184"/>
      <c r="Y29" s="1184"/>
      <c r="Z29" s="1184"/>
      <c r="AA29" s="1184"/>
      <c r="AB29" s="1184"/>
      <c r="AC29" s="1184"/>
      <c r="AD29" s="1184"/>
      <c r="AE29" s="1184"/>
      <c r="AF29" s="1184"/>
      <c r="AG29" s="1184"/>
      <c r="AH29" s="1184"/>
      <c r="AI29" s="1184"/>
      <c r="AJ29" s="1184"/>
      <c r="AK29" s="1184"/>
      <c r="AL29" s="1184"/>
      <c r="AM29" s="1184"/>
      <c r="AN29" s="1184"/>
      <c r="AO29" s="1184"/>
      <c r="AP29" s="1184"/>
      <c r="AQ29" s="1184"/>
      <c r="AR29" s="1208">
        <v>0</v>
      </c>
    </row>
    <row r="30" spans="1:44" s="1777" customFormat="1" ht="17.25" hidden="1" customHeight="1">
      <c r="A30" s="257"/>
      <c r="C30" s="256"/>
      <c r="D30" s="2075"/>
      <c r="E30" s="2083"/>
      <c r="F30" s="2085"/>
      <c r="G30" s="2083"/>
      <c r="H30" s="2088"/>
      <c r="I30" s="2090"/>
      <c r="J30" s="2093"/>
      <c r="K30" s="2077"/>
      <c r="L30" s="2077"/>
      <c r="M30" s="2077"/>
      <c r="N30" s="2080"/>
      <c r="O30" s="2077"/>
      <c r="P30" s="1343"/>
      <c r="Q30" s="1222"/>
      <c r="R30" s="1222"/>
      <c r="S30" s="265"/>
      <c r="T30" s="265"/>
      <c r="U30" s="265"/>
      <c r="V30" s="265"/>
      <c r="W30" s="1223"/>
      <c r="X30" s="1184"/>
      <c r="Y30" s="1184"/>
      <c r="Z30" s="1184"/>
      <c r="AA30" s="1184"/>
      <c r="AB30" s="1184"/>
      <c r="AC30" s="1184"/>
      <c r="AD30" s="1184"/>
      <c r="AE30" s="1184"/>
      <c r="AF30" s="1184"/>
      <c r="AG30" s="1184"/>
      <c r="AH30" s="1184"/>
      <c r="AI30" s="1184"/>
      <c r="AJ30" s="1184"/>
      <c r="AK30" s="1184"/>
      <c r="AL30" s="1184"/>
      <c r="AM30" s="1184"/>
      <c r="AN30" s="1184"/>
      <c r="AO30" s="1184"/>
      <c r="AP30" s="1184"/>
      <c r="AQ30" s="1184"/>
      <c r="AR30" s="1208">
        <v>0</v>
      </c>
    </row>
    <row r="31" spans="1:44" s="1777" customFormat="1" ht="17.25" hidden="1" customHeight="1">
      <c r="A31" s="257"/>
      <c r="C31" s="256"/>
      <c r="D31" s="2075"/>
      <c r="E31" s="2083"/>
      <c r="F31" s="2085"/>
      <c r="G31" s="2083"/>
      <c r="H31" s="2088"/>
      <c r="I31" s="2090"/>
      <c r="J31" s="2093"/>
      <c r="K31" s="2077"/>
      <c r="L31" s="1222"/>
      <c r="M31" s="1222"/>
      <c r="N31" s="1222"/>
      <c r="O31" s="1222"/>
      <c r="P31" s="1222"/>
      <c r="Q31" s="1222"/>
      <c r="R31" s="1222"/>
      <c r="S31" s="265"/>
      <c r="T31" s="265"/>
      <c r="U31" s="265"/>
      <c r="V31" s="265"/>
      <c r="W31" s="1223"/>
      <c r="X31" s="1184"/>
      <c r="Y31" s="1184"/>
      <c r="Z31" s="1184"/>
      <c r="AA31" s="1184"/>
      <c r="AB31" s="1184"/>
      <c r="AC31" s="1184"/>
      <c r="AD31" s="1184"/>
      <c r="AE31" s="1184"/>
      <c r="AF31" s="1184"/>
      <c r="AG31" s="1184"/>
      <c r="AH31" s="1184"/>
      <c r="AI31" s="1184"/>
      <c r="AJ31" s="1184"/>
      <c r="AK31" s="1184"/>
      <c r="AL31" s="1184"/>
      <c r="AM31" s="1184"/>
      <c r="AN31" s="1184"/>
      <c r="AO31" s="1184"/>
      <c r="AP31" s="1184"/>
      <c r="AQ31" s="1184"/>
      <c r="AR31" s="1208">
        <v>0</v>
      </c>
    </row>
    <row r="32" spans="1:44" s="1777" customFormat="1" ht="17.25" hidden="1" customHeight="1">
      <c r="A32" s="257"/>
      <c r="C32" s="256"/>
      <c r="D32" s="2075"/>
      <c r="E32" s="2083"/>
      <c r="F32" s="2086"/>
      <c r="G32" s="2083"/>
      <c r="H32" s="1224"/>
      <c r="I32" s="1225"/>
      <c r="J32" s="1225"/>
      <c r="K32" s="1225"/>
      <c r="L32" s="1225"/>
      <c r="M32" s="1225"/>
      <c r="N32" s="1225"/>
      <c r="O32" s="1225"/>
      <c r="P32" s="1225"/>
      <c r="Q32" s="1225"/>
      <c r="R32" s="1225"/>
      <c r="S32" s="1226"/>
      <c r="T32" s="1226"/>
      <c r="U32" s="1226"/>
      <c r="V32" s="1226"/>
      <c r="W32" s="1227"/>
      <c r="X32" s="1184"/>
      <c r="Y32" s="1184"/>
      <c r="Z32" s="1184"/>
      <c r="AA32" s="1184"/>
      <c r="AB32" s="1184"/>
      <c r="AC32" s="1184"/>
      <c r="AD32" s="1184"/>
      <c r="AE32" s="1184"/>
      <c r="AF32" s="1184"/>
      <c r="AG32" s="1184"/>
      <c r="AH32" s="1184"/>
      <c r="AI32" s="1184"/>
      <c r="AJ32" s="1184"/>
      <c r="AK32" s="1184"/>
      <c r="AL32" s="1184"/>
      <c r="AM32" s="1184"/>
      <c r="AN32" s="1184"/>
      <c r="AO32" s="1184"/>
      <c r="AP32" s="1184"/>
      <c r="AQ32" s="1184"/>
      <c r="AR32" s="1208">
        <v>0</v>
      </c>
    </row>
    <row r="33" spans="1:44" s="1777" customFormat="1" ht="17.25" hidden="1" customHeight="1">
      <c r="A33" s="257"/>
      <c r="C33" s="145"/>
      <c r="D33" s="2074">
        <v>4</v>
      </c>
      <c r="E33" s="2082" t="s">
        <v>173</v>
      </c>
      <c r="F33" s="2084" t="s">
        <v>19</v>
      </c>
      <c r="G33" s="2082"/>
      <c r="H33" s="2087"/>
      <c r="I33" s="2089"/>
      <c r="J33" s="2091"/>
      <c r="K33" s="2076"/>
      <c r="L33" s="2076"/>
      <c r="M33" s="2076"/>
      <c r="N33" s="2078"/>
      <c r="O33" s="2076"/>
      <c r="P33" s="2076"/>
      <c r="Q33" s="2076"/>
      <c r="R33" s="2081"/>
      <c r="S33" s="2076"/>
      <c r="T33" s="1345"/>
      <c r="U33" s="1345"/>
      <c r="V33" s="1344"/>
      <c r="W33" s="1221"/>
      <c r="X33" s="1192"/>
      <c r="Y33" s="1192"/>
      <c r="Z33" s="1192"/>
      <c r="AA33" s="1192"/>
      <c r="AB33" s="1192"/>
      <c r="AC33" s="1192" t="s">
        <v>174</v>
      </c>
      <c r="AD33" s="1192" t="s">
        <v>175</v>
      </c>
      <c r="AE33" s="1192" t="s">
        <v>176</v>
      </c>
      <c r="AF33" s="1192" t="s">
        <v>177</v>
      </c>
      <c r="AG33" s="1192" t="s">
        <v>178</v>
      </c>
      <c r="AH33" s="1192" t="str">
        <f>IF($E$33=0,"",$E$33)</f>
        <v>Тарифы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v>
      </c>
      <c r="AI33" s="1192" t="str">
        <f>IF($G$33=0,"",$G$33)</f>
        <v/>
      </c>
      <c r="AJ33" s="1192" t="str">
        <f>IF($J$33=0,"",$J$33)</f>
        <v/>
      </c>
      <c r="AK33" s="1192" t="str">
        <f>IF($K$33="нет","без дифференциации",IF($N$33=0,"",$N$33))</f>
        <v/>
      </c>
      <c r="AL33" s="1192" t="str">
        <f>IF($O$33="нет","без дифференциации",IF($R$33=0,"",$R$33))</f>
        <v/>
      </c>
      <c r="AM33" s="1192" t="str">
        <f>IF($S$33="нет","без дифференциации",IF($V$33=0,"",$V$33))</f>
        <v/>
      </c>
      <c r="AN33" s="1697">
        <f>$I$33</f>
        <v>0</v>
      </c>
      <c r="AO33" s="1192" t="str">
        <f>$I$33&amp;"."&amp;$M$33</f>
        <v>.</v>
      </c>
      <c r="AP33" s="1184" t="str">
        <f>$I$33&amp;"."&amp;$M$33&amp;"."&amp;$Q$33</f>
        <v>..</v>
      </c>
      <c r="AQ33" s="1184" t="str">
        <f>$I$33&amp;"."&amp;$M$33&amp;"."&amp;$Q$33&amp;"."&amp;$U$33</f>
        <v>...</v>
      </c>
      <c r="AR33" s="1208">
        <v>0</v>
      </c>
    </row>
    <row r="34" spans="1:44" s="1777" customFormat="1" ht="17.25" hidden="1" customHeight="1">
      <c r="A34" s="257"/>
      <c r="C34" s="256"/>
      <c r="D34" s="2074"/>
      <c r="E34" s="2082"/>
      <c r="F34" s="2085"/>
      <c r="G34" s="2082"/>
      <c r="H34" s="2088"/>
      <c r="I34" s="2090"/>
      <c r="J34" s="2092"/>
      <c r="K34" s="2077"/>
      <c r="L34" s="2077"/>
      <c r="M34" s="2077"/>
      <c r="N34" s="2079"/>
      <c r="O34" s="2077"/>
      <c r="P34" s="2077"/>
      <c r="Q34" s="2077"/>
      <c r="R34" s="2080"/>
      <c r="S34" s="2077"/>
      <c r="T34" s="1222"/>
      <c r="U34" s="1222"/>
      <c r="V34" s="1222"/>
      <c r="W34" s="1223"/>
      <c r="X34" s="1184"/>
      <c r="Y34" s="1184"/>
      <c r="Z34" s="1184"/>
      <c r="AA34" s="1184"/>
      <c r="AB34" s="1184"/>
      <c r="AC34" s="1184"/>
      <c r="AD34" s="1184"/>
      <c r="AE34" s="1184"/>
      <c r="AF34" s="1184"/>
      <c r="AG34" s="1184"/>
      <c r="AH34" s="1184"/>
      <c r="AI34" s="1184"/>
      <c r="AJ34" s="1184"/>
      <c r="AK34" s="1184"/>
      <c r="AL34" s="1184"/>
      <c r="AM34" s="1184"/>
      <c r="AN34" s="1184"/>
      <c r="AO34" s="1184"/>
      <c r="AP34" s="1184"/>
      <c r="AQ34" s="1184"/>
      <c r="AR34" s="1208">
        <v>0</v>
      </c>
    </row>
    <row r="35" spans="1:44" s="1777" customFormat="1" ht="17.25" hidden="1" customHeight="1">
      <c r="A35" s="257"/>
      <c r="C35" s="256"/>
      <c r="D35" s="2075"/>
      <c r="E35" s="2083"/>
      <c r="F35" s="2085"/>
      <c r="G35" s="2083"/>
      <c r="H35" s="2088"/>
      <c r="I35" s="2090"/>
      <c r="J35" s="2093"/>
      <c r="K35" s="2077"/>
      <c r="L35" s="2077"/>
      <c r="M35" s="2077"/>
      <c r="N35" s="2080"/>
      <c r="O35" s="2077"/>
      <c r="P35" s="1343"/>
      <c r="Q35" s="1222"/>
      <c r="R35" s="1222"/>
      <c r="S35" s="265"/>
      <c r="T35" s="265"/>
      <c r="U35" s="265"/>
      <c r="V35" s="265"/>
      <c r="W35" s="1223"/>
      <c r="X35" s="1184"/>
      <c r="Y35" s="1184"/>
      <c r="Z35" s="1184"/>
      <c r="AA35" s="1184"/>
      <c r="AB35" s="1184"/>
      <c r="AC35" s="1184"/>
      <c r="AD35" s="1184"/>
      <c r="AE35" s="1184"/>
      <c r="AF35" s="1184"/>
      <c r="AG35" s="1184"/>
      <c r="AH35" s="1184"/>
      <c r="AI35" s="1184"/>
      <c r="AJ35" s="1184"/>
      <c r="AK35" s="1184"/>
      <c r="AL35" s="1184"/>
      <c r="AM35" s="1184"/>
      <c r="AN35" s="1184"/>
      <c r="AO35" s="1184"/>
      <c r="AP35" s="1184"/>
      <c r="AQ35" s="1184"/>
      <c r="AR35" s="1208">
        <v>0</v>
      </c>
    </row>
    <row r="36" spans="1:44" s="1777" customFormat="1" ht="17.25" hidden="1" customHeight="1">
      <c r="A36" s="257"/>
      <c r="C36" s="256"/>
      <c r="D36" s="2075"/>
      <c r="E36" s="2083"/>
      <c r="F36" s="2085"/>
      <c r="G36" s="2083"/>
      <c r="H36" s="2088"/>
      <c r="I36" s="2090"/>
      <c r="J36" s="2093"/>
      <c r="K36" s="2077"/>
      <c r="L36" s="1222"/>
      <c r="M36" s="1222"/>
      <c r="N36" s="1222"/>
      <c r="O36" s="1222"/>
      <c r="P36" s="1222"/>
      <c r="Q36" s="1222"/>
      <c r="R36" s="1222"/>
      <c r="S36" s="265"/>
      <c r="T36" s="265"/>
      <c r="U36" s="265"/>
      <c r="V36" s="265"/>
      <c r="W36" s="1223"/>
      <c r="X36" s="1184"/>
      <c r="Y36" s="1184"/>
      <c r="Z36" s="1184"/>
      <c r="AA36" s="1184"/>
      <c r="AB36" s="1184"/>
      <c r="AC36" s="1184"/>
      <c r="AD36" s="1184"/>
      <c r="AE36" s="1184"/>
      <c r="AF36" s="1184"/>
      <c r="AG36" s="1184"/>
      <c r="AH36" s="1184"/>
      <c r="AI36" s="1184"/>
      <c r="AJ36" s="1184"/>
      <c r="AK36" s="1184"/>
      <c r="AL36" s="1184"/>
      <c r="AM36" s="1184"/>
      <c r="AN36" s="1184"/>
      <c r="AO36" s="1184"/>
      <c r="AP36" s="1184"/>
      <c r="AQ36" s="1184"/>
      <c r="AR36" s="1208">
        <v>0</v>
      </c>
    </row>
    <row r="37" spans="1:44" s="1777" customFormat="1" ht="17.25" hidden="1" customHeight="1">
      <c r="A37" s="257"/>
      <c r="C37" s="256"/>
      <c r="D37" s="2075"/>
      <c r="E37" s="2083"/>
      <c r="F37" s="2086"/>
      <c r="G37" s="2083"/>
      <c r="H37" s="1224"/>
      <c r="I37" s="1225"/>
      <c r="J37" s="1225"/>
      <c r="K37" s="1225"/>
      <c r="L37" s="1225"/>
      <c r="M37" s="1225"/>
      <c r="N37" s="1225"/>
      <c r="O37" s="1225"/>
      <c r="P37" s="1225"/>
      <c r="Q37" s="1225"/>
      <c r="R37" s="1225"/>
      <c r="S37" s="1226"/>
      <c r="T37" s="1226"/>
      <c r="U37" s="1226"/>
      <c r="V37" s="1226"/>
      <c r="W37" s="1227"/>
      <c r="X37" s="1184"/>
      <c r="Y37" s="1184"/>
      <c r="Z37" s="1184"/>
      <c r="AA37" s="1184"/>
      <c r="AB37" s="1184"/>
      <c r="AC37" s="1184"/>
      <c r="AD37" s="1184"/>
      <c r="AE37" s="1184"/>
      <c r="AF37" s="1184"/>
      <c r="AG37" s="1184"/>
      <c r="AH37" s="1184"/>
      <c r="AI37" s="1184"/>
      <c r="AJ37" s="1184"/>
      <c r="AK37" s="1184"/>
      <c r="AL37" s="1184"/>
      <c r="AM37" s="1184"/>
      <c r="AN37" s="1184"/>
      <c r="AO37" s="1184"/>
      <c r="AP37" s="1184"/>
      <c r="AQ37" s="1184"/>
      <c r="AR37" s="1208">
        <v>0</v>
      </c>
    </row>
    <row r="38" spans="1:44" s="1777" customFormat="1" ht="17.25" hidden="1" customHeight="1">
      <c r="A38" s="257"/>
      <c r="C38" s="145"/>
      <c r="D38" s="2074">
        <v>5</v>
      </c>
      <c r="E38" s="2082" t="s">
        <v>179</v>
      </c>
      <c r="F38" s="2084" t="s">
        <v>19</v>
      </c>
      <c r="G38" s="2082"/>
      <c r="H38" s="2087"/>
      <c r="I38" s="2089"/>
      <c r="J38" s="2091"/>
      <c r="K38" s="2076"/>
      <c r="L38" s="2076"/>
      <c r="M38" s="2076"/>
      <c r="N38" s="2078"/>
      <c r="O38" s="2076"/>
      <c r="P38" s="2076"/>
      <c r="Q38" s="2076"/>
      <c r="R38" s="2081"/>
      <c r="S38" s="2076"/>
      <c r="T38" s="1345"/>
      <c r="U38" s="1345"/>
      <c r="V38" s="1344"/>
      <c r="W38" s="1221"/>
      <c r="X38" s="1192"/>
      <c r="Y38" s="1192"/>
      <c r="Z38" s="1192"/>
      <c r="AA38" s="1192"/>
      <c r="AB38" s="1192"/>
      <c r="AC38" s="1192" t="s">
        <v>180</v>
      </c>
      <c r="AD38" s="1192" t="s">
        <v>181</v>
      </c>
      <c r="AE38" s="1192" t="s">
        <v>182</v>
      </c>
      <c r="AF38" s="1192" t="s">
        <v>183</v>
      </c>
      <c r="AG38" s="1192" t="s">
        <v>184</v>
      </c>
      <c r="AH38" s="1192" t="str">
        <f>IF($E$38=0,"",$E$38)</f>
        <v>Тарифы на услуги по передаче тепловой энергии</v>
      </c>
      <c r="AI38" s="1192" t="str">
        <f>IF($G$38=0,"",$G$38)</f>
        <v/>
      </c>
      <c r="AJ38" s="1192" t="str">
        <f>IF($J$38=0,"",$J$38)</f>
        <v/>
      </c>
      <c r="AK38" s="1192" t="str">
        <f>IF($K$38="нет","без дифференциации",IF($N$38=0,"",$N$38))</f>
        <v/>
      </c>
      <c r="AL38" s="1192" t="str">
        <f>IF($O$38="нет","без дифференциации",IF($R$38=0,"",$R$38))</f>
        <v/>
      </c>
      <c r="AM38" s="1192" t="str">
        <f>IF($S$38="нет","без дифференциации",IF($V$38=0,"",$V$38))</f>
        <v/>
      </c>
      <c r="AN38" s="1697">
        <f>$I$38</f>
        <v>0</v>
      </c>
      <c r="AO38" s="1192" t="str">
        <f>$I$38&amp;"."&amp;$M$38</f>
        <v>.</v>
      </c>
      <c r="AP38" s="1184" t="str">
        <f>$I$38&amp;"."&amp;$M$38&amp;"."&amp;$Q$38</f>
        <v>..</v>
      </c>
      <c r="AQ38" s="1184" t="str">
        <f>$I$38&amp;"."&amp;$M$38&amp;"."&amp;$Q$38&amp;"."&amp;$U$38</f>
        <v>...</v>
      </c>
      <c r="AR38" s="1208">
        <v>0</v>
      </c>
    </row>
    <row r="39" spans="1:44" s="1777" customFormat="1" ht="17.25" hidden="1" customHeight="1">
      <c r="A39" s="257"/>
      <c r="C39" s="256"/>
      <c r="D39" s="2074"/>
      <c r="E39" s="2082"/>
      <c r="F39" s="2085"/>
      <c r="G39" s="2082"/>
      <c r="H39" s="2088"/>
      <c r="I39" s="2090"/>
      <c r="J39" s="2092"/>
      <c r="K39" s="2077"/>
      <c r="L39" s="2077"/>
      <c r="M39" s="2077"/>
      <c r="N39" s="2079"/>
      <c r="O39" s="2077"/>
      <c r="P39" s="2077"/>
      <c r="Q39" s="2077"/>
      <c r="R39" s="2080"/>
      <c r="S39" s="2077"/>
      <c r="T39" s="1222"/>
      <c r="U39" s="1222"/>
      <c r="V39" s="1222"/>
      <c r="W39" s="1223"/>
      <c r="X39" s="1184"/>
      <c r="Y39" s="1184"/>
      <c r="Z39" s="1184"/>
      <c r="AA39" s="1184"/>
      <c r="AB39" s="1184"/>
      <c r="AC39" s="1184"/>
      <c r="AD39" s="1184"/>
      <c r="AE39" s="1184"/>
      <c r="AF39" s="1184"/>
      <c r="AG39" s="1184"/>
      <c r="AH39" s="1184"/>
      <c r="AI39" s="1184"/>
      <c r="AJ39" s="1184"/>
      <c r="AK39" s="1184"/>
      <c r="AL39" s="1184"/>
      <c r="AM39" s="1184"/>
      <c r="AN39" s="1184"/>
      <c r="AO39" s="1184"/>
      <c r="AP39" s="1184"/>
      <c r="AQ39" s="1184"/>
      <c r="AR39" s="1208">
        <v>0</v>
      </c>
    </row>
    <row r="40" spans="1:44" s="1777" customFormat="1" ht="17.25" hidden="1" customHeight="1">
      <c r="A40" s="257"/>
      <c r="C40" s="256"/>
      <c r="D40" s="2075"/>
      <c r="E40" s="2083"/>
      <c r="F40" s="2085"/>
      <c r="G40" s="2083"/>
      <c r="H40" s="2088"/>
      <c r="I40" s="2090"/>
      <c r="J40" s="2093"/>
      <c r="K40" s="2077"/>
      <c r="L40" s="2077"/>
      <c r="M40" s="2077"/>
      <c r="N40" s="2080"/>
      <c r="O40" s="2077"/>
      <c r="P40" s="1343"/>
      <c r="Q40" s="1222"/>
      <c r="R40" s="1222"/>
      <c r="S40" s="265"/>
      <c r="T40" s="265"/>
      <c r="U40" s="265"/>
      <c r="V40" s="265"/>
      <c r="W40" s="1223"/>
      <c r="X40" s="1184"/>
      <c r="Y40" s="1184"/>
      <c r="Z40" s="1184"/>
      <c r="AA40" s="1184"/>
      <c r="AB40" s="1184"/>
      <c r="AC40" s="1184"/>
      <c r="AD40" s="1184"/>
      <c r="AE40" s="1184"/>
      <c r="AF40" s="1184"/>
      <c r="AG40" s="1184"/>
      <c r="AH40" s="1184"/>
      <c r="AI40" s="1184"/>
      <c r="AJ40" s="1184"/>
      <c r="AK40" s="1184"/>
      <c r="AL40" s="1184"/>
      <c r="AM40" s="1184"/>
      <c r="AN40" s="1184"/>
      <c r="AO40" s="1184"/>
      <c r="AP40" s="1184"/>
      <c r="AQ40" s="1184"/>
      <c r="AR40" s="1208">
        <v>0</v>
      </c>
    </row>
    <row r="41" spans="1:44" s="1777" customFormat="1" ht="17.25" hidden="1" customHeight="1">
      <c r="A41" s="257"/>
      <c r="C41" s="256"/>
      <c r="D41" s="2075"/>
      <c r="E41" s="2083"/>
      <c r="F41" s="2085"/>
      <c r="G41" s="2083"/>
      <c r="H41" s="2088"/>
      <c r="I41" s="2090"/>
      <c r="J41" s="2093"/>
      <c r="K41" s="2077"/>
      <c r="L41" s="1222"/>
      <c r="M41" s="1222"/>
      <c r="N41" s="1222"/>
      <c r="O41" s="1222"/>
      <c r="P41" s="1222"/>
      <c r="Q41" s="1222"/>
      <c r="R41" s="1222"/>
      <c r="S41" s="265"/>
      <c r="T41" s="265"/>
      <c r="U41" s="265"/>
      <c r="V41" s="265"/>
      <c r="W41" s="1223"/>
      <c r="X41" s="1184"/>
      <c r="Y41" s="1184"/>
      <c r="Z41" s="1184"/>
      <c r="AA41" s="1184"/>
      <c r="AB41" s="1184"/>
      <c r="AC41" s="1184"/>
      <c r="AD41" s="1184"/>
      <c r="AE41" s="1184"/>
      <c r="AF41" s="1184"/>
      <c r="AG41" s="1184"/>
      <c r="AH41" s="1184"/>
      <c r="AI41" s="1184"/>
      <c r="AJ41" s="1184"/>
      <c r="AK41" s="1184"/>
      <c r="AL41" s="1184"/>
      <c r="AM41" s="1184"/>
      <c r="AN41" s="1184"/>
      <c r="AO41" s="1184"/>
      <c r="AP41" s="1184"/>
      <c r="AQ41" s="1184"/>
      <c r="AR41" s="1208">
        <v>0</v>
      </c>
    </row>
    <row r="42" spans="1:44" s="1777" customFormat="1" ht="17.25" hidden="1" customHeight="1">
      <c r="A42" s="257"/>
      <c r="C42" s="256"/>
      <c r="D42" s="2075"/>
      <c r="E42" s="2083"/>
      <c r="F42" s="2086"/>
      <c r="G42" s="2083"/>
      <c r="H42" s="1224"/>
      <c r="I42" s="1225"/>
      <c r="J42" s="1225"/>
      <c r="K42" s="1225"/>
      <c r="L42" s="1225"/>
      <c r="M42" s="1225"/>
      <c r="N42" s="1225"/>
      <c r="O42" s="1225"/>
      <c r="P42" s="1225"/>
      <c r="Q42" s="1225"/>
      <c r="R42" s="1225"/>
      <c r="S42" s="1226"/>
      <c r="T42" s="1226"/>
      <c r="U42" s="1226"/>
      <c r="V42" s="1226"/>
      <c r="W42" s="1227"/>
      <c r="X42" s="1184"/>
      <c r="Y42" s="1184"/>
      <c r="Z42" s="1184"/>
      <c r="AA42" s="1184"/>
      <c r="AB42" s="1184"/>
      <c r="AC42" s="1184"/>
      <c r="AD42" s="1184"/>
      <c r="AE42" s="1184"/>
      <c r="AF42" s="1184"/>
      <c r="AG42" s="1184"/>
      <c r="AH42" s="1184"/>
      <c r="AI42" s="1184"/>
      <c r="AJ42" s="1184"/>
      <c r="AK42" s="1184"/>
      <c r="AL42" s="1184"/>
      <c r="AM42" s="1184"/>
      <c r="AN42" s="1184"/>
      <c r="AO42" s="1184"/>
      <c r="AP42" s="1184"/>
      <c r="AQ42" s="1184"/>
      <c r="AR42" s="1208">
        <v>0</v>
      </c>
    </row>
    <row r="43" spans="1:44" s="1777" customFormat="1" ht="17.25" hidden="1" customHeight="1">
      <c r="A43" s="257"/>
      <c r="C43" s="145"/>
      <c r="D43" s="2074">
        <v>6</v>
      </c>
      <c r="E43" s="2082" t="s">
        <v>185</v>
      </c>
      <c r="F43" s="2084" t="s">
        <v>19</v>
      </c>
      <c r="G43" s="2082"/>
      <c r="H43" s="2087"/>
      <c r="I43" s="2089"/>
      <c r="J43" s="2091"/>
      <c r="K43" s="2076"/>
      <c r="L43" s="2076"/>
      <c r="M43" s="2076"/>
      <c r="N43" s="2078"/>
      <c r="O43" s="2076"/>
      <c r="P43" s="2076"/>
      <c r="Q43" s="2076"/>
      <c r="R43" s="2081"/>
      <c r="S43" s="2076"/>
      <c r="T43" s="1345"/>
      <c r="U43" s="1345"/>
      <c r="V43" s="1344"/>
      <c r="W43" s="1221"/>
      <c r="X43" s="1192"/>
      <c r="Y43" s="1192"/>
      <c r="Z43" s="1192"/>
      <c r="AA43" s="1192"/>
      <c r="AB43" s="1192"/>
      <c r="AC43" s="1192" t="s">
        <v>186</v>
      </c>
      <c r="AD43" s="1192" t="s">
        <v>187</v>
      </c>
      <c r="AE43" s="1192" t="s">
        <v>188</v>
      </c>
      <c r="AF43" s="1192" t="s">
        <v>189</v>
      </c>
      <c r="AG43" s="1192" t="s">
        <v>190</v>
      </c>
      <c r="AH43" s="1192" t="str">
        <f>IF($E$43=0,"",$E$43)</f>
        <v>Тарифы на услуги по передаче теплоносителя</v>
      </c>
      <c r="AI43" s="1192" t="str">
        <f>IF($G$43=0,"",$G$43)</f>
        <v/>
      </c>
      <c r="AJ43" s="1192" t="str">
        <f>IF($J$43=0,"",$J$43)</f>
        <v/>
      </c>
      <c r="AK43" s="1192" t="str">
        <f>IF($K$43="нет","без дифференциации",IF($N$43=0,"",$N$43))</f>
        <v/>
      </c>
      <c r="AL43" s="1192" t="str">
        <f>IF($O$43="нет","без дифференциации",IF($R$43=0,"",$R$43))</f>
        <v/>
      </c>
      <c r="AM43" s="1192" t="str">
        <f>IF($S$43="нет","без дифференциации",IF($V$43=0,"",$V$43))</f>
        <v/>
      </c>
      <c r="AN43" s="1697">
        <f>$I$43</f>
        <v>0</v>
      </c>
      <c r="AO43" s="1192" t="str">
        <f>$I$43&amp;"."&amp;$M$43</f>
        <v>.</v>
      </c>
      <c r="AP43" s="1184" t="str">
        <f>$I$43&amp;"."&amp;$M$43&amp;"."&amp;$Q$43</f>
        <v>..</v>
      </c>
      <c r="AQ43" s="1184" t="str">
        <f>$I$43&amp;"."&amp;$M$43&amp;"."&amp;$Q$43&amp;"."&amp;$U$43</f>
        <v>...</v>
      </c>
      <c r="AR43" s="1208">
        <v>0</v>
      </c>
    </row>
    <row r="44" spans="1:44" s="1777" customFormat="1" ht="17.25" hidden="1" customHeight="1">
      <c r="A44" s="257"/>
      <c r="C44" s="256"/>
      <c r="D44" s="2074"/>
      <c r="E44" s="2082"/>
      <c r="F44" s="2085"/>
      <c r="G44" s="2082"/>
      <c r="H44" s="2088"/>
      <c r="I44" s="2090"/>
      <c r="J44" s="2092"/>
      <c r="K44" s="2077"/>
      <c r="L44" s="2077"/>
      <c r="M44" s="2077"/>
      <c r="N44" s="2079"/>
      <c r="O44" s="2077"/>
      <c r="P44" s="2077"/>
      <c r="Q44" s="2077"/>
      <c r="R44" s="2080"/>
      <c r="S44" s="2077"/>
      <c r="T44" s="1222"/>
      <c r="U44" s="1222"/>
      <c r="V44" s="1222"/>
      <c r="W44" s="1223"/>
      <c r="X44" s="1184"/>
      <c r="Y44" s="1184"/>
      <c r="Z44" s="1184"/>
      <c r="AA44" s="1184"/>
      <c r="AB44" s="1184"/>
      <c r="AC44" s="1184"/>
      <c r="AD44" s="1184"/>
      <c r="AE44" s="1184"/>
      <c r="AF44" s="1184"/>
      <c r="AG44" s="1184"/>
      <c r="AH44" s="1184"/>
      <c r="AI44" s="1184"/>
      <c r="AJ44" s="1184"/>
      <c r="AK44" s="1184"/>
      <c r="AL44" s="1184"/>
      <c r="AM44" s="1184"/>
      <c r="AN44" s="1184"/>
      <c r="AO44" s="1184"/>
      <c r="AP44" s="1184"/>
      <c r="AQ44" s="1184"/>
      <c r="AR44" s="1208">
        <v>0</v>
      </c>
    </row>
    <row r="45" spans="1:44" s="1777" customFormat="1" ht="17.25" hidden="1" customHeight="1">
      <c r="A45" s="257"/>
      <c r="C45" s="256"/>
      <c r="D45" s="2075"/>
      <c r="E45" s="2083"/>
      <c r="F45" s="2085"/>
      <c r="G45" s="2083"/>
      <c r="H45" s="2088"/>
      <c r="I45" s="2090"/>
      <c r="J45" s="2093"/>
      <c r="K45" s="2077"/>
      <c r="L45" s="2077"/>
      <c r="M45" s="2077"/>
      <c r="N45" s="2080"/>
      <c r="O45" s="2077"/>
      <c r="P45" s="1343"/>
      <c r="Q45" s="1222"/>
      <c r="R45" s="1222"/>
      <c r="S45" s="265"/>
      <c r="T45" s="265"/>
      <c r="U45" s="265"/>
      <c r="V45" s="265"/>
      <c r="W45" s="1223"/>
      <c r="X45" s="1184"/>
      <c r="Y45" s="1184"/>
      <c r="Z45" s="1184"/>
      <c r="AA45" s="1184"/>
      <c r="AB45" s="1184"/>
      <c r="AC45" s="1184"/>
      <c r="AD45" s="1184"/>
      <c r="AE45" s="1184"/>
      <c r="AF45" s="1184"/>
      <c r="AG45" s="1184"/>
      <c r="AH45" s="1184"/>
      <c r="AI45" s="1184"/>
      <c r="AJ45" s="1184"/>
      <c r="AK45" s="1184"/>
      <c r="AL45" s="1184"/>
      <c r="AM45" s="1184"/>
      <c r="AN45" s="1184"/>
      <c r="AO45" s="1184"/>
      <c r="AP45" s="1184"/>
      <c r="AQ45" s="1184"/>
      <c r="AR45" s="1208">
        <v>0</v>
      </c>
    </row>
    <row r="46" spans="1:44" s="1777" customFormat="1" ht="17.25" hidden="1" customHeight="1">
      <c r="A46" s="257"/>
      <c r="C46" s="145"/>
      <c r="D46" s="2075"/>
      <c r="E46" s="2083"/>
      <c r="F46" s="2085"/>
      <c r="G46" s="2083"/>
      <c r="H46" s="2088"/>
      <c r="I46" s="2090"/>
      <c r="J46" s="2093"/>
      <c r="K46" s="2077"/>
      <c r="L46" s="1222"/>
      <c r="M46" s="1222"/>
      <c r="N46" s="1222"/>
      <c r="O46" s="1222"/>
      <c r="P46" s="1222"/>
      <c r="Q46" s="1222"/>
      <c r="R46" s="1222"/>
      <c r="S46" s="265"/>
      <c r="T46" s="265"/>
      <c r="U46" s="265"/>
      <c r="V46" s="265"/>
      <c r="W46" s="1223"/>
      <c r="Y46" s="1192"/>
      <c r="Z46" s="1192"/>
      <c r="AA46" s="1192"/>
      <c r="AB46" s="1192"/>
      <c r="AC46" s="1192"/>
      <c r="AD46" s="1192"/>
      <c r="AE46" s="1192"/>
      <c r="AF46" s="1192"/>
      <c r="AG46" s="1192"/>
      <c r="AH46" s="1192"/>
      <c r="AI46" s="1192"/>
      <c r="AJ46" s="1192"/>
      <c r="AK46" s="1192"/>
      <c r="AL46" s="1192"/>
      <c r="AM46" s="1192"/>
      <c r="AN46" s="1192"/>
      <c r="AO46" s="1192"/>
      <c r="AP46" s="1192"/>
      <c r="AQ46" s="1192"/>
      <c r="AR46" s="1251">
        <v>0</v>
      </c>
    </row>
    <row r="47" spans="1:44" s="1777" customFormat="1" ht="17.25" hidden="1" customHeight="1">
      <c r="A47" s="257"/>
      <c r="C47" s="256"/>
      <c r="D47" s="2075"/>
      <c r="E47" s="2083"/>
      <c r="F47" s="2086"/>
      <c r="G47" s="2083"/>
      <c r="H47" s="1224"/>
      <c r="I47" s="1225"/>
      <c r="J47" s="1225"/>
      <c r="K47" s="1225"/>
      <c r="L47" s="1225"/>
      <c r="M47" s="1225"/>
      <c r="N47" s="1225"/>
      <c r="O47" s="1225"/>
      <c r="P47" s="1225"/>
      <c r="Q47" s="1225"/>
      <c r="R47" s="1225"/>
      <c r="S47" s="1226"/>
      <c r="T47" s="1226"/>
      <c r="U47" s="1226"/>
      <c r="V47" s="1226"/>
      <c r="W47" s="1227"/>
      <c r="X47" s="1184"/>
      <c r="Y47" s="1184"/>
      <c r="Z47" s="1184"/>
      <c r="AA47" s="1184"/>
      <c r="AB47" s="1184"/>
      <c r="AC47" s="1184"/>
      <c r="AD47" s="1184"/>
      <c r="AE47" s="1184"/>
      <c r="AF47" s="1184"/>
      <c r="AG47" s="1184"/>
      <c r="AH47" s="1184"/>
      <c r="AI47" s="1184"/>
      <c r="AJ47" s="1184"/>
      <c r="AK47" s="1184"/>
      <c r="AL47" s="1184"/>
      <c r="AM47" s="1184"/>
      <c r="AN47" s="1184"/>
      <c r="AO47" s="1184"/>
      <c r="AP47" s="1184"/>
      <c r="AQ47" s="1184"/>
      <c r="AR47" s="1208">
        <v>0</v>
      </c>
    </row>
    <row r="48" spans="1:44" s="1777" customFormat="1" ht="17.25" hidden="1" customHeight="1">
      <c r="A48" s="257"/>
      <c r="C48" s="145"/>
      <c r="D48" s="2105">
        <v>7</v>
      </c>
      <c r="E48" s="2108" t="s">
        <v>191</v>
      </c>
      <c r="F48" s="2084" t="s">
        <v>19</v>
      </c>
      <c r="G48" s="2108"/>
      <c r="H48" s="2087"/>
      <c r="I48" s="2089"/>
      <c r="J48" s="2091"/>
      <c r="K48" s="2076"/>
      <c r="L48" s="2076"/>
      <c r="M48" s="2076"/>
      <c r="N48" s="2078"/>
      <c r="O48" s="2076"/>
      <c r="P48" s="2076"/>
      <c r="Q48" s="2076"/>
      <c r="R48" s="2081"/>
      <c r="S48" s="2076"/>
      <c r="T48" s="1345"/>
      <c r="U48" s="1345"/>
      <c r="V48" s="1344"/>
      <c r="W48" s="1221"/>
      <c r="X48" s="1192"/>
      <c r="Y48" s="1192"/>
      <c r="Z48" s="1192"/>
      <c r="AA48" s="1192"/>
      <c r="AB48" s="1192"/>
      <c r="AC48" s="1192" t="s">
        <v>192</v>
      </c>
      <c r="AD48" s="1192" t="s">
        <v>193</v>
      </c>
      <c r="AE48" s="1192" t="s">
        <v>194</v>
      </c>
      <c r="AF48" s="1192" t="s">
        <v>195</v>
      </c>
      <c r="AG48" s="1192" t="s">
        <v>196</v>
      </c>
      <c r="AH48" s="1192" t="str">
        <f>IF($E$48=0,"",$E$48)</f>
        <v>Плата за услуги по поддержанию резервной тепловой мощности при отсутствии потребления тепловой энергии</v>
      </c>
      <c r="AI48" s="1192" t="str">
        <f>IF($G$48=0,"",$G$48)</f>
        <v/>
      </c>
      <c r="AJ48" s="1192" t="str">
        <f>IF($J$48=0,"",$J$48)</f>
        <v/>
      </c>
      <c r="AK48" s="1192" t="str">
        <f>IF($K$48="нет","без дифференциации",IF($N$48=0,"",$N$48))</f>
        <v/>
      </c>
      <c r="AL48" s="1192" t="str">
        <f>IF($O$48="нет","без дифференциации",IF($R$48=0,"",$R$48))</f>
        <v/>
      </c>
      <c r="AM48" s="1192" t="str">
        <f>IF($S$48="нет","без дифференциации",IF($V$48=0,"",$V$48))</f>
        <v/>
      </c>
      <c r="AN48" s="1697">
        <f>$I$48</f>
        <v>0</v>
      </c>
      <c r="AO48" s="1192" t="str">
        <f>$I$48&amp;"."&amp;$M$48</f>
        <v>.</v>
      </c>
      <c r="AP48" s="1184" t="str">
        <f>$I$48&amp;"."&amp;$M$48&amp;"."&amp;$Q$48</f>
        <v>..</v>
      </c>
      <c r="AQ48" s="1184" t="str">
        <f>$I$48&amp;"."&amp;$M$48&amp;"."&amp;$Q$48&amp;"."&amp;$U$48</f>
        <v>...</v>
      </c>
      <c r="AR48" s="1233">
        <v>0</v>
      </c>
    </row>
    <row r="49" spans="1:44" s="1777" customFormat="1" ht="17.25" hidden="1" customHeight="1">
      <c r="A49" s="257"/>
      <c r="C49" s="256"/>
      <c r="D49" s="2106"/>
      <c r="E49" s="2109"/>
      <c r="F49" s="2085"/>
      <c r="G49" s="2109"/>
      <c r="H49" s="2088"/>
      <c r="I49" s="2090"/>
      <c r="J49" s="2092"/>
      <c r="K49" s="2077"/>
      <c r="L49" s="2077"/>
      <c r="M49" s="2077"/>
      <c r="N49" s="2079"/>
      <c r="O49" s="2077"/>
      <c r="P49" s="2077"/>
      <c r="Q49" s="2077"/>
      <c r="R49" s="2080"/>
      <c r="S49" s="2077"/>
      <c r="T49" s="1222"/>
      <c r="U49" s="1222"/>
      <c r="V49" s="1222"/>
      <c r="W49" s="1223"/>
      <c r="X49" s="1184"/>
      <c r="Y49" s="1184"/>
      <c r="Z49" s="1184"/>
      <c r="AA49" s="1184"/>
      <c r="AB49" s="1184"/>
      <c r="AC49" s="1184"/>
      <c r="AD49" s="1184"/>
      <c r="AE49" s="1184"/>
      <c r="AF49" s="1184"/>
      <c r="AG49" s="1184"/>
      <c r="AH49" s="1184"/>
      <c r="AI49" s="1184"/>
      <c r="AJ49" s="1184"/>
      <c r="AK49" s="1184"/>
      <c r="AL49" s="1184"/>
      <c r="AM49" s="1184"/>
      <c r="AN49" s="1184"/>
      <c r="AO49" s="1184"/>
      <c r="AP49" s="1184"/>
      <c r="AQ49" s="1184"/>
      <c r="AR49" s="1233">
        <v>0</v>
      </c>
    </row>
    <row r="50" spans="1:44" s="1777" customFormat="1" ht="17.25" hidden="1" customHeight="1">
      <c r="A50" s="257"/>
      <c r="C50" s="256"/>
      <c r="D50" s="2106"/>
      <c r="E50" s="2109"/>
      <c r="F50" s="2085"/>
      <c r="G50" s="2109"/>
      <c r="H50" s="2088"/>
      <c r="I50" s="2090"/>
      <c r="J50" s="2093"/>
      <c r="K50" s="2077"/>
      <c r="L50" s="2077"/>
      <c r="M50" s="2077"/>
      <c r="N50" s="2080"/>
      <c r="O50" s="2077"/>
      <c r="P50" s="1343"/>
      <c r="Q50" s="1222"/>
      <c r="R50" s="1222"/>
      <c r="S50" s="265"/>
      <c r="T50" s="265"/>
      <c r="U50" s="265"/>
      <c r="V50" s="265"/>
      <c r="W50" s="1223"/>
      <c r="X50" s="1184"/>
      <c r="Y50" s="1184"/>
      <c r="Z50" s="1184"/>
      <c r="AA50" s="1184"/>
      <c r="AB50" s="1184"/>
      <c r="AC50" s="1184"/>
      <c r="AD50" s="1184"/>
      <c r="AE50" s="1184"/>
      <c r="AF50" s="1184"/>
      <c r="AG50" s="1184"/>
      <c r="AH50" s="1184"/>
      <c r="AI50" s="1184"/>
      <c r="AJ50" s="1184"/>
      <c r="AK50" s="1184"/>
      <c r="AL50" s="1184"/>
      <c r="AM50" s="1184"/>
      <c r="AN50" s="1184"/>
      <c r="AO50" s="1184"/>
      <c r="AP50" s="1184"/>
      <c r="AQ50" s="1184"/>
      <c r="AR50" s="1233">
        <v>0</v>
      </c>
    </row>
    <row r="51" spans="1:44" s="1777" customFormat="1" ht="17.25" hidden="1" customHeight="1">
      <c r="A51" s="257"/>
      <c r="C51" s="145"/>
      <c r="D51" s="2106"/>
      <c r="E51" s="2109"/>
      <c r="F51" s="2085"/>
      <c r="G51" s="2109"/>
      <c r="H51" s="2088"/>
      <c r="I51" s="2090"/>
      <c r="J51" s="2093"/>
      <c r="K51" s="2077"/>
      <c r="L51" s="1222"/>
      <c r="M51" s="1222"/>
      <c r="N51" s="1222"/>
      <c r="O51" s="1222"/>
      <c r="P51" s="1222"/>
      <c r="Q51" s="1222"/>
      <c r="R51" s="1222"/>
      <c r="S51" s="265"/>
      <c r="T51" s="265"/>
      <c r="U51" s="265"/>
      <c r="V51" s="265"/>
      <c r="W51" s="1223"/>
      <c r="Y51" s="1192"/>
      <c r="Z51" s="1192"/>
      <c r="AA51" s="1192"/>
      <c r="AB51" s="1192"/>
      <c r="AC51" s="1192"/>
      <c r="AD51" s="1192"/>
      <c r="AE51" s="1192"/>
      <c r="AF51" s="1192"/>
      <c r="AG51" s="1192"/>
      <c r="AH51" s="1192"/>
      <c r="AI51" s="1192"/>
      <c r="AJ51" s="1192"/>
      <c r="AK51" s="1192"/>
      <c r="AL51" s="1192"/>
      <c r="AM51" s="1192"/>
      <c r="AN51" s="1192"/>
      <c r="AO51" s="1192"/>
      <c r="AP51" s="1192"/>
      <c r="AQ51" s="1192"/>
      <c r="AR51" s="1251">
        <v>0</v>
      </c>
    </row>
    <row r="52" spans="1:44" s="1777" customFormat="1" ht="17.25" hidden="1" customHeight="1">
      <c r="A52" s="257"/>
      <c r="C52" s="256"/>
      <c r="D52" s="2107"/>
      <c r="E52" s="2110"/>
      <c r="F52" s="2086"/>
      <c r="G52" s="2110"/>
      <c r="H52" s="1224"/>
      <c r="I52" s="1225"/>
      <c r="J52" s="1225"/>
      <c r="K52" s="1225"/>
      <c r="L52" s="1225"/>
      <c r="M52" s="1225"/>
      <c r="N52" s="1225"/>
      <c r="O52" s="1225"/>
      <c r="P52" s="1225"/>
      <c r="Q52" s="1225"/>
      <c r="R52" s="1225"/>
      <c r="S52" s="1226"/>
      <c r="T52" s="1226"/>
      <c r="U52" s="1226"/>
      <c r="V52" s="1226"/>
      <c r="W52" s="1227"/>
      <c r="X52" s="1184"/>
      <c r="Y52" s="1184"/>
      <c r="Z52" s="1184"/>
      <c r="AA52" s="1184"/>
      <c r="AB52" s="1184"/>
      <c r="AC52" s="1184"/>
      <c r="AD52" s="1184"/>
      <c r="AE52" s="1184"/>
      <c r="AF52" s="1184"/>
      <c r="AG52" s="1184"/>
      <c r="AH52" s="1184"/>
      <c r="AI52" s="1184"/>
      <c r="AJ52" s="1184"/>
      <c r="AK52" s="1184"/>
      <c r="AL52" s="1184"/>
      <c r="AM52" s="1184"/>
      <c r="AN52" s="1184"/>
      <c r="AO52" s="1184"/>
      <c r="AP52" s="1184"/>
      <c r="AQ52" s="1184"/>
      <c r="AR52" s="1233">
        <v>0</v>
      </c>
    </row>
    <row r="53" spans="1:44" s="1777" customFormat="1" ht="17.25" hidden="1" customHeight="1">
      <c r="A53" s="257"/>
      <c r="C53" s="145"/>
      <c r="D53" s="2074">
        <v>8</v>
      </c>
      <c r="E53" s="2082" t="s">
        <v>197</v>
      </c>
      <c r="F53" s="2084" t="s">
        <v>19</v>
      </c>
      <c r="G53" s="2082"/>
      <c r="H53" s="2087"/>
      <c r="I53" s="2089"/>
      <c r="J53" s="2091"/>
      <c r="K53" s="2076"/>
      <c r="L53" s="2076"/>
      <c r="M53" s="2076"/>
      <c r="N53" s="2078"/>
      <c r="O53" s="2076"/>
      <c r="P53" s="2076"/>
      <c r="Q53" s="2076"/>
      <c r="R53" s="2081"/>
      <c r="S53" s="2076"/>
      <c r="T53" s="1395"/>
      <c r="U53" s="1395"/>
      <c r="V53" s="1397"/>
      <c r="W53" s="1221"/>
      <c r="X53" s="1192"/>
      <c r="Y53" s="1192"/>
      <c r="Z53" s="1192"/>
      <c r="AA53" s="1192"/>
      <c r="AB53" s="1192"/>
      <c r="AC53" s="1192" t="s">
        <v>198</v>
      </c>
      <c r="AD53" s="1192" t="s">
        <v>199</v>
      </c>
      <c r="AE53" s="1192" t="s">
        <v>200</v>
      </c>
      <c r="AF53" s="1192" t="s">
        <v>201</v>
      </c>
      <c r="AG53" s="1192" t="s">
        <v>202</v>
      </c>
      <c r="AH53" s="1192" t="str">
        <f>IF($E$53=0,"",$E$53)</f>
        <v>Плата за подключение (технологическое присоединение) к системе теплоснабжения</v>
      </c>
      <c r="AI53" s="1192" t="str">
        <f>IF($G$53=0,"",$G$53)</f>
        <v/>
      </c>
      <c r="AJ53" s="1192" t="str">
        <f>IF($J$53=0,"",$J$53)</f>
        <v/>
      </c>
      <c r="AK53" s="1192" t="str">
        <f>IF($K$53="нет","без дифференциации",IF($N$53=0,"",$N$53))</f>
        <v/>
      </c>
      <c r="AL53" s="1192" t="str">
        <f>IF($O$53="нет","без дифференциации",IF($R$53=0,"",$R$53))</f>
        <v/>
      </c>
      <c r="AM53" s="1192" t="str">
        <f>IF($S$53="нет","без дифференциации",IF($V$53=0,"",$V$53))</f>
        <v/>
      </c>
      <c r="AN53" s="1697">
        <f>$I$53</f>
        <v>0</v>
      </c>
      <c r="AO53" s="1192" t="str">
        <f>$I$53&amp;"."&amp;$M$53</f>
        <v>.</v>
      </c>
      <c r="AP53" s="1184" t="str">
        <f>$I$53&amp;"."&amp;$M$53&amp;"."&amp;$Q$53</f>
        <v>..</v>
      </c>
      <c r="AQ53" s="1184" t="str">
        <f>$I$53&amp;"."&amp;$M$53&amp;"."&amp;$Q$53&amp;"."&amp;$U$53</f>
        <v>...</v>
      </c>
      <c r="AR53" s="1233">
        <v>0</v>
      </c>
    </row>
    <row r="54" spans="1:44" s="1777" customFormat="1" ht="17.25" hidden="1" customHeight="1">
      <c r="A54" s="257"/>
      <c r="C54" s="256"/>
      <c r="D54" s="2074"/>
      <c r="E54" s="2082"/>
      <c r="F54" s="2085"/>
      <c r="G54" s="2082"/>
      <c r="H54" s="2088"/>
      <c r="I54" s="2090"/>
      <c r="J54" s="2092"/>
      <c r="K54" s="2077"/>
      <c r="L54" s="2077"/>
      <c r="M54" s="2077"/>
      <c r="N54" s="2079"/>
      <c r="O54" s="2077"/>
      <c r="P54" s="2077"/>
      <c r="Q54" s="2077"/>
      <c r="R54" s="2080"/>
      <c r="S54" s="2077"/>
      <c r="T54" s="1222"/>
      <c r="U54" s="1222"/>
      <c r="V54" s="1222"/>
      <c r="W54" s="1223"/>
      <c r="X54" s="1184"/>
      <c r="Y54" s="1184"/>
      <c r="Z54" s="1184"/>
      <c r="AA54" s="1184"/>
      <c r="AB54" s="1184"/>
      <c r="AC54" s="1184"/>
      <c r="AD54" s="1184"/>
      <c r="AE54" s="1184"/>
      <c r="AF54" s="1184"/>
      <c r="AG54" s="1184"/>
      <c r="AH54" s="1184"/>
      <c r="AI54" s="1184"/>
      <c r="AJ54" s="1184"/>
      <c r="AK54" s="1184"/>
      <c r="AL54" s="1184"/>
      <c r="AM54" s="1184"/>
      <c r="AN54" s="1184"/>
      <c r="AO54" s="1184"/>
      <c r="AP54" s="1184"/>
      <c r="AQ54" s="1184"/>
      <c r="AR54" s="1233">
        <v>0</v>
      </c>
    </row>
    <row r="55" spans="1:44" s="1777" customFormat="1" ht="17.25" hidden="1" customHeight="1">
      <c r="A55" s="257"/>
      <c r="C55" s="256"/>
      <c r="D55" s="2075"/>
      <c r="E55" s="2083"/>
      <c r="F55" s="2085"/>
      <c r="G55" s="2083"/>
      <c r="H55" s="2088"/>
      <c r="I55" s="2090"/>
      <c r="J55" s="2093"/>
      <c r="K55" s="2077"/>
      <c r="L55" s="2077"/>
      <c r="M55" s="2077"/>
      <c r="N55" s="2080"/>
      <c r="O55" s="2077"/>
      <c r="P55" s="1396"/>
      <c r="Q55" s="1222"/>
      <c r="R55" s="1222"/>
      <c r="S55" s="265"/>
      <c r="T55" s="265"/>
      <c r="U55" s="265"/>
      <c r="V55" s="265"/>
      <c r="W55" s="1223"/>
      <c r="X55" s="1184"/>
      <c r="Y55" s="1184"/>
      <c r="Z55" s="1184"/>
      <c r="AA55" s="1184"/>
      <c r="AB55" s="1184"/>
      <c r="AC55" s="1184"/>
      <c r="AD55" s="1184"/>
      <c r="AE55" s="1184"/>
      <c r="AF55" s="1184"/>
      <c r="AG55" s="1184"/>
      <c r="AH55" s="1184"/>
      <c r="AI55" s="1184"/>
      <c r="AJ55" s="1184"/>
      <c r="AK55" s="1184"/>
      <c r="AL55" s="1184"/>
      <c r="AM55" s="1184"/>
      <c r="AN55" s="1184"/>
      <c r="AO55" s="1184"/>
      <c r="AP55" s="1184"/>
      <c r="AQ55" s="1184"/>
      <c r="AR55" s="1233">
        <v>0</v>
      </c>
    </row>
    <row r="56" spans="1:44" s="1777" customFormat="1" ht="17.25" hidden="1" customHeight="1">
      <c r="A56" s="257"/>
      <c r="C56" s="145"/>
      <c r="D56" s="2075"/>
      <c r="E56" s="2083"/>
      <c r="F56" s="2085"/>
      <c r="G56" s="2083"/>
      <c r="H56" s="2088"/>
      <c r="I56" s="2090"/>
      <c r="J56" s="2093"/>
      <c r="K56" s="2077"/>
      <c r="L56" s="1222"/>
      <c r="M56" s="1222"/>
      <c r="N56" s="1222"/>
      <c r="O56" s="1222"/>
      <c r="P56" s="1222"/>
      <c r="Q56" s="1222"/>
      <c r="R56" s="1222"/>
      <c r="S56" s="265"/>
      <c r="T56" s="265"/>
      <c r="U56" s="265"/>
      <c r="V56" s="265"/>
      <c r="W56" s="1223"/>
      <c r="Y56" s="1192"/>
      <c r="Z56" s="1192"/>
      <c r="AA56" s="1192"/>
      <c r="AB56" s="1192"/>
      <c r="AC56" s="1192"/>
      <c r="AD56" s="1192"/>
      <c r="AE56" s="1192"/>
      <c r="AF56" s="1192"/>
      <c r="AG56" s="1192"/>
      <c r="AH56" s="1192"/>
      <c r="AI56" s="1192"/>
      <c r="AJ56" s="1192"/>
      <c r="AK56" s="1192"/>
      <c r="AL56" s="1192"/>
      <c r="AM56" s="1192"/>
      <c r="AN56" s="1192"/>
      <c r="AO56" s="1192"/>
      <c r="AP56" s="1192"/>
      <c r="AQ56" s="1192"/>
      <c r="AR56" s="1251">
        <v>0</v>
      </c>
    </row>
    <row r="57" spans="1:44" s="1777" customFormat="1" ht="17.25" hidden="1" customHeight="1">
      <c r="A57" s="257"/>
      <c r="C57" s="256"/>
      <c r="D57" s="2075"/>
      <c r="E57" s="2083"/>
      <c r="F57" s="2086"/>
      <c r="G57" s="2083"/>
      <c r="H57" s="1224"/>
      <c r="I57" s="1225"/>
      <c r="J57" s="1225"/>
      <c r="K57" s="1225"/>
      <c r="L57" s="1225"/>
      <c r="M57" s="1225"/>
      <c r="N57" s="1225"/>
      <c r="O57" s="1225"/>
      <c r="P57" s="1225"/>
      <c r="Q57" s="1225"/>
      <c r="R57" s="1225"/>
      <c r="S57" s="1226"/>
      <c r="T57" s="1226"/>
      <c r="U57" s="1226"/>
      <c r="V57" s="1226"/>
      <c r="W57" s="1227"/>
      <c r="X57" s="1184"/>
      <c r="Y57" s="1184"/>
      <c r="Z57" s="1184"/>
      <c r="AA57" s="1184"/>
      <c r="AB57" s="1184"/>
      <c r="AC57" s="1184"/>
      <c r="AD57" s="1184"/>
      <c r="AE57" s="1184"/>
      <c r="AF57" s="1184"/>
      <c r="AG57" s="1184"/>
      <c r="AH57" s="1184"/>
      <c r="AI57" s="1184"/>
      <c r="AJ57" s="1184"/>
      <c r="AK57" s="1184"/>
      <c r="AL57" s="1184"/>
      <c r="AM57" s="1184"/>
      <c r="AN57" s="1184"/>
      <c r="AO57" s="1184"/>
      <c r="AP57" s="1184"/>
      <c r="AQ57" s="1184"/>
      <c r="AR57" s="1233">
        <v>0</v>
      </c>
    </row>
    <row r="58" spans="1:44" s="1777" customFormat="1" ht="17.25" hidden="1" customHeight="1">
      <c r="A58" s="257"/>
      <c r="C58" s="145"/>
      <c r="D58" s="2074">
        <v>9</v>
      </c>
      <c r="E58" s="2082" t="s">
        <v>203</v>
      </c>
      <c r="F58" s="2084" t="s">
        <v>19</v>
      </c>
      <c r="G58" s="2082"/>
      <c r="H58" s="2087"/>
      <c r="I58" s="2089"/>
      <c r="J58" s="2091"/>
      <c r="K58" s="2076"/>
      <c r="L58" s="2076"/>
      <c r="M58" s="2076"/>
      <c r="N58" s="2078"/>
      <c r="O58" s="2076"/>
      <c r="P58" s="2076"/>
      <c r="Q58" s="2076"/>
      <c r="R58" s="2081"/>
      <c r="S58" s="2076"/>
      <c r="T58" s="1852"/>
      <c r="U58" s="1852"/>
      <c r="V58" s="1854"/>
      <c r="W58" s="1221"/>
      <c r="X58" s="1192"/>
      <c r="Y58" s="1192"/>
      <c r="Z58" s="1192"/>
      <c r="AA58" s="1192"/>
      <c r="AB58" s="1192"/>
      <c r="AC58" s="1192" t="s">
        <v>204</v>
      </c>
      <c r="AD58" s="1192" t="s">
        <v>205</v>
      </c>
      <c r="AE58" s="1192" t="s">
        <v>206</v>
      </c>
      <c r="AF58" s="1192" t="s">
        <v>207</v>
      </c>
      <c r="AG58" s="1192" t="s">
        <v>208</v>
      </c>
      <c r="AH58" s="1192" t="str">
        <f>IF($E$58=0,"",$E$58)</f>
        <v>Плата за подключение (технологическое присоединение) к системе теплоснабжения (индивидуальная)</v>
      </c>
      <c r="AI58" s="1192" t="str">
        <f>IF($G$58=0,"",$G$58)</f>
        <v/>
      </c>
      <c r="AJ58" s="1192" t="str">
        <f>IF($J$58=0,"",$J$58)</f>
        <v/>
      </c>
      <c r="AK58" s="1192" t="str">
        <f>IF($K$58="нет","без дифференциации",IF($N$58=0,"",$N$58))</f>
        <v/>
      </c>
      <c r="AL58" s="1192" t="str">
        <f>IF($O$58="нет","без дифференциации",IF($R$58=0,"",$R$58))</f>
        <v/>
      </c>
      <c r="AM58" s="1192" t="str">
        <f>IF($S$58="нет","без дифференциации",IF($V$58=0,"",$V$58))</f>
        <v/>
      </c>
      <c r="AN58" s="1697">
        <f>$I$58</f>
        <v>0</v>
      </c>
      <c r="AO58" s="1192" t="str">
        <f>$I$58&amp;"."&amp;$M$58</f>
        <v>.</v>
      </c>
      <c r="AP58" s="1191" t="str">
        <f>$I$58&amp;"."&amp;$M$58&amp;"."&amp;$Q$58</f>
        <v>..</v>
      </c>
      <c r="AQ58" s="1191" t="str">
        <f>$I$58&amp;"."&amp;$M$58&amp;"."&amp;$Q$58&amp;"."&amp;$U$58</f>
        <v>...</v>
      </c>
      <c r="AR58" s="1392">
        <v>0</v>
      </c>
    </row>
    <row r="59" spans="1:44" s="1777" customFormat="1" ht="17.25" hidden="1" customHeight="1">
      <c r="A59" s="257"/>
      <c r="C59" s="256"/>
      <c r="D59" s="2074"/>
      <c r="E59" s="2082"/>
      <c r="F59" s="2085"/>
      <c r="G59" s="2082"/>
      <c r="H59" s="2088"/>
      <c r="I59" s="2090"/>
      <c r="J59" s="2092"/>
      <c r="K59" s="2077"/>
      <c r="L59" s="2077"/>
      <c r="M59" s="2077"/>
      <c r="N59" s="2079"/>
      <c r="O59" s="2077"/>
      <c r="P59" s="2077"/>
      <c r="Q59" s="2077"/>
      <c r="R59" s="2080"/>
      <c r="S59" s="2077"/>
      <c r="T59" s="1855"/>
      <c r="U59" s="1855"/>
      <c r="V59" s="1855"/>
      <c r="W59" s="1856"/>
      <c r="X59" s="1191"/>
      <c r="Y59" s="1191"/>
      <c r="Z59" s="1191"/>
      <c r="AA59" s="1191"/>
      <c r="AB59" s="1191"/>
      <c r="AC59" s="1191"/>
      <c r="AD59" s="1191"/>
      <c r="AE59" s="1191"/>
      <c r="AF59" s="1191"/>
      <c r="AG59" s="1191"/>
      <c r="AH59" s="1191"/>
      <c r="AI59" s="1191"/>
      <c r="AJ59" s="1191"/>
      <c r="AK59" s="1191"/>
      <c r="AL59" s="1191"/>
      <c r="AM59" s="1191"/>
      <c r="AN59" s="1191"/>
      <c r="AO59" s="1191"/>
      <c r="AP59" s="1191"/>
      <c r="AQ59" s="1191"/>
      <c r="AR59" s="1392">
        <v>0</v>
      </c>
    </row>
    <row r="60" spans="1:44" s="1777" customFormat="1" ht="17.25" hidden="1" customHeight="1">
      <c r="A60" s="257"/>
      <c r="C60" s="256"/>
      <c r="D60" s="2075"/>
      <c r="E60" s="2083"/>
      <c r="F60" s="2085"/>
      <c r="G60" s="2083"/>
      <c r="H60" s="2088"/>
      <c r="I60" s="2090"/>
      <c r="J60" s="2093"/>
      <c r="K60" s="2077"/>
      <c r="L60" s="2077"/>
      <c r="M60" s="2077"/>
      <c r="N60" s="2080"/>
      <c r="O60" s="2077"/>
      <c r="P60" s="1853"/>
      <c r="Q60" s="1855"/>
      <c r="R60" s="1855"/>
      <c r="S60" s="265"/>
      <c r="T60" s="265"/>
      <c r="U60" s="265"/>
      <c r="V60" s="265"/>
      <c r="W60" s="1856"/>
      <c r="X60" s="1191"/>
      <c r="Y60" s="1191"/>
      <c r="Z60" s="1191"/>
      <c r="AA60" s="1191"/>
      <c r="AB60" s="1191"/>
      <c r="AC60" s="1191"/>
      <c r="AD60" s="1191"/>
      <c r="AE60" s="1191"/>
      <c r="AF60" s="1191"/>
      <c r="AG60" s="1191"/>
      <c r="AH60" s="1191"/>
      <c r="AI60" s="1191"/>
      <c r="AJ60" s="1191"/>
      <c r="AK60" s="1191"/>
      <c r="AL60" s="1191"/>
      <c r="AM60" s="1191"/>
      <c r="AN60" s="1191"/>
      <c r="AO60" s="1191"/>
      <c r="AP60" s="1191"/>
      <c r="AQ60" s="1191"/>
      <c r="AR60" s="1392">
        <v>0</v>
      </c>
    </row>
    <row r="61" spans="1:44" s="1777" customFormat="1" ht="17.25" hidden="1" customHeight="1">
      <c r="A61" s="257"/>
      <c r="C61" s="145"/>
      <c r="D61" s="2075"/>
      <c r="E61" s="2083"/>
      <c r="F61" s="2085"/>
      <c r="G61" s="2083"/>
      <c r="H61" s="2088"/>
      <c r="I61" s="2090"/>
      <c r="J61" s="2093"/>
      <c r="K61" s="2077"/>
      <c r="L61" s="1855"/>
      <c r="M61" s="1855"/>
      <c r="N61" s="1855"/>
      <c r="O61" s="1855"/>
      <c r="P61" s="1855"/>
      <c r="Q61" s="1855"/>
      <c r="R61" s="1855"/>
      <c r="S61" s="265"/>
      <c r="T61" s="265"/>
      <c r="U61" s="265"/>
      <c r="V61" s="265"/>
      <c r="W61" s="1856"/>
      <c r="Y61" s="1192"/>
      <c r="Z61" s="1192"/>
      <c r="AA61" s="1192"/>
      <c r="AB61" s="1192"/>
      <c r="AC61" s="1192"/>
      <c r="AD61" s="1192"/>
      <c r="AE61" s="1192"/>
      <c r="AF61" s="1192"/>
      <c r="AG61" s="1192"/>
      <c r="AH61" s="1192"/>
      <c r="AI61" s="1192"/>
      <c r="AJ61" s="1192"/>
      <c r="AK61" s="1192"/>
      <c r="AL61" s="1192"/>
      <c r="AM61" s="1192"/>
      <c r="AN61" s="1192"/>
      <c r="AO61" s="1192"/>
      <c r="AP61" s="1192"/>
      <c r="AQ61" s="1192"/>
      <c r="AR61" s="1392">
        <v>0</v>
      </c>
    </row>
    <row r="62" spans="1:44" s="1777" customFormat="1" ht="17.25" hidden="1" customHeight="1">
      <c r="A62" s="257"/>
      <c r="C62" s="256"/>
      <c r="D62" s="2075"/>
      <c r="E62" s="2083"/>
      <c r="F62" s="2086"/>
      <c r="G62" s="2083"/>
      <c r="H62" s="1224"/>
      <c r="I62" s="1857"/>
      <c r="J62" s="1857"/>
      <c r="K62" s="1857"/>
      <c r="L62" s="1857"/>
      <c r="M62" s="1857"/>
      <c r="N62" s="1857"/>
      <c r="O62" s="1857"/>
      <c r="P62" s="1857"/>
      <c r="Q62" s="1857"/>
      <c r="R62" s="1857"/>
      <c r="S62" s="1226"/>
      <c r="T62" s="1226"/>
      <c r="U62" s="1226"/>
      <c r="V62" s="1226"/>
      <c r="W62" s="1858"/>
      <c r="X62" s="1191"/>
      <c r="Y62" s="1191"/>
      <c r="Z62" s="1191"/>
      <c r="AA62" s="1191"/>
      <c r="AB62" s="1191"/>
      <c r="AC62" s="1191"/>
      <c r="AD62" s="1191"/>
      <c r="AE62" s="1191"/>
      <c r="AF62" s="1191"/>
      <c r="AG62" s="1191"/>
      <c r="AH62" s="1191"/>
      <c r="AI62" s="1191"/>
      <c r="AJ62" s="1191"/>
      <c r="AK62" s="1191"/>
      <c r="AL62" s="1191"/>
      <c r="AM62" s="1191"/>
      <c r="AN62" s="1191"/>
      <c r="AO62" s="1191"/>
      <c r="AP62" s="1191"/>
      <c r="AQ62" s="1191"/>
      <c r="AR62" s="1392">
        <v>0</v>
      </c>
    </row>
    <row r="63" spans="1:44" s="1777" customFormat="1" ht="17.25" hidden="1" customHeight="1">
      <c r="A63" s="257"/>
      <c r="C63" s="145"/>
      <c r="D63" s="2074">
        <v>10</v>
      </c>
      <c r="E63" s="2082" t="s">
        <v>209</v>
      </c>
      <c r="F63" s="2084" t="s">
        <v>19</v>
      </c>
      <c r="G63" s="2082"/>
      <c r="H63" s="2087"/>
      <c r="I63" s="2089"/>
      <c r="J63" s="2091"/>
      <c r="K63" s="2076"/>
      <c r="L63" s="2076"/>
      <c r="M63" s="2076"/>
      <c r="N63" s="2078"/>
      <c r="O63" s="2076"/>
      <c r="P63" s="2076"/>
      <c r="Q63" s="2076"/>
      <c r="R63" s="2081"/>
      <c r="S63" s="2076"/>
      <c r="T63" s="1852"/>
      <c r="U63" s="1852"/>
      <c r="V63" s="1854"/>
      <c r="W63" s="1221"/>
      <c r="X63" s="1192"/>
      <c r="Y63" s="1192"/>
      <c r="Z63" s="1192"/>
      <c r="AA63" s="1192"/>
      <c r="AB63" s="1192"/>
      <c r="AC63" s="1192" t="s">
        <v>210</v>
      </c>
      <c r="AD63" s="1192" t="s">
        <v>211</v>
      </c>
      <c r="AE63" s="1192" t="s">
        <v>212</v>
      </c>
      <c r="AF63" s="1192" t="s">
        <v>213</v>
      </c>
      <c r="AG63" s="1192" t="s">
        <v>214</v>
      </c>
      <c r="AH63" s="1192" t="str">
        <f>IF($E$63=0,"",$E$63)</f>
        <v>Предельный уровень цены на тепловую энергию (мощность), поставляемую теплоснабжающими организациями потребителям</v>
      </c>
      <c r="AI63" s="1192" t="str">
        <f>IF($G$63=0,"",$G$63)</f>
        <v/>
      </c>
      <c r="AJ63" s="1192" t="str">
        <f>IF($J$63=0,"",$J$63)</f>
        <v/>
      </c>
      <c r="AK63" s="1192" t="str">
        <f>IF($K$63="нет","без дифференциации",IF($N$63=0,"",$N$63))</f>
        <v/>
      </c>
      <c r="AL63" s="1192" t="str">
        <f>IF($O$63="нет","без дифференциации",IF($R$63=0,"",$R$63))</f>
        <v/>
      </c>
      <c r="AM63" s="1192" t="str">
        <f>IF($S$63="нет","без дифференциации",IF($V$63=0,"",$V$63))</f>
        <v/>
      </c>
      <c r="AN63" s="1697">
        <f>$I$63</f>
        <v>0</v>
      </c>
      <c r="AO63" s="1192" t="str">
        <f>$I$63&amp;"."&amp;$M$63</f>
        <v>.</v>
      </c>
      <c r="AP63" s="1191" t="str">
        <f>$I$63&amp;"."&amp;$M$63&amp;"."&amp;$Q$63</f>
        <v>..</v>
      </c>
      <c r="AQ63" s="1191" t="str">
        <f>$I$63&amp;"."&amp;$M$63&amp;"."&amp;$Q$63&amp;"."&amp;$U$63</f>
        <v>...</v>
      </c>
      <c r="AR63" s="1392">
        <v>0</v>
      </c>
    </row>
    <row r="64" spans="1:44" s="1777" customFormat="1" ht="17.25" hidden="1" customHeight="1">
      <c r="A64" s="257"/>
      <c r="C64" s="256"/>
      <c r="D64" s="2074"/>
      <c r="E64" s="2082"/>
      <c r="F64" s="2085"/>
      <c r="G64" s="2082"/>
      <c r="H64" s="2088"/>
      <c r="I64" s="2090"/>
      <c r="J64" s="2092"/>
      <c r="K64" s="2077"/>
      <c r="L64" s="2077"/>
      <c r="M64" s="2077"/>
      <c r="N64" s="2079"/>
      <c r="O64" s="2077"/>
      <c r="P64" s="2077"/>
      <c r="Q64" s="2077"/>
      <c r="R64" s="2080"/>
      <c r="S64" s="2077"/>
      <c r="T64" s="1855"/>
      <c r="U64" s="1855"/>
      <c r="V64" s="1855"/>
      <c r="W64" s="1856"/>
      <c r="X64" s="1191"/>
      <c r="Y64" s="1191"/>
      <c r="Z64" s="1191"/>
      <c r="AA64" s="1191"/>
      <c r="AB64" s="1191"/>
      <c r="AC64" s="1191"/>
      <c r="AD64" s="1191"/>
      <c r="AE64" s="1191"/>
      <c r="AF64" s="1191"/>
      <c r="AG64" s="1191"/>
      <c r="AH64" s="1191"/>
      <c r="AI64" s="1191"/>
      <c r="AJ64" s="1191"/>
      <c r="AK64" s="1191"/>
      <c r="AL64" s="1191"/>
      <c r="AM64" s="1191"/>
      <c r="AN64" s="1191"/>
      <c r="AO64" s="1191"/>
      <c r="AP64" s="1191"/>
      <c r="AQ64" s="1191"/>
      <c r="AR64" s="1392">
        <v>0</v>
      </c>
    </row>
    <row r="65" spans="1:44" s="1777" customFormat="1" ht="17.25" hidden="1" customHeight="1">
      <c r="A65" s="257"/>
      <c r="C65" s="256"/>
      <c r="D65" s="2075"/>
      <c r="E65" s="2083"/>
      <c r="F65" s="2085"/>
      <c r="G65" s="2083"/>
      <c r="H65" s="2088"/>
      <c r="I65" s="2090"/>
      <c r="J65" s="2093"/>
      <c r="K65" s="2077"/>
      <c r="L65" s="2077"/>
      <c r="M65" s="2077"/>
      <c r="N65" s="2080"/>
      <c r="O65" s="2077"/>
      <c r="P65" s="1853"/>
      <c r="Q65" s="1855"/>
      <c r="R65" s="1855"/>
      <c r="S65" s="265"/>
      <c r="T65" s="265"/>
      <c r="U65" s="265"/>
      <c r="V65" s="265"/>
      <c r="W65" s="1856"/>
      <c r="X65" s="1191"/>
      <c r="Y65" s="1191"/>
      <c r="Z65" s="1191"/>
      <c r="AA65" s="1191"/>
      <c r="AB65" s="1191"/>
      <c r="AC65" s="1191"/>
      <c r="AD65" s="1191"/>
      <c r="AE65" s="1191"/>
      <c r="AF65" s="1191"/>
      <c r="AG65" s="1191"/>
      <c r="AH65" s="1191"/>
      <c r="AI65" s="1191"/>
      <c r="AJ65" s="1191"/>
      <c r="AK65" s="1191"/>
      <c r="AL65" s="1191"/>
      <c r="AM65" s="1191"/>
      <c r="AN65" s="1191"/>
      <c r="AO65" s="1191"/>
      <c r="AP65" s="1191"/>
      <c r="AQ65" s="1191"/>
      <c r="AR65" s="1392">
        <v>0</v>
      </c>
    </row>
    <row r="66" spans="1:44" s="1777" customFormat="1" ht="17.25" hidden="1" customHeight="1">
      <c r="A66" s="257"/>
      <c r="C66" s="145"/>
      <c r="D66" s="2075"/>
      <c r="E66" s="2083"/>
      <c r="F66" s="2085"/>
      <c r="G66" s="2083"/>
      <c r="H66" s="2088"/>
      <c r="I66" s="2090"/>
      <c r="J66" s="2093"/>
      <c r="K66" s="2077"/>
      <c r="L66" s="1855"/>
      <c r="M66" s="1855"/>
      <c r="N66" s="1855"/>
      <c r="O66" s="1855"/>
      <c r="P66" s="1855"/>
      <c r="Q66" s="1855"/>
      <c r="R66" s="1855"/>
      <c r="S66" s="265"/>
      <c r="T66" s="265"/>
      <c r="U66" s="265"/>
      <c r="V66" s="265"/>
      <c r="W66" s="1856"/>
      <c r="Y66" s="1192"/>
      <c r="Z66" s="1192"/>
      <c r="AA66" s="1192"/>
      <c r="AB66" s="1192"/>
      <c r="AC66" s="1192"/>
      <c r="AD66" s="1192"/>
      <c r="AE66" s="1192"/>
      <c r="AF66" s="1192"/>
      <c r="AG66" s="1192"/>
      <c r="AH66" s="1192"/>
      <c r="AI66" s="1192"/>
      <c r="AJ66" s="1192"/>
      <c r="AK66" s="1192"/>
      <c r="AL66" s="1192"/>
      <c r="AM66" s="1192"/>
      <c r="AN66" s="1192"/>
      <c r="AO66" s="1192"/>
      <c r="AP66" s="1192"/>
      <c r="AQ66" s="1192"/>
      <c r="AR66" s="1392">
        <v>0</v>
      </c>
    </row>
    <row r="67" spans="1:44" s="1777" customFormat="1" ht="17.25" hidden="1" customHeight="1">
      <c r="A67" s="257"/>
      <c r="C67" s="256"/>
      <c r="D67" s="2075"/>
      <c r="E67" s="2083"/>
      <c r="F67" s="2086"/>
      <c r="G67" s="2083"/>
      <c r="H67" s="1224"/>
      <c r="I67" s="1857"/>
      <c r="J67" s="1857"/>
      <c r="K67" s="1857"/>
      <c r="L67" s="1857"/>
      <c r="M67" s="1857"/>
      <c r="N67" s="1857"/>
      <c r="O67" s="1857"/>
      <c r="P67" s="1857"/>
      <c r="Q67" s="1857"/>
      <c r="R67" s="1857"/>
      <c r="S67" s="1226"/>
      <c r="T67" s="1226"/>
      <c r="U67" s="1226"/>
      <c r="V67" s="1226"/>
      <c r="W67" s="1858"/>
      <c r="X67" s="1191"/>
      <c r="Y67" s="1191"/>
      <c r="Z67" s="1191"/>
      <c r="AA67" s="1191"/>
      <c r="AB67" s="1191"/>
      <c r="AC67" s="1191"/>
      <c r="AD67" s="1191"/>
      <c r="AE67" s="1191"/>
      <c r="AF67" s="1191"/>
      <c r="AG67" s="1191"/>
      <c r="AH67" s="1191"/>
      <c r="AI67" s="1191"/>
      <c r="AJ67" s="1191"/>
      <c r="AK67" s="1191"/>
      <c r="AL67" s="1191"/>
      <c r="AM67" s="1191"/>
      <c r="AN67" s="1191"/>
      <c r="AO67" s="1191"/>
      <c r="AP67" s="1191"/>
      <c r="AQ67" s="1191"/>
      <c r="AR67" s="1392">
        <v>0</v>
      </c>
    </row>
    <row r="68" spans="1:44" ht="11.25" hidden="1" customHeight="1">
      <c r="AR68" s="42">
        <v>0</v>
      </c>
    </row>
    <row r="69" spans="1:44" ht="11.25" hidden="1" customHeight="1">
      <c r="E69" s="2113" t="s">
        <v>215</v>
      </c>
      <c r="F69" s="2113"/>
      <c r="G69" s="2113"/>
      <c r="H69" s="2113"/>
      <c r="I69" s="2113"/>
      <c r="J69" s="2113"/>
      <c r="K69" s="2113"/>
      <c r="L69" s="2113"/>
      <c r="M69" s="2113"/>
      <c r="N69" s="2113"/>
      <c r="O69" s="2113"/>
      <c r="P69" s="2113"/>
      <c r="Q69" s="2113"/>
      <c r="R69" s="2113"/>
      <c r="S69" s="2113"/>
      <c r="T69" s="2113"/>
      <c r="U69" s="2113"/>
      <c r="V69" s="2113"/>
      <c r="W69" s="2113"/>
      <c r="AR69" s="42">
        <v>0</v>
      </c>
    </row>
    <row r="70" spans="1:44" ht="36.75" hidden="1" customHeight="1">
      <c r="E70" s="2111" t="s">
        <v>216</v>
      </c>
      <c r="F70" s="2111"/>
      <c r="G70" s="2112"/>
      <c r="H70" s="2112"/>
      <c r="I70" s="2112"/>
      <c r="J70" s="2112"/>
      <c r="K70" s="2112"/>
      <c r="L70" s="2112"/>
      <c r="M70" s="2112"/>
      <c r="N70" s="2112"/>
      <c r="O70" s="2112"/>
      <c r="P70" s="2112"/>
      <c r="Q70" s="2112"/>
      <c r="R70" s="2112"/>
      <c r="S70" s="2112"/>
      <c r="T70" s="2112"/>
      <c r="U70" s="2112"/>
      <c r="V70" s="2112"/>
      <c r="W70" s="2112"/>
      <c r="AR70" s="42">
        <v>0</v>
      </c>
    </row>
    <row r="71" spans="1:44" ht="28.5" hidden="1" customHeight="1">
      <c r="E71" s="2111" t="s">
        <v>217</v>
      </c>
      <c r="F71" s="2111"/>
      <c r="G71" s="2112"/>
      <c r="H71" s="2112"/>
      <c r="I71" s="2112"/>
      <c r="J71" s="2112"/>
      <c r="K71" s="2112"/>
      <c r="L71" s="2112"/>
      <c r="M71" s="2112"/>
      <c r="N71" s="2112"/>
      <c r="O71" s="2112"/>
      <c r="P71" s="2112"/>
      <c r="Q71" s="2112"/>
      <c r="R71" s="2112"/>
      <c r="S71" s="2112"/>
      <c r="T71" s="2112"/>
      <c r="U71" s="2112"/>
      <c r="V71" s="2112"/>
      <c r="W71" s="2112"/>
      <c r="AR71" s="42">
        <v>0</v>
      </c>
    </row>
    <row r="72" spans="1:44" ht="27" hidden="1" customHeight="1">
      <c r="E72" s="2111" t="s">
        <v>218</v>
      </c>
      <c r="F72" s="2111"/>
      <c r="G72" s="2112"/>
      <c r="H72" s="2112"/>
      <c r="I72" s="2112"/>
      <c r="J72" s="2112"/>
      <c r="K72" s="2112"/>
      <c r="L72" s="2112"/>
      <c r="M72" s="2112"/>
      <c r="N72" s="2112"/>
      <c r="O72" s="2112"/>
      <c r="P72" s="2112"/>
      <c r="Q72" s="2112"/>
      <c r="R72" s="2112"/>
      <c r="S72" s="2112"/>
      <c r="T72" s="2112"/>
      <c r="U72" s="2112"/>
      <c r="V72" s="2112"/>
      <c r="W72" s="2112"/>
      <c r="AR72" s="42">
        <v>0</v>
      </c>
    </row>
    <row r="73" spans="1:44" ht="17.25" hidden="1" customHeight="1">
      <c r="E73" s="2111" t="s">
        <v>219</v>
      </c>
      <c r="F73" s="2111"/>
      <c r="G73" s="2112"/>
      <c r="H73" s="2112"/>
      <c r="I73" s="2112"/>
      <c r="J73" s="2112"/>
      <c r="K73" s="2112"/>
      <c r="L73" s="2112"/>
      <c r="M73" s="2112"/>
      <c r="N73" s="2112"/>
      <c r="O73" s="2112"/>
      <c r="P73" s="2112"/>
      <c r="Q73" s="2112"/>
      <c r="R73" s="2112"/>
      <c r="S73" s="2112"/>
      <c r="T73" s="2112"/>
      <c r="U73" s="2112"/>
      <c r="V73" s="2112"/>
      <c r="W73" s="2112"/>
      <c r="AR73" s="42">
        <v>0</v>
      </c>
    </row>
    <row r="74" spans="1:44" ht="15" hidden="1" customHeight="1">
      <c r="E74" s="276"/>
      <c r="F74" s="1210"/>
      <c r="G74" s="93"/>
      <c r="H74" s="93"/>
      <c r="I74" s="93"/>
      <c r="J74" s="93"/>
      <c r="K74" s="93"/>
      <c r="L74" s="93"/>
      <c r="M74" s="93"/>
      <c r="N74" s="93"/>
      <c r="O74" s="93"/>
      <c r="P74" s="93"/>
      <c r="Q74" s="93"/>
      <c r="R74" s="93"/>
      <c r="S74" s="93"/>
      <c r="T74" s="93"/>
      <c r="U74" s="93"/>
      <c r="V74" s="93"/>
      <c r="W74" s="93"/>
      <c r="AR74" s="42">
        <v>0</v>
      </c>
    </row>
    <row r="75" spans="1:44" ht="15" hidden="1" customHeight="1">
      <c r="E75" s="2113" t="s">
        <v>220</v>
      </c>
      <c r="F75" s="2113"/>
      <c r="G75" s="2113"/>
      <c r="H75" s="2113"/>
      <c r="I75" s="2113"/>
      <c r="J75" s="2113"/>
      <c r="K75" s="2113"/>
      <c r="L75" s="2113"/>
      <c r="M75" s="2113"/>
      <c r="N75" s="2113"/>
      <c r="O75" s="2113"/>
      <c r="P75" s="2113"/>
      <c r="Q75" s="2113"/>
      <c r="R75" s="2113"/>
      <c r="S75" s="2113"/>
      <c r="T75" s="2113"/>
      <c r="U75" s="2113"/>
      <c r="V75" s="2113"/>
      <c r="W75" s="2113"/>
      <c r="AR75" s="42">
        <v>0</v>
      </c>
    </row>
    <row r="76" spans="1:44" ht="17.25" hidden="1" customHeight="1">
      <c r="E76" s="2111" t="s">
        <v>221</v>
      </c>
      <c r="F76" s="2111"/>
      <c r="G76" s="2112"/>
      <c r="H76" s="2112"/>
      <c r="I76" s="2112"/>
      <c r="J76" s="2112"/>
      <c r="K76" s="2112"/>
      <c r="L76" s="2112"/>
      <c r="M76" s="2112"/>
      <c r="N76" s="2112"/>
      <c r="O76" s="2112"/>
      <c r="P76" s="2112"/>
      <c r="Q76" s="2112"/>
      <c r="R76" s="2112"/>
      <c r="S76" s="2112"/>
      <c r="T76" s="2112"/>
      <c r="U76" s="2112"/>
      <c r="V76" s="2112"/>
      <c r="W76" s="2112"/>
      <c r="AR76" s="42">
        <v>0</v>
      </c>
    </row>
    <row r="77" spans="1:44" ht="17.25" hidden="1" customHeight="1">
      <c r="E77" s="2111" t="s">
        <v>222</v>
      </c>
      <c r="F77" s="2111"/>
      <c r="G77" s="2112"/>
      <c r="H77" s="2112"/>
      <c r="I77" s="2112"/>
      <c r="J77" s="2112"/>
      <c r="K77" s="2112"/>
      <c r="L77" s="2112"/>
      <c r="M77" s="2112"/>
      <c r="N77" s="2112"/>
      <c r="O77" s="2112"/>
      <c r="P77" s="2112"/>
      <c r="Q77" s="2112"/>
      <c r="R77" s="2112"/>
      <c r="S77" s="2112"/>
      <c r="T77" s="2112"/>
      <c r="U77" s="2112"/>
      <c r="V77" s="2112"/>
      <c r="W77" s="2112"/>
      <c r="AR77" s="42">
        <v>0</v>
      </c>
    </row>
    <row r="78" spans="1:44" s="1777" customFormat="1" ht="11.25" hidden="1" customHeight="1">
      <c r="A78" s="213"/>
      <c r="B78" s="213"/>
      <c r="Y78" s="1184"/>
      <c r="Z78" s="1184"/>
      <c r="AA78" s="1184"/>
      <c r="AB78" s="1184"/>
      <c r="AC78" s="1184"/>
      <c r="AD78" s="1184"/>
      <c r="AE78" s="1184"/>
      <c r="AF78" s="1184"/>
      <c r="AG78" s="1184"/>
      <c r="AH78" s="1184"/>
      <c r="AI78" s="1184"/>
      <c r="AJ78" s="1184"/>
      <c r="AK78" s="1184"/>
      <c r="AL78" s="1184"/>
      <c r="AM78" s="1184"/>
      <c r="AN78" s="1184"/>
      <c r="AO78" s="1184"/>
      <c r="AP78" s="1184"/>
      <c r="AQ78" s="1184"/>
      <c r="AR78" s="1275">
        <v>0</v>
      </c>
    </row>
    <row r="79" spans="1:44" s="1777" customFormat="1" ht="17.25" hidden="1" customHeight="1">
      <c r="A79" s="257"/>
      <c r="C79" s="145"/>
      <c r="D79" s="2074">
        <v>1</v>
      </c>
      <c r="E79" s="2082" t="s">
        <v>223</v>
      </c>
      <c r="F79" s="2084" t="s">
        <v>19</v>
      </c>
      <c r="G79" s="2082"/>
      <c r="H79" s="2087"/>
      <c r="I79" s="2089"/>
      <c r="J79" s="2091"/>
      <c r="K79" s="2076"/>
      <c r="L79" s="2076"/>
      <c r="M79" s="2076"/>
      <c r="N79" s="2078"/>
      <c r="O79" s="2076"/>
      <c r="P79" s="2076"/>
      <c r="Q79" s="2076"/>
      <c r="R79" s="2081"/>
      <c r="S79" s="2076"/>
      <c r="T79" s="1395"/>
      <c r="U79" s="1395"/>
      <c r="V79" s="1397"/>
      <c r="W79" s="1221"/>
      <c r="Y79" s="1192"/>
      <c r="Z79" s="1192"/>
      <c r="AA79" s="1192"/>
      <c r="AB79" s="1192"/>
      <c r="AC79" s="1192" t="s">
        <v>224</v>
      </c>
      <c r="AD79" s="1192" t="s">
        <v>225</v>
      </c>
      <c r="AE79" s="1192" t="s">
        <v>226</v>
      </c>
      <c r="AF79" s="1192" t="s">
        <v>227</v>
      </c>
      <c r="AG79" s="1192"/>
      <c r="AH79" s="1192" t="str">
        <f>IF($E$79=0,"",$E$79)</f>
        <v>Тариф на питьевую воду (питьевое водоснабжение)</v>
      </c>
      <c r="AI79" s="1192" t="str">
        <f>IF($G$79=0,"",$G$79)</f>
        <v/>
      </c>
      <c r="AJ79" s="1192" t="str">
        <f>IF($J$79=0,"",$J$79)</f>
        <v/>
      </c>
      <c r="AK79" s="1192" t="str">
        <f>IF($K$79="нет","без дифференциации",IF($N$79=0,"",$N$79))</f>
        <v/>
      </c>
      <c r="AL79" s="1192" t="str">
        <f>IF($O$79="нет","без дифференциации",IF($R$79=0,"",$R$79))</f>
        <v/>
      </c>
      <c r="AM79" s="1192" t="str">
        <f>IF($S$79="нет","без дифференциации",IF($V$79=0,"",$V$79))</f>
        <v/>
      </c>
      <c r="AN79" s="1192">
        <f>$I$79</f>
        <v>0</v>
      </c>
      <c r="AO79" s="1192" t="str">
        <f>$I$79&amp;"."&amp;$M$79</f>
        <v>.</v>
      </c>
      <c r="AP79" s="1192" t="str">
        <f>$I$79&amp;"."&amp;$M$79&amp;"."&amp;$Q$79</f>
        <v>..</v>
      </c>
      <c r="AQ79" s="1192" t="str">
        <f>$I$79&amp;"."&amp;$M$79&amp;"."&amp;$Q$79&amp;"."&amp;$U$79</f>
        <v>...</v>
      </c>
      <c r="AR79" s="1275">
        <v>0</v>
      </c>
    </row>
    <row r="80" spans="1:44" s="1777" customFormat="1" ht="17.25" hidden="1" customHeight="1">
      <c r="A80" s="257"/>
      <c r="C80" s="256"/>
      <c r="D80" s="2074"/>
      <c r="E80" s="2082"/>
      <c r="F80" s="2085"/>
      <c r="G80" s="2082"/>
      <c r="H80" s="2088"/>
      <c r="I80" s="2090"/>
      <c r="J80" s="2092"/>
      <c r="K80" s="2077"/>
      <c r="L80" s="2077"/>
      <c r="M80" s="2077"/>
      <c r="N80" s="2079"/>
      <c r="O80" s="2077"/>
      <c r="P80" s="2077"/>
      <c r="Q80" s="2077"/>
      <c r="R80" s="2080"/>
      <c r="S80" s="2077"/>
      <c r="T80" s="1222"/>
      <c r="U80" s="1222"/>
      <c r="V80" s="1222"/>
      <c r="W80" s="1223"/>
      <c r="Y80" s="1184"/>
      <c r="Z80" s="1184"/>
      <c r="AA80" s="1184"/>
      <c r="AB80" s="1184"/>
      <c r="AC80" s="1184"/>
      <c r="AD80" s="1184"/>
      <c r="AE80" s="1184"/>
      <c r="AF80" s="1184"/>
      <c r="AG80" s="1184"/>
      <c r="AH80" s="1184"/>
      <c r="AI80" s="1184"/>
      <c r="AJ80" s="1184"/>
      <c r="AK80" s="1184"/>
      <c r="AL80" s="1184"/>
      <c r="AM80" s="1184"/>
      <c r="AN80" s="1184"/>
      <c r="AO80" s="1184"/>
      <c r="AP80" s="1184"/>
      <c r="AQ80" s="1184"/>
      <c r="AR80" s="1275">
        <v>0</v>
      </c>
    </row>
    <row r="81" spans="1:44" s="1777" customFormat="1" ht="17.25" hidden="1" customHeight="1">
      <c r="A81" s="257"/>
      <c r="C81" s="145"/>
      <c r="D81" s="2074"/>
      <c r="E81" s="2082"/>
      <c r="F81" s="2085"/>
      <c r="G81" s="2082"/>
      <c r="H81" s="2088"/>
      <c r="I81" s="2090"/>
      <c r="J81" s="2093"/>
      <c r="K81" s="2077"/>
      <c r="L81" s="2077"/>
      <c r="M81" s="2077"/>
      <c r="N81" s="2080"/>
      <c r="O81" s="2077"/>
      <c r="P81" s="1396"/>
      <c r="Q81" s="1222"/>
      <c r="R81" s="1222"/>
      <c r="S81" s="265"/>
      <c r="T81" s="265"/>
      <c r="U81" s="265"/>
      <c r="V81" s="265"/>
      <c r="W81" s="1223"/>
      <c r="Y81" s="1192"/>
      <c r="Z81" s="1192"/>
      <c r="AA81" s="1192"/>
      <c r="AB81" s="1192"/>
      <c r="AC81" s="1192"/>
      <c r="AD81" s="1192"/>
      <c r="AE81" s="1192"/>
      <c r="AF81" s="1192"/>
      <c r="AG81" s="1192"/>
      <c r="AH81" s="1192"/>
      <c r="AI81" s="1192"/>
      <c r="AJ81" s="1192"/>
      <c r="AK81" s="1192"/>
      <c r="AL81" s="1192"/>
      <c r="AM81" s="1192"/>
      <c r="AN81" s="1192"/>
      <c r="AO81" s="1192"/>
      <c r="AP81" s="1192"/>
      <c r="AQ81" s="1192"/>
      <c r="AR81" s="1366">
        <v>0</v>
      </c>
    </row>
    <row r="82" spans="1:44" s="1777" customFormat="1" ht="17.25" hidden="1" customHeight="1">
      <c r="A82" s="257"/>
      <c r="C82" s="256"/>
      <c r="D82" s="2074"/>
      <c r="E82" s="2082"/>
      <c r="F82" s="2085"/>
      <c r="G82" s="2082"/>
      <c r="H82" s="2088"/>
      <c r="I82" s="2090"/>
      <c r="J82" s="2093"/>
      <c r="K82" s="2077"/>
      <c r="L82" s="1222"/>
      <c r="M82" s="1222"/>
      <c r="N82" s="1222"/>
      <c r="O82" s="1222"/>
      <c r="P82" s="1222"/>
      <c r="Q82" s="1222"/>
      <c r="R82" s="1222"/>
      <c r="S82" s="265"/>
      <c r="T82" s="265"/>
      <c r="U82" s="265"/>
      <c r="V82" s="265"/>
      <c r="W82" s="1223"/>
      <c r="Y82" s="1184"/>
      <c r="Z82" s="1184"/>
      <c r="AA82" s="1184"/>
      <c r="AB82" s="1184"/>
      <c r="AC82" s="1184"/>
      <c r="AD82" s="1184"/>
      <c r="AE82" s="1184"/>
      <c r="AF82" s="1184"/>
      <c r="AG82" s="1184"/>
      <c r="AH82" s="1184"/>
      <c r="AI82" s="1184"/>
      <c r="AJ82" s="1184"/>
      <c r="AK82" s="1184"/>
      <c r="AL82" s="1184"/>
      <c r="AM82" s="1184"/>
      <c r="AN82" s="1184"/>
      <c r="AO82" s="1184"/>
      <c r="AP82" s="1184"/>
      <c r="AQ82" s="1184"/>
      <c r="AR82" s="1366">
        <v>0</v>
      </c>
    </row>
    <row r="83" spans="1:44" s="1777" customFormat="1" ht="17.25" hidden="1" customHeight="1">
      <c r="A83" s="257"/>
      <c r="C83" s="256"/>
      <c r="D83" s="2075"/>
      <c r="E83" s="2083"/>
      <c r="F83" s="2086"/>
      <c r="G83" s="2083"/>
      <c r="H83" s="1224"/>
      <c r="I83" s="1225"/>
      <c r="J83" s="1225"/>
      <c r="K83" s="1225"/>
      <c r="L83" s="1225"/>
      <c r="M83" s="1225"/>
      <c r="N83" s="1225"/>
      <c r="O83" s="1225"/>
      <c r="P83" s="1225"/>
      <c r="Q83" s="1225"/>
      <c r="R83" s="1225"/>
      <c r="S83" s="1226"/>
      <c r="T83" s="1226"/>
      <c r="U83" s="1226"/>
      <c r="V83" s="1226"/>
      <c r="W83" s="1227"/>
      <c r="Y83" s="1184"/>
      <c r="Z83" s="1184"/>
      <c r="AA83" s="1184"/>
      <c r="AB83" s="1184"/>
      <c r="AC83" s="1184"/>
      <c r="AD83" s="1184"/>
      <c r="AE83" s="1184"/>
      <c r="AF83" s="1184"/>
      <c r="AG83" s="1184"/>
      <c r="AH83" s="1184"/>
      <c r="AI83" s="1184"/>
      <c r="AJ83" s="1184"/>
      <c r="AK83" s="1184"/>
      <c r="AL83" s="1184"/>
      <c r="AM83" s="1184"/>
      <c r="AN83" s="1184"/>
      <c r="AO83" s="1184"/>
      <c r="AP83" s="1184"/>
      <c r="AQ83" s="1184"/>
      <c r="AR83" s="1275">
        <v>0</v>
      </c>
    </row>
    <row r="84" spans="1:44" s="1777" customFormat="1" ht="17.25" hidden="1" customHeight="1">
      <c r="A84" s="257"/>
      <c r="C84" s="145"/>
      <c r="D84" s="2074">
        <v>2</v>
      </c>
      <c r="E84" s="2082" t="s">
        <v>228</v>
      </c>
      <c r="F84" s="2084" t="s">
        <v>19</v>
      </c>
      <c r="G84" s="2082"/>
      <c r="H84" s="2087"/>
      <c r="I84" s="2089"/>
      <c r="J84" s="2091"/>
      <c r="K84" s="2076"/>
      <c r="L84" s="2076"/>
      <c r="M84" s="2076"/>
      <c r="N84" s="2078"/>
      <c r="O84" s="2076"/>
      <c r="P84" s="2076"/>
      <c r="Q84" s="2076"/>
      <c r="R84" s="2081"/>
      <c r="S84" s="2076"/>
      <c r="T84" s="1368"/>
      <c r="U84" s="1368"/>
      <c r="V84" s="1370"/>
      <c r="W84" s="1221"/>
      <c r="X84" s="1192"/>
      <c r="Y84" s="1192"/>
      <c r="Z84" s="1192"/>
      <c r="AA84" s="1192"/>
      <c r="AB84" s="1192"/>
      <c r="AC84" s="1192" t="s">
        <v>229</v>
      </c>
      <c r="AD84" s="1192" t="s">
        <v>230</v>
      </c>
      <c r="AE84" s="1192" t="s">
        <v>231</v>
      </c>
      <c r="AF84" s="1192" t="s">
        <v>232</v>
      </c>
      <c r="AG84" s="1192"/>
      <c r="AH84" s="1192" t="str">
        <f>IF($E$84=0,"",$E$84)</f>
        <v>Тариф на техническую воду</v>
      </c>
      <c r="AI84" s="1192" t="str">
        <f>IF($G$84=0,"",$G$84)</f>
        <v/>
      </c>
      <c r="AJ84" s="1192" t="str">
        <f>IF($J$84=0,"",$J$84)</f>
        <v/>
      </c>
      <c r="AK84" s="1192" t="str">
        <f>IF($K$84="нет","без дифференциации",IF($N$84=0,"",$N$84))</f>
        <v/>
      </c>
      <c r="AL84" s="1192" t="str">
        <f>IF($O$84="нет","без дифференциации",IF($R$84=0,"",$R$84))</f>
        <v/>
      </c>
      <c r="AM84" s="1192" t="str">
        <f>IF($S$84="нет","без дифференциации",IF($V$84=0,"",$V$84))</f>
        <v/>
      </c>
      <c r="AN84" s="1697">
        <f>$I$84</f>
        <v>0</v>
      </c>
      <c r="AO84" s="1192" t="str">
        <f>$I$84&amp;"."&amp;$M$84</f>
        <v>.</v>
      </c>
      <c r="AP84" s="1184" t="str">
        <f>$I$84&amp;"."&amp;$M$84&amp;"."&amp;$Q$84</f>
        <v>..</v>
      </c>
      <c r="AQ84" s="1184" t="str">
        <f>$I$84&amp;"."&amp;$M$84&amp;"."&amp;$Q$84&amp;"."&amp;$U$84</f>
        <v>...</v>
      </c>
      <c r="AR84" s="1275">
        <v>0</v>
      </c>
    </row>
    <row r="85" spans="1:44" s="1777" customFormat="1" ht="17.25" hidden="1" customHeight="1">
      <c r="A85" s="257"/>
      <c r="C85" s="256"/>
      <c r="D85" s="2074"/>
      <c r="E85" s="2082"/>
      <c r="F85" s="2085"/>
      <c r="G85" s="2082"/>
      <c r="H85" s="2088"/>
      <c r="I85" s="2090"/>
      <c r="J85" s="2092"/>
      <c r="K85" s="2077"/>
      <c r="L85" s="2077"/>
      <c r="M85" s="2077"/>
      <c r="N85" s="2079"/>
      <c r="O85" s="2077"/>
      <c r="P85" s="2077"/>
      <c r="Q85" s="2077"/>
      <c r="R85" s="2080"/>
      <c r="S85" s="2077"/>
      <c r="T85" s="1222"/>
      <c r="U85" s="1222"/>
      <c r="V85" s="1222"/>
      <c r="W85" s="1223"/>
      <c r="X85" s="1184"/>
      <c r="Y85" s="1184"/>
      <c r="Z85" s="1184"/>
      <c r="AA85" s="1184"/>
      <c r="AB85" s="1184"/>
      <c r="AC85" s="1184"/>
      <c r="AD85" s="1184"/>
      <c r="AE85" s="1184"/>
      <c r="AF85" s="1184"/>
      <c r="AG85" s="1184"/>
      <c r="AH85" s="1184"/>
      <c r="AI85" s="1184"/>
      <c r="AJ85" s="1184"/>
      <c r="AK85" s="1184"/>
      <c r="AL85" s="1184"/>
      <c r="AM85" s="1184"/>
      <c r="AN85" s="1184"/>
      <c r="AO85" s="1184"/>
      <c r="AP85" s="1184"/>
      <c r="AQ85" s="1184"/>
      <c r="AR85" s="1275">
        <v>0</v>
      </c>
    </row>
    <row r="86" spans="1:44" s="1777" customFormat="1" ht="17.25" hidden="1" customHeight="1">
      <c r="A86" s="257"/>
      <c r="C86" s="256"/>
      <c r="D86" s="2075"/>
      <c r="E86" s="2083"/>
      <c r="F86" s="2085"/>
      <c r="G86" s="2083"/>
      <c r="H86" s="2088"/>
      <c r="I86" s="2090"/>
      <c r="J86" s="2093"/>
      <c r="K86" s="2077"/>
      <c r="L86" s="2077"/>
      <c r="M86" s="2077"/>
      <c r="N86" s="2080"/>
      <c r="O86" s="2077"/>
      <c r="P86" s="1369"/>
      <c r="Q86" s="1222"/>
      <c r="R86" s="1222"/>
      <c r="S86" s="265"/>
      <c r="T86" s="265"/>
      <c r="U86" s="265"/>
      <c r="V86" s="265"/>
      <c r="W86" s="1223"/>
      <c r="X86" s="1184"/>
      <c r="Y86" s="1184"/>
      <c r="Z86" s="1184"/>
      <c r="AA86" s="1184"/>
      <c r="AB86" s="1184"/>
      <c r="AC86" s="1184"/>
      <c r="AD86" s="1184"/>
      <c r="AE86" s="1184"/>
      <c r="AF86" s="1184"/>
      <c r="AG86" s="1184"/>
      <c r="AH86" s="1184"/>
      <c r="AI86" s="1184"/>
      <c r="AJ86" s="1184"/>
      <c r="AK86" s="1184"/>
      <c r="AL86" s="1184"/>
      <c r="AM86" s="1184"/>
      <c r="AN86" s="1184"/>
      <c r="AO86" s="1184"/>
      <c r="AP86" s="1184"/>
      <c r="AQ86" s="1184"/>
      <c r="AR86" s="1275">
        <v>0</v>
      </c>
    </row>
    <row r="87" spans="1:44" s="1777" customFormat="1" ht="17.25" hidden="1" customHeight="1">
      <c r="A87" s="257"/>
      <c r="C87" s="256"/>
      <c r="D87" s="2075"/>
      <c r="E87" s="2083"/>
      <c r="F87" s="2085"/>
      <c r="G87" s="2083"/>
      <c r="H87" s="2088"/>
      <c r="I87" s="2090"/>
      <c r="J87" s="2093"/>
      <c r="K87" s="2077"/>
      <c r="L87" s="1222"/>
      <c r="M87" s="1222"/>
      <c r="N87" s="1222"/>
      <c r="O87" s="1222"/>
      <c r="P87" s="1222"/>
      <c r="Q87" s="1222"/>
      <c r="R87" s="1222"/>
      <c r="S87" s="265"/>
      <c r="T87" s="265"/>
      <c r="U87" s="265"/>
      <c r="V87" s="265"/>
      <c r="W87" s="1223"/>
      <c r="X87" s="1184"/>
      <c r="Y87" s="1184"/>
      <c r="Z87" s="1184"/>
      <c r="AA87" s="1184"/>
      <c r="AB87" s="1184"/>
      <c r="AC87" s="1184"/>
      <c r="AD87" s="1184"/>
      <c r="AE87" s="1184"/>
      <c r="AF87" s="1184"/>
      <c r="AG87" s="1184"/>
      <c r="AH87" s="1184"/>
      <c r="AI87" s="1184"/>
      <c r="AJ87" s="1184"/>
      <c r="AK87" s="1184"/>
      <c r="AL87" s="1184"/>
      <c r="AM87" s="1184"/>
      <c r="AN87" s="1184"/>
      <c r="AO87" s="1184"/>
      <c r="AP87" s="1184"/>
      <c r="AQ87" s="1184"/>
      <c r="AR87" s="1275">
        <v>0</v>
      </c>
    </row>
    <row r="88" spans="1:44" s="1777" customFormat="1" ht="17.25" hidden="1" customHeight="1">
      <c r="A88" s="257"/>
      <c r="C88" s="256"/>
      <c r="D88" s="2075"/>
      <c r="E88" s="2083"/>
      <c r="F88" s="2086"/>
      <c r="G88" s="2083"/>
      <c r="H88" s="1224"/>
      <c r="I88" s="1225"/>
      <c r="J88" s="1225"/>
      <c r="K88" s="1225"/>
      <c r="L88" s="1225"/>
      <c r="M88" s="1225"/>
      <c r="N88" s="1225"/>
      <c r="O88" s="1225"/>
      <c r="P88" s="1225"/>
      <c r="Q88" s="1225"/>
      <c r="R88" s="1225"/>
      <c r="S88" s="1226"/>
      <c r="T88" s="1226"/>
      <c r="U88" s="1226"/>
      <c r="V88" s="1226"/>
      <c r="W88" s="1227"/>
      <c r="X88" s="1184"/>
      <c r="Y88" s="1184"/>
      <c r="Z88" s="1184"/>
      <c r="AA88" s="1184"/>
      <c r="AB88" s="1184"/>
      <c r="AC88" s="1184"/>
      <c r="AD88" s="1184"/>
      <c r="AE88" s="1184"/>
      <c r="AF88" s="1184"/>
      <c r="AG88" s="1184"/>
      <c r="AH88" s="1184"/>
      <c r="AI88" s="1184"/>
      <c r="AJ88" s="1184"/>
      <c r="AK88" s="1184"/>
      <c r="AL88" s="1184"/>
      <c r="AM88" s="1184"/>
      <c r="AN88" s="1184"/>
      <c r="AO88" s="1184"/>
      <c r="AP88" s="1184"/>
      <c r="AQ88" s="1184"/>
      <c r="AR88" s="1275">
        <v>0</v>
      </c>
    </row>
    <row r="89" spans="1:44" s="1777" customFormat="1" ht="17.25" hidden="1" customHeight="1">
      <c r="A89" s="257"/>
      <c r="C89" s="145"/>
      <c r="D89" s="2074">
        <v>3</v>
      </c>
      <c r="E89" s="2082" t="s">
        <v>233</v>
      </c>
      <c r="F89" s="2084" t="s">
        <v>19</v>
      </c>
      <c r="G89" s="2082"/>
      <c r="H89" s="2087"/>
      <c r="I89" s="2089"/>
      <c r="J89" s="2091"/>
      <c r="K89" s="2076"/>
      <c r="L89" s="2076"/>
      <c r="M89" s="2076"/>
      <c r="N89" s="2078"/>
      <c r="O89" s="2076"/>
      <c r="P89" s="2076"/>
      <c r="Q89" s="2076"/>
      <c r="R89" s="2081"/>
      <c r="S89" s="2076"/>
      <c r="T89" s="1368"/>
      <c r="U89" s="1368"/>
      <c r="V89" s="1370"/>
      <c r="W89" s="1221"/>
      <c r="X89" s="1192"/>
      <c r="Y89" s="1192"/>
      <c r="Z89" s="1192"/>
      <c r="AA89" s="1192"/>
      <c r="AB89" s="1192"/>
      <c r="AC89" s="1192" t="s">
        <v>234</v>
      </c>
      <c r="AD89" s="1192" t="s">
        <v>235</v>
      </c>
      <c r="AE89" s="1192" t="s">
        <v>236</v>
      </c>
      <c r="AF89" s="1192" t="s">
        <v>237</v>
      </c>
      <c r="AG89" s="1192"/>
      <c r="AH89" s="1192" t="str">
        <f>IF($E$89=0,"",$E$89)</f>
        <v>Тариф на транспортировку воды</v>
      </c>
      <c r="AI89" s="1192" t="str">
        <f>IF($G$89=0,"",$G$89)</f>
        <v/>
      </c>
      <c r="AJ89" s="1192" t="str">
        <f>IF($J$89=0,"",$J$89)</f>
        <v/>
      </c>
      <c r="AK89" s="1192" t="str">
        <f>IF($K$89="нет","без дифференциации",IF($N$89=0,"",$N$89))</f>
        <v/>
      </c>
      <c r="AL89" s="1192" t="str">
        <f>IF($O$89="нет","без дифференциации",IF($R$89=0,"",$R$89))</f>
        <v/>
      </c>
      <c r="AM89" s="1192" t="str">
        <f>IF($S$89="нет","без дифференциации",IF($V$89=0,"",$V$89))</f>
        <v/>
      </c>
      <c r="AN89" s="1697">
        <f>$I$89</f>
        <v>0</v>
      </c>
      <c r="AO89" s="1192" t="str">
        <f>$I$89&amp;"."&amp;$M$89</f>
        <v>.</v>
      </c>
      <c r="AP89" s="1184" t="str">
        <f>$I$89&amp;"."&amp;$M$89&amp;"."&amp;$Q$89</f>
        <v>..</v>
      </c>
      <c r="AQ89" s="1184" t="str">
        <f>$I$89&amp;"."&amp;$M$89&amp;"."&amp;$Q$89&amp;"."&amp;$U$89</f>
        <v>...</v>
      </c>
      <c r="AR89" s="1275">
        <v>0</v>
      </c>
    </row>
    <row r="90" spans="1:44" s="1777" customFormat="1" ht="17.25" hidden="1" customHeight="1">
      <c r="A90" s="257"/>
      <c r="C90" s="256"/>
      <c r="D90" s="2074"/>
      <c r="E90" s="2082"/>
      <c r="F90" s="2085"/>
      <c r="G90" s="2082"/>
      <c r="H90" s="2088"/>
      <c r="I90" s="2090"/>
      <c r="J90" s="2092"/>
      <c r="K90" s="2077"/>
      <c r="L90" s="2077"/>
      <c r="M90" s="2077"/>
      <c r="N90" s="2079"/>
      <c r="O90" s="2077"/>
      <c r="P90" s="2077"/>
      <c r="Q90" s="2077"/>
      <c r="R90" s="2080"/>
      <c r="S90" s="2077"/>
      <c r="T90" s="1222"/>
      <c r="U90" s="1222"/>
      <c r="V90" s="1222"/>
      <c r="W90" s="1223"/>
      <c r="X90" s="1184"/>
      <c r="Y90" s="1184"/>
      <c r="Z90" s="1184"/>
      <c r="AA90" s="1184"/>
      <c r="AB90" s="1184"/>
      <c r="AC90" s="1184"/>
      <c r="AD90" s="1184"/>
      <c r="AE90" s="1184"/>
      <c r="AF90" s="1184"/>
      <c r="AG90" s="1184"/>
      <c r="AH90" s="1184"/>
      <c r="AI90" s="1184"/>
      <c r="AJ90" s="1184"/>
      <c r="AK90" s="1184"/>
      <c r="AL90" s="1184"/>
      <c r="AM90" s="1184"/>
      <c r="AN90" s="1184"/>
      <c r="AO90" s="1184"/>
      <c r="AP90" s="1184"/>
      <c r="AQ90" s="1184"/>
      <c r="AR90" s="1275">
        <v>0</v>
      </c>
    </row>
    <row r="91" spans="1:44" s="1777" customFormat="1" ht="17.25" hidden="1" customHeight="1">
      <c r="A91" s="257"/>
      <c r="C91" s="256"/>
      <c r="D91" s="2075"/>
      <c r="E91" s="2083"/>
      <c r="F91" s="2085"/>
      <c r="G91" s="2083"/>
      <c r="H91" s="2088"/>
      <c r="I91" s="2090"/>
      <c r="J91" s="2093"/>
      <c r="K91" s="2077"/>
      <c r="L91" s="2077"/>
      <c r="M91" s="2077"/>
      <c r="N91" s="2080"/>
      <c r="O91" s="2077"/>
      <c r="P91" s="1369"/>
      <c r="Q91" s="1222"/>
      <c r="R91" s="1222"/>
      <c r="S91" s="265"/>
      <c r="T91" s="265"/>
      <c r="U91" s="265"/>
      <c r="V91" s="265"/>
      <c r="W91" s="1223"/>
      <c r="X91" s="1184"/>
      <c r="Y91" s="1184"/>
      <c r="Z91" s="1184"/>
      <c r="AA91" s="1184"/>
      <c r="AB91" s="1184"/>
      <c r="AC91" s="1184"/>
      <c r="AD91" s="1184"/>
      <c r="AE91" s="1184"/>
      <c r="AF91" s="1184"/>
      <c r="AG91" s="1184"/>
      <c r="AH91" s="1184"/>
      <c r="AI91" s="1184"/>
      <c r="AJ91" s="1184"/>
      <c r="AK91" s="1184"/>
      <c r="AL91" s="1184"/>
      <c r="AM91" s="1184"/>
      <c r="AN91" s="1184"/>
      <c r="AO91" s="1184"/>
      <c r="AP91" s="1184"/>
      <c r="AQ91" s="1184"/>
      <c r="AR91" s="1275">
        <v>0</v>
      </c>
    </row>
    <row r="92" spans="1:44" s="1777" customFormat="1" ht="17.25" hidden="1" customHeight="1">
      <c r="A92" s="257"/>
      <c r="C92" s="256"/>
      <c r="D92" s="2075"/>
      <c r="E92" s="2083"/>
      <c r="F92" s="2085"/>
      <c r="G92" s="2083"/>
      <c r="H92" s="2088"/>
      <c r="I92" s="2090"/>
      <c r="J92" s="2093"/>
      <c r="K92" s="2077"/>
      <c r="L92" s="1222"/>
      <c r="M92" s="1222"/>
      <c r="N92" s="1222"/>
      <c r="O92" s="1222"/>
      <c r="P92" s="1222"/>
      <c r="Q92" s="1222"/>
      <c r="R92" s="1222"/>
      <c r="S92" s="265"/>
      <c r="T92" s="265"/>
      <c r="U92" s="265"/>
      <c r="V92" s="265"/>
      <c r="W92" s="1223"/>
      <c r="X92" s="1184"/>
      <c r="Y92" s="1184"/>
      <c r="Z92" s="1184"/>
      <c r="AA92" s="1184"/>
      <c r="AB92" s="1184"/>
      <c r="AC92" s="1184"/>
      <c r="AD92" s="1184"/>
      <c r="AE92" s="1184"/>
      <c r="AF92" s="1184"/>
      <c r="AG92" s="1184"/>
      <c r="AH92" s="1184"/>
      <c r="AI92" s="1184"/>
      <c r="AJ92" s="1184"/>
      <c r="AK92" s="1184"/>
      <c r="AL92" s="1184"/>
      <c r="AM92" s="1184"/>
      <c r="AN92" s="1184"/>
      <c r="AO92" s="1184"/>
      <c r="AP92" s="1184"/>
      <c r="AQ92" s="1184"/>
      <c r="AR92" s="1275">
        <v>0</v>
      </c>
    </row>
    <row r="93" spans="1:44" s="1777" customFormat="1" ht="17.25" hidden="1" customHeight="1">
      <c r="A93" s="257"/>
      <c r="C93" s="256"/>
      <c r="D93" s="2075"/>
      <c r="E93" s="2083"/>
      <c r="F93" s="2086"/>
      <c r="G93" s="2083"/>
      <c r="H93" s="1224"/>
      <c r="I93" s="1225"/>
      <c r="J93" s="1225"/>
      <c r="K93" s="1225"/>
      <c r="L93" s="1225"/>
      <c r="M93" s="1225"/>
      <c r="N93" s="1225"/>
      <c r="O93" s="1225"/>
      <c r="P93" s="1225"/>
      <c r="Q93" s="1225"/>
      <c r="R93" s="1225"/>
      <c r="S93" s="1226"/>
      <c r="T93" s="1226"/>
      <c r="U93" s="1226"/>
      <c r="V93" s="1226"/>
      <c r="W93" s="1227"/>
      <c r="X93" s="1184"/>
      <c r="Y93" s="1184"/>
      <c r="Z93" s="1184"/>
      <c r="AA93" s="1184"/>
      <c r="AB93" s="1184"/>
      <c r="AC93" s="1184"/>
      <c r="AD93" s="1184"/>
      <c r="AE93" s="1184"/>
      <c r="AF93" s="1184"/>
      <c r="AG93" s="1184"/>
      <c r="AH93" s="1184"/>
      <c r="AI93" s="1184"/>
      <c r="AJ93" s="1184"/>
      <c r="AK93" s="1184"/>
      <c r="AL93" s="1184"/>
      <c r="AM93" s="1184"/>
      <c r="AN93" s="1184"/>
      <c r="AO93" s="1184"/>
      <c r="AP93" s="1184"/>
      <c r="AQ93" s="1184"/>
      <c r="AR93" s="1275">
        <v>0</v>
      </c>
    </row>
    <row r="94" spans="1:44" s="1777" customFormat="1" ht="17.25" hidden="1" customHeight="1">
      <c r="A94" s="257"/>
      <c r="C94" s="145"/>
      <c r="D94" s="2074">
        <v>4</v>
      </c>
      <c r="E94" s="2082" t="s">
        <v>238</v>
      </c>
      <c r="F94" s="2084" t="s">
        <v>19</v>
      </c>
      <c r="G94" s="2082"/>
      <c r="H94" s="2087"/>
      <c r="I94" s="2089"/>
      <c r="J94" s="2091"/>
      <c r="K94" s="2076"/>
      <c r="L94" s="2076"/>
      <c r="M94" s="2076"/>
      <c r="N94" s="2078"/>
      <c r="O94" s="2076"/>
      <c r="P94" s="2076"/>
      <c r="Q94" s="2076"/>
      <c r="R94" s="2081"/>
      <c r="S94" s="2076"/>
      <c r="T94" s="1368"/>
      <c r="U94" s="1368"/>
      <c r="V94" s="1370"/>
      <c r="W94" s="1221"/>
      <c r="X94" s="1192"/>
      <c r="Y94" s="1192"/>
      <c r="Z94" s="1192"/>
      <c r="AA94" s="1192"/>
      <c r="AB94" s="1192"/>
      <c r="AC94" s="1192" t="s">
        <v>239</v>
      </c>
      <c r="AD94" s="1192" t="s">
        <v>240</v>
      </c>
      <c r="AE94" s="1192" t="s">
        <v>241</v>
      </c>
      <c r="AF94" s="1192" t="s">
        <v>242</v>
      </c>
      <c r="AG94" s="1192"/>
      <c r="AH94" s="1192" t="str">
        <f>IF($E$94=0,"",$E$94)</f>
        <v>Тариф на подвоз воды</v>
      </c>
      <c r="AI94" s="1192" t="str">
        <f>IF($G$94=0,"",$G$94)</f>
        <v/>
      </c>
      <c r="AJ94" s="1192" t="str">
        <f>IF($J$94=0,"",$J$94)</f>
        <v/>
      </c>
      <c r="AK94" s="1192" t="str">
        <f>IF($K$94="нет","без дифференциации",IF($N$94=0,"",$N$94))</f>
        <v/>
      </c>
      <c r="AL94" s="1192" t="str">
        <f>IF($O$94="нет","без дифференциации",IF($R$94=0,"",$R$94))</f>
        <v/>
      </c>
      <c r="AM94" s="1192" t="str">
        <f>IF($S$94="нет","без дифференциации",IF($V$94=0,"",$V$94))</f>
        <v/>
      </c>
      <c r="AN94" s="1697">
        <f>$I$94</f>
        <v>0</v>
      </c>
      <c r="AO94" s="1192" t="str">
        <f>$I$94&amp;"."&amp;$M$94</f>
        <v>.</v>
      </c>
      <c r="AP94" s="1184" t="str">
        <f>$I$94&amp;"."&amp;$M$94&amp;"."&amp;$Q$94</f>
        <v>..</v>
      </c>
      <c r="AQ94" s="1184" t="str">
        <f>$I$94&amp;"."&amp;$M$94&amp;"."&amp;$Q$94&amp;"."&amp;$U$94</f>
        <v>...</v>
      </c>
      <c r="AR94" s="1275">
        <v>0</v>
      </c>
    </row>
    <row r="95" spans="1:44" s="1777" customFormat="1" ht="17.25" hidden="1" customHeight="1">
      <c r="A95" s="257"/>
      <c r="C95" s="256"/>
      <c r="D95" s="2074"/>
      <c r="E95" s="2082"/>
      <c r="F95" s="2085"/>
      <c r="G95" s="2082"/>
      <c r="H95" s="2088"/>
      <c r="I95" s="2090"/>
      <c r="J95" s="2092"/>
      <c r="K95" s="2077"/>
      <c r="L95" s="2077"/>
      <c r="M95" s="2077"/>
      <c r="N95" s="2079"/>
      <c r="O95" s="2077"/>
      <c r="P95" s="2077"/>
      <c r="Q95" s="2077"/>
      <c r="R95" s="2080"/>
      <c r="S95" s="2077"/>
      <c r="T95" s="1222"/>
      <c r="U95" s="1222"/>
      <c r="V95" s="1222"/>
      <c r="W95" s="1223"/>
      <c r="X95" s="1184"/>
      <c r="Y95" s="1184"/>
      <c r="Z95" s="1184"/>
      <c r="AA95" s="1184"/>
      <c r="AB95" s="1184"/>
      <c r="AC95" s="1184"/>
      <c r="AD95" s="1184"/>
      <c r="AE95" s="1184"/>
      <c r="AF95" s="1184"/>
      <c r="AG95" s="1184"/>
      <c r="AH95" s="1184"/>
      <c r="AI95" s="1184"/>
      <c r="AJ95" s="1184"/>
      <c r="AK95" s="1184"/>
      <c r="AL95" s="1184"/>
      <c r="AM95" s="1184"/>
      <c r="AN95" s="1184"/>
      <c r="AO95" s="1184"/>
      <c r="AP95" s="1184"/>
      <c r="AQ95" s="1184"/>
      <c r="AR95" s="1275">
        <v>0</v>
      </c>
    </row>
    <row r="96" spans="1:44" s="1777" customFormat="1" ht="17.25" hidden="1" customHeight="1">
      <c r="A96" s="257"/>
      <c r="C96" s="256"/>
      <c r="D96" s="2075"/>
      <c r="E96" s="2083"/>
      <c r="F96" s="2085"/>
      <c r="G96" s="2083"/>
      <c r="H96" s="2088"/>
      <c r="I96" s="2090"/>
      <c r="J96" s="2093"/>
      <c r="K96" s="2077"/>
      <c r="L96" s="2077"/>
      <c r="M96" s="2077"/>
      <c r="N96" s="2080"/>
      <c r="O96" s="2077"/>
      <c r="P96" s="1369"/>
      <c r="Q96" s="1222"/>
      <c r="R96" s="1222"/>
      <c r="S96" s="265"/>
      <c r="T96" s="265"/>
      <c r="U96" s="265"/>
      <c r="V96" s="265"/>
      <c r="W96" s="1223"/>
      <c r="X96" s="1184"/>
      <c r="Y96" s="1184"/>
      <c r="Z96" s="1184"/>
      <c r="AA96" s="1184"/>
      <c r="AB96" s="1184"/>
      <c r="AC96" s="1184"/>
      <c r="AD96" s="1184"/>
      <c r="AE96" s="1184"/>
      <c r="AF96" s="1184"/>
      <c r="AG96" s="1184"/>
      <c r="AH96" s="1184"/>
      <c r="AI96" s="1184"/>
      <c r="AJ96" s="1184"/>
      <c r="AK96" s="1184"/>
      <c r="AL96" s="1184"/>
      <c r="AM96" s="1184"/>
      <c r="AN96" s="1184"/>
      <c r="AO96" s="1184"/>
      <c r="AP96" s="1184"/>
      <c r="AQ96" s="1184"/>
      <c r="AR96" s="1275">
        <v>0</v>
      </c>
    </row>
    <row r="97" spans="1:44" s="1777" customFormat="1" ht="17.25" hidden="1" customHeight="1">
      <c r="A97" s="257"/>
      <c r="C97" s="256"/>
      <c r="D97" s="2075"/>
      <c r="E97" s="2083"/>
      <c r="F97" s="2085"/>
      <c r="G97" s="2083"/>
      <c r="H97" s="2088"/>
      <c r="I97" s="2090"/>
      <c r="J97" s="2093"/>
      <c r="K97" s="2077"/>
      <c r="L97" s="1222"/>
      <c r="M97" s="1222"/>
      <c r="N97" s="1222"/>
      <c r="O97" s="1222"/>
      <c r="P97" s="1222"/>
      <c r="Q97" s="1222"/>
      <c r="R97" s="1222"/>
      <c r="S97" s="265"/>
      <c r="T97" s="265"/>
      <c r="U97" s="265"/>
      <c r="V97" s="265"/>
      <c r="W97" s="1223"/>
      <c r="X97" s="1184"/>
      <c r="Y97" s="1184"/>
      <c r="Z97" s="1184"/>
      <c r="AA97" s="1184"/>
      <c r="AB97" s="1184"/>
      <c r="AC97" s="1184"/>
      <c r="AD97" s="1184"/>
      <c r="AE97" s="1184"/>
      <c r="AF97" s="1184"/>
      <c r="AG97" s="1184"/>
      <c r="AH97" s="1184"/>
      <c r="AI97" s="1184"/>
      <c r="AJ97" s="1184"/>
      <c r="AK97" s="1184"/>
      <c r="AL97" s="1184"/>
      <c r="AM97" s="1184"/>
      <c r="AN97" s="1184"/>
      <c r="AO97" s="1184"/>
      <c r="AP97" s="1184"/>
      <c r="AQ97" s="1184"/>
      <c r="AR97" s="1275">
        <v>0</v>
      </c>
    </row>
    <row r="98" spans="1:44" s="1777" customFormat="1" ht="17.25" hidden="1" customHeight="1">
      <c r="A98" s="257"/>
      <c r="C98" s="256"/>
      <c r="D98" s="2075"/>
      <c r="E98" s="2083"/>
      <c r="F98" s="2086"/>
      <c r="G98" s="2083"/>
      <c r="H98" s="1224"/>
      <c r="I98" s="1225"/>
      <c r="J98" s="1225"/>
      <c r="K98" s="1225"/>
      <c r="L98" s="1225"/>
      <c r="M98" s="1225"/>
      <c r="N98" s="1225"/>
      <c r="O98" s="1225"/>
      <c r="P98" s="1225"/>
      <c r="Q98" s="1225"/>
      <c r="R98" s="1225"/>
      <c r="S98" s="1226"/>
      <c r="T98" s="1226"/>
      <c r="U98" s="1226"/>
      <c r="V98" s="1226"/>
      <c r="W98" s="1227"/>
      <c r="X98" s="1184"/>
      <c r="Y98" s="1184"/>
      <c r="Z98" s="1184"/>
      <c r="AA98" s="1184"/>
      <c r="AB98" s="1184"/>
      <c r="AC98" s="1184"/>
      <c r="AD98" s="1184"/>
      <c r="AE98" s="1184"/>
      <c r="AF98" s="1184"/>
      <c r="AG98" s="1184"/>
      <c r="AH98" s="1184"/>
      <c r="AI98" s="1184"/>
      <c r="AJ98" s="1184"/>
      <c r="AK98" s="1184"/>
      <c r="AL98" s="1184"/>
      <c r="AM98" s="1184"/>
      <c r="AN98" s="1184"/>
      <c r="AO98" s="1184"/>
      <c r="AP98" s="1184"/>
      <c r="AQ98" s="1184"/>
      <c r="AR98" s="1275">
        <v>0</v>
      </c>
    </row>
    <row r="99" spans="1:44" s="1777" customFormat="1" ht="17.25" hidden="1" customHeight="1">
      <c r="A99" s="257"/>
      <c r="C99" s="145"/>
      <c r="D99" s="2074">
        <v>5</v>
      </c>
      <c r="E99" s="2082" t="s">
        <v>243</v>
      </c>
      <c r="F99" s="2084" t="s">
        <v>19</v>
      </c>
      <c r="G99" s="2082"/>
      <c r="H99" s="2087"/>
      <c r="I99" s="2089"/>
      <c r="J99" s="2091"/>
      <c r="K99" s="2076"/>
      <c r="L99" s="2076"/>
      <c r="M99" s="2076"/>
      <c r="N99" s="2078"/>
      <c r="O99" s="2076"/>
      <c r="P99" s="2076"/>
      <c r="Q99" s="2076"/>
      <c r="R99" s="2081"/>
      <c r="S99" s="2076"/>
      <c r="T99" s="1864"/>
      <c r="U99" s="1864"/>
      <c r="V99" s="1866"/>
      <c r="W99" s="1221"/>
      <c r="X99" s="1192"/>
      <c r="Y99" s="1192"/>
      <c r="Z99" s="1192"/>
      <c r="AA99" s="1192"/>
      <c r="AB99" s="1192"/>
      <c r="AC99" s="1192" t="s">
        <v>244</v>
      </c>
      <c r="AD99" s="1192" t="s">
        <v>245</v>
      </c>
      <c r="AE99" s="1192" t="s">
        <v>246</v>
      </c>
      <c r="AF99" s="1192" t="s">
        <v>247</v>
      </c>
      <c r="AG99" s="1192"/>
      <c r="AH99" s="1192" t="str">
        <f>IF($E$99=0,"",$E$99)</f>
        <v>Тариф на подключение (технологическое присоединение) к централизованной системе холодного водоснабжения</v>
      </c>
      <c r="AI99" s="1192" t="str">
        <f>IF($G$99=0,"",$G$99)</f>
        <v/>
      </c>
      <c r="AJ99" s="1192" t="str">
        <f>IF($J$99=0,"",$J$99)</f>
        <v/>
      </c>
      <c r="AK99" s="1192" t="str">
        <f>IF($K$99="нет","без дифференциации",IF($N$99=0,"",$N$99))</f>
        <v/>
      </c>
      <c r="AL99" s="1192" t="str">
        <f>IF($O$99="нет","без дифференциации",IF($R$99=0,"",$R$99))</f>
        <v/>
      </c>
      <c r="AM99" s="1192" t="str">
        <f>IF($S$99="нет","без дифференциации",IF($V$99=0,"",$V$99))</f>
        <v/>
      </c>
      <c r="AN99" s="1697">
        <f>$I$99</f>
        <v>0</v>
      </c>
      <c r="AO99" s="1192" t="str">
        <f>$I$99&amp;"."&amp;$M$99</f>
        <v>.</v>
      </c>
      <c r="AP99" s="1191" t="str">
        <f>$I$99&amp;"."&amp;$M$99&amp;"."&amp;$Q$99</f>
        <v>..</v>
      </c>
      <c r="AQ99" s="1191" t="str">
        <f>$I$99&amp;"."&amp;$M$99&amp;"."&amp;$Q$99&amp;"."&amp;$U$99</f>
        <v>...</v>
      </c>
      <c r="AR99" s="1392">
        <v>0</v>
      </c>
    </row>
    <row r="100" spans="1:44" s="1777" customFormat="1" ht="17.25" hidden="1" customHeight="1">
      <c r="A100" s="257"/>
      <c r="C100" s="256"/>
      <c r="D100" s="2074"/>
      <c r="E100" s="2082"/>
      <c r="F100" s="2085"/>
      <c r="G100" s="2082"/>
      <c r="H100" s="2088"/>
      <c r="I100" s="2090"/>
      <c r="J100" s="2092"/>
      <c r="K100" s="2077"/>
      <c r="L100" s="2077"/>
      <c r="M100" s="2077"/>
      <c r="N100" s="2079"/>
      <c r="O100" s="2077"/>
      <c r="P100" s="2077"/>
      <c r="Q100" s="2077"/>
      <c r="R100" s="2080"/>
      <c r="S100" s="2077"/>
      <c r="T100" s="1869"/>
      <c r="U100" s="1869"/>
      <c r="V100" s="1869"/>
      <c r="W100" s="1870"/>
      <c r="X100" s="1191"/>
      <c r="Y100" s="1191"/>
      <c r="Z100" s="1191"/>
      <c r="AA100" s="1191"/>
      <c r="AB100" s="1191"/>
      <c r="AC100" s="1191"/>
      <c r="AD100" s="1191"/>
      <c r="AE100" s="1191"/>
      <c r="AF100" s="1191"/>
      <c r="AG100" s="1191"/>
      <c r="AH100" s="1191"/>
      <c r="AI100" s="1191"/>
      <c r="AJ100" s="1191"/>
      <c r="AK100" s="1191"/>
      <c r="AL100" s="1191"/>
      <c r="AM100" s="1191"/>
      <c r="AN100" s="1191"/>
      <c r="AO100" s="1191"/>
      <c r="AP100" s="1191"/>
      <c r="AQ100" s="1191"/>
      <c r="AR100" s="1392">
        <v>0</v>
      </c>
    </row>
    <row r="101" spans="1:44" s="1777" customFormat="1" ht="17.25" hidden="1" customHeight="1">
      <c r="A101" s="257"/>
      <c r="C101" s="256"/>
      <c r="D101" s="2075"/>
      <c r="E101" s="2083"/>
      <c r="F101" s="2085"/>
      <c r="G101" s="2083"/>
      <c r="H101" s="2088"/>
      <c r="I101" s="2090"/>
      <c r="J101" s="2093"/>
      <c r="K101" s="2077"/>
      <c r="L101" s="2077"/>
      <c r="M101" s="2077"/>
      <c r="N101" s="2080"/>
      <c r="O101" s="2077"/>
      <c r="P101" s="1865"/>
      <c r="Q101" s="1869"/>
      <c r="R101" s="1869"/>
      <c r="S101" s="265"/>
      <c r="T101" s="265"/>
      <c r="U101" s="265"/>
      <c r="V101" s="265"/>
      <c r="W101" s="1870"/>
      <c r="X101" s="1191"/>
      <c r="Y101" s="1191"/>
      <c r="Z101" s="1191"/>
      <c r="AA101" s="1191"/>
      <c r="AB101" s="1191"/>
      <c r="AC101" s="1191"/>
      <c r="AD101" s="1191"/>
      <c r="AE101" s="1191"/>
      <c r="AF101" s="1191"/>
      <c r="AG101" s="1191"/>
      <c r="AH101" s="1191"/>
      <c r="AI101" s="1191"/>
      <c r="AJ101" s="1191"/>
      <c r="AK101" s="1191"/>
      <c r="AL101" s="1191"/>
      <c r="AM101" s="1191"/>
      <c r="AN101" s="1191"/>
      <c r="AO101" s="1191"/>
      <c r="AP101" s="1191"/>
      <c r="AQ101" s="1191"/>
      <c r="AR101" s="1392">
        <v>0</v>
      </c>
    </row>
    <row r="102" spans="1:44" s="1777" customFormat="1" ht="17.25" hidden="1" customHeight="1">
      <c r="A102" s="257"/>
      <c r="C102" s="256"/>
      <c r="D102" s="2075"/>
      <c r="E102" s="2083"/>
      <c r="F102" s="2085"/>
      <c r="G102" s="2083"/>
      <c r="H102" s="2088"/>
      <c r="I102" s="2090"/>
      <c r="J102" s="2093"/>
      <c r="K102" s="2077"/>
      <c r="L102" s="1869"/>
      <c r="M102" s="1869"/>
      <c r="N102" s="1869"/>
      <c r="O102" s="1869"/>
      <c r="P102" s="1869"/>
      <c r="Q102" s="1869"/>
      <c r="R102" s="1869"/>
      <c r="S102" s="265"/>
      <c r="T102" s="265"/>
      <c r="U102" s="265"/>
      <c r="V102" s="265"/>
      <c r="W102" s="1870"/>
      <c r="X102" s="1191"/>
      <c r="Y102" s="1191"/>
      <c r="Z102" s="1191"/>
      <c r="AA102" s="1191"/>
      <c r="AB102" s="1191"/>
      <c r="AC102" s="1191"/>
      <c r="AD102" s="1191"/>
      <c r="AE102" s="1191"/>
      <c r="AF102" s="1191"/>
      <c r="AG102" s="1191"/>
      <c r="AH102" s="1191"/>
      <c r="AI102" s="1191"/>
      <c r="AJ102" s="1191"/>
      <c r="AK102" s="1191"/>
      <c r="AL102" s="1191"/>
      <c r="AM102" s="1191"/>
      <c r="AN102" s="1191"/>
      <c r="AO102" s="1191"/>
      <c r="AP102" s="1191"/>
      <c r="AQ102" s="1191"/>
      <c r="AR102" s="1392">
        <v>0</v>
      </c>
    </row>
    <row r="103" spans="1:44" s="1777" customFormat="1" ht="17.25" hidden="1" customHeight="1">
      <c r="A103" s="257"/>
      <c r="C103" s="256"/>
      <c r="D103" s="2075"/>
      <c r="E103" s="2083"/>
      <c r="F103" s="2086"/>
      <c r="G103" s="2083"/>
      <c r="H103" s="1224"/>
      <c r="I103" s="1867"/>
      <c r="J103" s="1867"/>
      <c r="K103" s="1867"/>
      <c r="L103" s="1867"/>
      <c r="M103" s="1867"/>
      <c r="N103" s="1867"/>
      <c r="O103" s="1867"/>
      <c r="P103" s="1867"/>
      <c r="Q103" s="1867"/>
      <c r="R103" s="1867"/>
      <c r="S103" s="1226"/>
      <c r="T103" s="1226"/>
      <c r="U103" s="1226"/>
      <c r="V103" s="1226"/>
      <c r="W103" s="1868"/>
      <c r="X103" s="1191"/>
      <c r="Y103" s="1191"/>
      <c r="Z103" s="1191"/>
      <c r="AA103" s="1191"/>
      <c r="AB103" s="1191"/>
      <c r="AC103" s="1191"/>
      <c r="AD103" s="1191"/>
      <c r="AE103" s="1191"/>
      <c r="AF103" s="1191"/>
      <c r="AG103" s="1191"/>
      <c r="AH103" s="1191"/>
      <c r="AI103" s="1191"/>
      <c r="AJ103" s="1191"/>
      <c r="AK103" s="1191"/>
      <c r="AL103" s="1191"/>
      <c r="AM103" s="1191"/>
      <c r="AN103" s="1191"/>
      <c r="AO103" s="1191"/>
      <c r="AP103" s="1191"/>
      <c r="AQ103" s="1191"/>
      <c r="AR103" s="1392">
        <v>0</v>
      </c>
    </row>
    <row r="104" spans="1:44" s="1777" customFormat="1" ht="11.25" hidden="1" customHeight="1">
      <c r="A104" s="213"/>
      <c r="B104" s="213"/>
      <c r="Y104" s="1184"/>
      <c r="Z104" s="1184"/>
      <c r="AA104" s="1184"/>
      <c r="AB104" s="1184"/>
      <c r="AC104" s="1184"/>
      <c r="AD104" s="1184"/>
      <c r="AE104" s="1184"/>
      <c r="AF104" s="1184"/>
      <c r="AG104" s="1184"/>
      <c r="AH104" s="1184"/>
      <c r="AI104" s="1184"/>
      <c r="AJ104" s="1184"/>
      <c r="AK104" s="1184"/>
      <c r="AL104" s="1184"/>
      <c r="AM104" s="1184"/>
      <c r="AN104" s="1184"/>
      <c r="AO104" s="1184"/>
      <c r="AP104" s="1184"/>
      <c r="AQ104" s="1184"/>
      <c r="AR104" s="1392">
        <v>0</v>
      </c>
    </row>
    <row r="105" spans="1:44" s="1777" customFormat="1" ht="17.25" hidden="1" customHeight="1">
      <c r="A105" s="257"/>
      <c r="C105" s="145"/>
      <c r="D105" s="2074">
        <v>1</v>
      </c>
      <c r="E105" s="2082" t="s">
        <v>248</v>
      </c>
      <c r="F105" s="2084" t="s">
        <v>19</v>
      </c>
      <c r="G105" s="2082"/>
      <c r="H105" s="2087"/>
      <c r="I105" s="2089"/>
      <c r="J105" s="2091"/>
      <c r="K105" s="2076"/>
      <c r="L105" s="2076"/>
      <c r="M105" s="2076"/>
      <c r="N105" s="2078"/>
      <c r="O105" s="2076"/>
      <c r="P105" s="2076"/>
      <c r="Q105" s="2076"/>
      <c r="R105" s="2081"/>
      <c r="S105" s="2076"/>
      <c r="T105" s="1395"/>
      <c r="U105" s="1395"/>
      <c r="V105" s="1397"/>
      <c r="W105" s="1221"/>
      <c r="Y105" s="1192"/>
      <c r="Z105" s="1192"/>
      <c r="AA105" s="1192"/>
      <c r="AB105" s="1192"/>
      <c r="AC105" s="1192" t="s">
        <v>249</v>
      </c>
      <c r="AD105" s="1192" t="s">
        <v>250</v>
      </c>
      <c r="AE105" s="1192" t="s">
        <v>251</v>
      </c>
      <c r="AF105" s="1192" t="s">
        <v>252</v>
      </c>
      <c r="AG105" s="1192"/>
      <c r="AH105" s="1192" t="str">
        <f>IF($E$105=0,"",$E$105)</f>
        <v>Тариф на горячую воду (горячее водоснабжение)</v>
      </c>
      <c r="AI105" s="1192" t="str">
        <f>IF($G$105=0,"",$G$105)</f>
        <v/>
      </c>
      <c r="AJ105" s="1192" t="str">
        <f>IF($J$105=0,"",$J$105)</f>
        <v/>
      </c>
      <c r="AK105" s="1192" t="str">
        <f>IF($K$105="нет","без дифференциации",IF($N$105=0,"",$N$105))</f>
        <v/>
      </c>
      <c r="AL105" s="1192" t="str">
        <f>IF($O$105="нет","без дифференциации",IF($R$105=0,"",$R$105))</f>
        <v/>
      </c>
      <c r="AM105" s="1192" t="str">
        <f>IF($S$105="нет","без дифференциации",IF($V$105=0,"",$V$105))</f>
        <v/>
      </c>
      <c r="AN105" s="1192">
        <f>$I$105</f>
        <v>0</v>
      </c>
      <c r="AO105" s="1192" t="str">
        <f>$I$105&amp;"."&amp;$M$105</f>
        <v>.</v>
      </c>
      <c r="AP105" s="1192" t="str">
        <f>$I$105&amp;"."&amp;$M$105&amp;"."&amp;$Q$105</f>
        <v>..</v>
      </c>
      <c r="AQ105" s="1192" t="str">
        <f>$I$105&amp;"."&amp;$M$105&amp;"."&amp;$Q$105&amp;"."&amp;$U$105</f>
        <v>...</v>
      </c>
      <c r="AR105" s="1392">
        <v>0</v>
      </c>
    </row>
    <row r="106" spans="1:44" s="1777" customFormat="1" ht="17.25" hidden="1" customHeight="1">
      <c r="A106" s="257"/>
      <c r="C106" s="256"/>
      <c r="D106" s="2074"/>
      <c r="E106" s="2082"/>
      <c r="F106" s="2085"/>
      <c r="G106" s="2082"/>
      <c r="H106" s="2088"/>
      <c r="I106" s="2090"/>
      <c r="J106" s="2092"/>
      <c r="K106" s="2077"/>
      <c r="L106" s="2077"/>
      <c r="M106" s="2077"/>
      <c r="N106" s="2079"/>
      <c r="O106" s="2077"/>
      <c r="P106" s="2077"/>
      <c r="Q106" s="2077"/>
      <c r="R106" s="2080"/>
      <c r="S106" s="2077"/>
      <c r="T106" s="1222"/>
      <c r="U106" s="1222"/>
      <c r="V106" s="1222"/>
      <c r="W106" s="1223"/>
      <c r="Y106" s="1184"/>
      <c r="Z106" s="1184"/>
      <c r="AA106" s="1184"/>
      <c r="AB106" s="1184"/>
      <c r="AC106" s="1184"/>
      <c r="AD106" s="1184"/>
      <c r="AE106" s="1184"/>
      <c r="AF106" s="1184"/>
      <c r="AG106" s="1184"/>
      <c r="AH106" s="1184"/>
      <c r="AI106" s="1184"/>
      <c r="AJ106" s="1184"/>
      <c r="AK106" s="1184"/>
      <c r="AL106" s="1184"/>
      <c r="AM106" s="1184"/>
      <c r="AN106" s="1184"/>
      <c r="AO106" s="1184"/>
      <c r="AP106" s="1184"/>
      <c r="AQ106" s="1184"/>
      <c r="AR106" s="1392">
        <v>0</v>
      </c>
    </row>
    <row r="107" spans="1:44" s="1777" customFormat="1" ht="17.25" hidden="1" customHeight="1">
      <c r="A107" s="257"/>
      <c r="C107" s="145"/>
      <c r="D107" s="2074"/>
      <c r="E107" s="2082"/>
      <c r="F107" s="2085"/>
      <c r="G107" s="2082"/>
      <c r="H107" s="2088"/>
      <c r="I107" s="2090"/>
      <c r="J107" s="2093"/>
      <c r="K107" s="2077"/>
      <c r="L107" s="2077"/>
      <c r="M107" s="2077"/>
      <c r="N107" s="2080"/>
      <c r="O107" s="2077"/>
      <c r="P107" s="1396"/>
      <c r="Q107" s="1222"/>
      <c r="R107" s="1222"/>
      <c r="S107" s="265"/>
      <c r="T107" s="265"/>
      <c r="U107" s="265"/>
      <c r="V107" s="265"/>
      <c r="W107" s="1223"/>
      <c r="Y107" s="1192"/>
      <c r="Z107" s="1192"/>
      <c r="AA107" s="1192"/>
      <c r="AB107" s="1192"/>
      <c r="AC107" s="1192"/>
      <c r="AD107" s="1192"/>
      <c r="AE107" s="1192"/>
      <c r="AF107" s="1192"/>
      <c r="AG107" s="1192"/>
      <c r="AH107" s="1192"/>
      <c r="AI107" s="1192"/>
      <c r="AJ107" s="1192"/>
      <c r="AK107" s="1192"/>
      <c r="AL107" s="1192"/>
      <c r="AM107" s="1192"/>
      <c r="AN107" s="1192"/>
      <c r="AO107" s="1192"/>
      <c r="AP107" s="1192"/>
      <c r="AQ107" s="1192"/>
      <c r="AR107" s="1392">
        <v>0</v>
      </c>
    </row>
    <row r="108" spans="1:44" s="1777" customFormat="1" ht="17.25" hidden="1" customHeight="1">
      <c r="A108" s="257"/>
      <c r="C108" s="256"/>
      <c r="D108" s="2074"/>
      <c r="E108" s="2082"/>
      <c r="F108" s="2085"/>
      <c r="G108" s="2082"/>
      <c r="H108" s="2088"/>
      <c r="I108" s="2090"/>
      <c r="J108" s="2093"/>
      <c r="K108" s="2077"/>
      <c r="L108" s="1222"/>
      <c r="M108" s="1222"/>
      <c r="N108" s="1222"/>
      <c r="O108" s="1222"/>
      <c r="P108" s="1222"/>
      <c r="Q108" s="1222"/>
      <c r="R108" s="1222"/>
      <c r="S108" s="265"/>
      <c r="T108" s="265"/>
      <c r="U108" s="265"/>
      <c r="V108" s="265"/>
      <c r="W108" s="1223"/>
      <c r="Y108" s="1184"/>
      <c r="Z108" s="1184"/>
      <c r="AA108" s="1184"/>
      <c r="AB108" s="1184"/>
      <c r="AC108" s="1184"/>
      <c r="AD108" s="1184"/>
      <c r="AE108" s="1184"/>
      <c r="AF108" s="1184"/>
      <c r="AG108" s="1184"/>
      <c r="AH108" s="1184"/>
      <c r="AI108" s="1184"/>
      <c r="AJ108" s="1184"/>
      <c r="AK108" s="1184"/>
      <c r="AL108" s="1184"/>
      <c r="AM108" s="1184"/>
      <c r="AN108" s="1184"/>
      <c r="AO108" s="1184"/>
      <c r="AP108" s="1184"/>
      <c r="AQ108" s="1184"/>
      <c r="AR108" s="1392">
        <v>0</v>
      </c>
    </row>
    <row r="109" spans="1:44" s="1777" customFormat="1" ht="17.25" hidden="1" customHeight="1">
      <c r="A109" s="257"/>
      <c r="C109" s="256"/>
      <c r="D109" s="2075"/>
      <c r="E109" s="2083"/>
      <c r="F109" s="2086"/>
      <c r="G109" s="2083"/>
      <c r="H109" s="1224"/>
      <c r="I109" s="1225"/>
      <c r="J109" s="1225"/>
      <c r="K109" s="1225"/>
      <c r="L109" s="1225"/>
      <c r="M109" s="1225"/>
      <c r="N109" s="1225"/>
      <c r="O109" s="1225"/>
      <c r="P109" s="1225"/>
      <c r="Q109" s="1225"/>
      <c r="R109" s="1225"/>
      <c r="S109" s="1226"/>
      <c r="T109" s="1226"/>
      <c r="U109" s="1226"/>
      <c r="V109" s="1226"/>
      <c r="W109" s="1227"/>
      <c r="Y109" s="1184"/>
      <c r="Z109" s="1184"/>
      <c r="AA109" s="1184"/>
      <c r="AB109" s="1184"/>
      <c r="AC109" s="1184"/>
      <c r="AD109" s="1184"/>
      <c r="AE109" s="1184"/>
      <c r="AF109" s="1184"/>
      <c r="AG109" s="1184"/>
      <c r="AH109" s="1184"/>
      <c r="AI109" s="1184"/>
      <c r="AJ109" s="1184"/>
      <c r="AK109" s="1184"/>
      <c r="AL109" s="1184"/>
      <c r="AM109" s="1184"/>
      <c r="AN109" s="1184"/>
      <c r="AO109" s="1184"/>
      <c r="AP109" s="1184"/>
      <c r="AQ109" s="1184"/>
      <c r="AR109" s="1392">
        <v>0</v>
      </c>
    </row>
    <row r="110" spans="1:44" s="1777" customFormat="1" ht="17.25" hidden="1" customHeight="1">
      <c r="A110" s="257"/>
      <c r="C110" s="145"/>
      <c r="D110" s="2074">
        <v>2</v>
      </c>
      <c r="E110" s="2082" t="s">
        <v>253</v>
      </c>
      <c r="F110" s="2084" t="s">
        <v>19</v>
      </c>
      <c r="G110" s="2082"/>
      <c r="H110" s="2087"/>
      <c r="I110" s="2089"/>
      <c r="J110" s="2091"/>
      <c r="K110" s="2076"/>
      <c r="L110" s="2076"/>
      <c r="M110" s="2076"/>
      <c r="N110" s="2078"/>
      <c r="O110" s="2076"/>
      <c r="P110" s="2076"/>
      <c r="Q110" s="2076"/>
      <c r="R110" s="2081"/>
      <c r="S110" s="2076"/>
      <c r="T110" s="1395"/>
      <c r="U110" s="1395"/>
      <c r="V110" s="1397"/>
      <c r="W110" s="1221"/>
      <c r="X110" s="1192"/>
      <c r="Y110" s="1192"/>
      <c r="Z110" s="1192"/>
      <c r="AA110" s="1192"/>
      <c r="AB110" s="1192"/>
      <c r="AC110" s="1192" t="s">
        <v>254</v>
      </c>
      <c r="AD110" s="1192" t="s">
        <v>255</v>
      </c>
      <c r="AE110" s="1192" t="s">
        <v>256</v>
      </c>
      <c r="AF110" s="1192" t="s">
        <v>257</v>
      </c>
      <c r="AG110" s="1192"/>
      <c r="AH110" s="1192" t="str">
        <f>IF($E$110=0,"",$E$110)</f>
        <v>Тариф на транспортировку горячей воды</v>
      </c>
      <c r="AI110" s="1192" t="str">
        <f>IF($G$110=0,"",$G$110)</f>
        <v/>
      </c>
      <c r="AJ110" s="1192" t="str">
        <f>IF($J$110=0,"",$J$110)</f>
        <v/>
      </c>
      <c r="AK110" s="1192" t="str">
        <f>IF($K$110="нет","без дифференциации",IF($N$110=0,"",$N$110))</f>
        <v/>
      </c>
      <c r="AL110" s="1192" t="str">
        <f>IF($O$110="нет","без дифференциации",IF($R$110=0,"",$R$110))</f>
        <v/>
      </c>
      <c r="AM110" s="1192" t="str">
        <f>IF($S$110="нет","без дифференциации",IF($V$110=0,"",$V$110))</f>
        <v/>
      </c>
      <c r="AN110" s="1697">
        <f>$I$110</f>
        <v>0</v>
      </c>
      <c r="AO110" s="1192" t="str">
        <f>$I$110&amp;"."&amp;$M$110</f>
        <v>.</v>
      </c>
      <c r="AP110" s="1184" t="str">
        <f>$I$110&amp;"."&amp;$M$110&amp;"."&amp;$Q$110</f>
        <v>..</v>
      </c>
      <c r="AQ110" s="1184" t="str">
        <f>$I$110&amp;"."&amp;$M$110&amp;"."&amp;$Q$110&amp;"."&amp;$U$110</f>
        <v>...</v>
      </c>
      <c r="AR110" s="1392">
        <v>0</v>
      </c>
    </row>
    <row r="111" spans="1:44" s="1777" customFormat="1" ht="17.25" hidden="1" customHeight="1">
      <c r="A111" s="257"/>
      <c r="C111" s="256"/>
      <c r="D111" s="2074"/>
      <c r="E111" s="2082"/>
      <c r="F111" s="2085"/>
      <c r="G111" s="2082"/>
      <c r="H111" s="2088"/>
      <c r="I111" s="2090"/>
      <c r="J111" s="2092"/>
      <c r="K111" s="2077"/>
      <c r="L111" s="2077"/>
      <c r="M111" s="2077"/>
      <c r="N111" s="2079"/>
      <c r="O111" s="2077"/>
      <c r="P111" s="2077"/>
      <c r="Q111" s="2077"/>
      <c r="R111" s="2080"/>
      <c r="S111" s="2077"/>
      <c r="T111" s="1222"/>
      <c r="U111" s="1222"/>
      <c r="V111" s="1222"/>
      <c r="W111" s="1223"/>
      <c r="X111" s="1184"/>
      <c r="Y111" s="1184"/>
      <c r="Z111" s="1184"/>
      <c r="AA111" s="1184"/>
      <c r="AB111" s="1184"/>
      <c r="AC111" s="1184"/>
      <c r="AD111" s="1184"/>
      <c r="AE111" s="1184"/>
      <c r="AF111" s="1184"/>
      <c r="AG111" s="1184"/>
      <c r="AH111" s="1184"/>
      <c r="AI111" s="1184"/>
      <c r="AJ111" s="1184"/>
      <c r="AK111" s="1184"/>
      <c r="AL111" s="1184"/>
      <c r="AM111" s="1184"/>
      <c r="AN111" s="1184"/>
      <c r="AO111" s="1184"/>
      <c r="AP111" s="1184"/>
      <c r="AQ111" s="1184"/>
      <c r="AR111" s="1392">
        <v>0</v>
      </c>
    </row>
    <row r="112" spans="1:44" s="1777" customFormat="1" ht="17.25" hidden="1" customHeight="1">
      <c r="A112" s="257"/>
      <c r="C112" s="256"/>
      <c r="D112" s="2075"/>
      <c r="E112" s="2083"/>
      <c r="F112" s="2085"/>
      <c r="G112" s="2083"/>
      <c r="H112" s="2088"/>
      <c r="I112" s="2090"/>
      <c r="J112" s="2093"/>
      <c r="K112" s="2077"/>
      <c r="L112" s="2077"/>
      <c r="M112" s="2077"/>
      <c r="N112" s="2080"/>
      <c r="O112" s="2077"/>
      <c r="P112" s="1396"/>
      <c r="Q112" s="1222"/>
      <c r="R112" s="1222"/>
      <c r="S112" s="265"/>
      <c r="T112" s="265"/>
      <c r="U112" s="265"/>
      <c r="V112" s="265"/>
      <c r="W112" s="1223"/>
      <c r="X112" s="1184"/>
      <c r="Y112" s="1184"/>
      <c r="Z112" s="1184"/>
      <c r="AA112" s="1184"/>
      <c r="AB112" s="1184"/>
      <c r="AC112" s="1184"/>
      <c r="AD112" s="1184"/>
      <c r="AE112" s="1184"/>
      <c r="AF112" s="1184"/>
      <c r="AG112" s="1184"/>
      <c r="AH112" s="1184"/>
      <c r="AI112" s="1184"/>
      <c r="AJ112" s="1184"/>
      <c r="AK112" s="1184"/>
      <c r="AL112" s="1184"/>
      <c r="AM112" s="1184"/>
      <c r="AN112" s="1184"/>
      <c r="AO112" s="1184"/>
      <c r="AP112" s="1184"/>
      <c r="AQ112" s="1184"/>
      <c r="AR112" s="1392">
        <v>0</v>
      </c>
    </row>
    <row r="113" spans="1:44" s="1777" customFormat="1" ht="17.25" hidden="1" customHeight="1">
      <c r="A113" s="257"/>
      <c r="C113" s="256"/>
      <c r="D113" s="2075"/>
      <c r="E113" s="2083"/>
      <c r="F113" s="2085"/>
      <c r="G113" s="2083"/>
      <c r="H113" s="2088"/>
      <c r="I113" s="2090"/>
      <c r="J113" s="2093"/>
      <c r="K113" s="2077"/>
      <c r="L113" s="1222"/>
      <c r="M113" s="1222"/>
      <c r="N113" s="1222"/>
      <c r="O113" s="1222"/>
      <c r="P113" s="1222"/>
      <c r="Q113" s="1222"/>
      <c r="R113" s="1222"/>
      <c r="S113" s="265"/>
      <c r="T113" s="265"/>
      <c r="U113" s="265"/>
      <c r="V113" s="265"/>
      <c r="W113" s="1223"/>
      <c r="X113" s="1184"/>
      <c r="Y113" s="1184"/>
      <c r="Z113" s="1184"/>
      <c r="AA113" s="1184"/>
      <c r="AB113" s="1184"/>
      <c r="AC113" s="1184"/>
      <c r="AD113" s="1184"/>
      <c r="AE113" s="1184"/>
      <c r="AF113" s="1184"/>
      <c r="AG113" s="1184"/>
      <c r="AH113" s="1184"/>
      <c r="AI113" s="1184"/>
      <c r="AJ113" s="1184"/>
      <c r="AK113" s="1184"/>
      <c r="AL113" s="1184"/>
      <c r="AM113" s="1184"/>
      <c r="AN113" s="1184"/>
      <c r="AO113" s="1184"/>
      <c r="AP113" s="1184"/>
      <c r="AQ113" s="1184"/>
      <c r="AR113" s="1392">
        <v>0</v>
      </c>
    </row>
    <row r="114" spans="1:44" s="1777" customFormat="1" ht="17.25" hidden="1" customHeight="1">
      <c r="A114" s="257"/>
      <c r="C114" s="256"/>
      <c r="D114" s="2075"/>
      <c r="E114" s="2083"/>
      <c r="F114" s="2086"/>
      <c r="G114" s="2083"/>
      <c r="H114" s="1224"/>
      <c r="I114" s="1225"/>
      <c r="J114" s="1225"/>
      <c r="K114" s="1225"/>
      <c r="L114" s="1225"/>
      <c r="M114" s="1225"/>
      <c r="N114" s="1225"/>
      <c r="O114" s="1225"/>
      <c r="P114" s="1225"/>
      <c r="Q114" s="1225"/>
      <c r="R114" s="1225"/>
      <c r="S114" s="1226"/>
      <c r="T114" s="1226"/>
      <c r="U114" s="1226"/>
      <c r="V114" s="1226"/>
      <c r="W114" s="1227"/>
      <c r="X114" s="1184"/>
      <c r="Y114" s="1184"/>
      <c r="Z114" s="1184"/>
      <c r="AA114" s="1184"/>
      <c r="AB114" s="1184"/>
      <c r="AC114" s="1184"/>
      <c r="AD114" s="1184"/>
      <c r="AE114" s="1184"/>
      <c r="AF114" s="1184"/>
      <c r="AG114" s="1184"/>
      <c r="AH114" s="1184"/>
      <c r="AI114" s="1184"/>
      <c r="AJ114" s="1184"/>
      <c r="AK114" s="1184"/>
      <c r="AL114" s="1184"/>
      <c r="AM114" s="1184"/>
      <c r="AN114" s="1184"/>
      <c r="AO114" s="1184"/>
      <c r="AP114" s="1184"/>
      <c r="AQ114" s="1184"/>
      <c r="AR114" s="1392">
        <v>0</v>
      </c>
    </row>
    <row r="115" spans="1:44" s="1777" customFormat="1" ht="17.25" hidden="1" customHeight="1">
      <c r="A115" s="257"/>
      <c r="C115" s="145"/>
      <c r="D115" s="2074">
        <v>3</v>
      </c>
      <c r="E115" s="2082" t="s">
        <v>258</v>
      </c>
      <c r="F115" s="2084" t="s">
        <v>19</v>
      </c>
      <c r="G115" s="2082"/>
      <c r="H115" s="2087"/>
      <c r="I115" s="2089"/>
      <c r="J115" s="2091"/>
      <c r="K115" s="2076"/>
      <c r="L115" s="2076"/>
      <c r="M115" s="2076"/>
      <c r="N115" s="2078"/>
      <c r="O115" s="2076"/>
      <c r="P115" s="2076"/>
      <c r="Q115" s="2076"/>
      <c r="R115" s="2081"/>
      <c r="S115" s="2076"/>
      <c r="T115" s="1864"/>
      <c r="U115" s="1864"/>
      <c r="V115" s="1866"/>
      <c r="W115" s="1221"/>
      <c r="X115" s="1192"/>
      <c r="Y115" s="1192"/>
      <c r="Z115" s="1192"/>
      <c r="AA115" s="1192"/>
      <c r="AB115" s="1192"/>
      <c r="AC115" s="1192" t="s">
        <v>259</v>
      </c>
      <c r="AD115" s="1192" t="s">
        <v>260</v>
      </c>
      <c r="AE115" s="1192" t="s">
        <v>261</v>
      </c>
      <c r="AF115" s="1192" t="s">
        <v>262</v>
      </c>
      <c r="AG115" s="1192"/>
      <c r="AH115" s="1192" t="str">
        <f>IF($E$115=0,"",$E$115)</f>
        <v>Тариф на подключение (технологическое присоединение) к централизованной системе горячего водоснабжения</v>
      </c>
      <c r="AI115" s="1192" t="str">
        <f>IF($G$115=0,"",$G$115)</f>
        <v/>
      </c>
      <c r="AJ115" s="1192" t="str">
        <f>IF($J$115=0,"",$J$115)</f>
        <v/>
      </c>
      <c r="AK115" s="1192" t="str">
        <f>IF($K$115="нет","без дифференциации",IF($N$115=0,"",$N$115))</f>
        <v/>
      </c>
      <c r="AL115" s="1192" t="str">
        <f>IF($O$115="нет","без дифференциации",IF($R$115=0,"",$R$115))</f>
        <v/>
      </c>
      <c r="AM115" s="1192" t="str">
        <f>IF($S$115="нет","без дифференциации",IF($V$115=0,"",$V$115))</f>
        <v/>
      </c>
      <c r="AN115" s="1697">
        <f>$I$115</f>
        <v>0</v>
      </c>
      <c r="AO115" s="1192" t="str">
        <f>$I$115&amp;"."&amp;$M$115</f>
        <v>.</v>
      </c>
      <c r="AP115" s="1191" t="str">
        <f>$I$115&amp;"."&amp;$M$115&amp;"."&amp;$Q$115</f>
        <v>..</v>
      </c>
      <c r="AQ115" s="1191" t="str">
        <f>$I$115&amp;"."&amp;$M$115&amp;"."&amp;$Q$115&amp;"."&amp;$U$115</f>
        <v>...</v>
      </c>
      <c r="AR115" s="1392">
        <v>0</v>
      </c>
    </row>
    <row r="116" spans="1:44" s="1777" customFormat="1" ht="17.25" hidden="1" customHeight="1">
      <c r="A116" s="257"/>
      <c r="C116" s="256"/>
      <c r="D116" s="2074"/>
      <c r="E116" s="2082"/>
      <c r="F116" s="2085"/>
      <c r="G116" s="2082"/>
      <c r="H116" s="2088"/>
      <c r="I116" s="2090"/>
      <c r="J116" s="2092"/>
      <c r="K116" s="2077"/>
      <c r="L116" s="2077"/>
      <c r="M116" s="2077"/>
      <c r="N116" s="2079"/>
      <c r="O116" s="2077"/>
      <c r="P116" s="2077"/>
      <c r="Q116" s="2077"/>
      <c r="R116" s="2080"/>
      <c r="S116" s="2077"/>
      <c r="T116" s="1869"/>
      <c r="U116" s="1869"/>
      <c r="V116" s="1869"/>
      <c r="W116" s="1870"/>
      <c r="X116" s="1191"/>
      <c r="Y116" s="1191"/>
      <c r="Z116" s="1191"/>
      <c r="AA116" s="1191"/>
      <c r="AB116" s="1191"/>
      <c r="AC116" s="1191"/>
      <c r="AD116" s="1191"/>
      <c r="AE116" s="1191"/>
      <c r="AF116" s="1191"/>
      <c r="AG116" s="1191"/>
      <c r="AH116" s="1191"/>
      <c r="AI116" s="1191"/>
      <c r="AJ116" s="1191"/>
      <c r="AK116" s="1191"/>
      <c r="AL116" s="1191"/>
      <c r="AM116" s="1191"/>
      <c r="AN116" s="1191"/>
      <c r="AO116" s="1191"/>
      <c r="AP116" s="1191"/>
      <c r="AQ116" s="1191"/>
      <c r="AR116" s="1392">
        <v>0</v>
      </c>
    </row>
    <row r="117" spans="1:44" s="1777" customFormat="1" ht="17.25" hidden="1" customHeight="1">
      <c r="A117" s="257"/>
      <c r="C117" s="256"/>
      <c r="D117" s="2075"/>
      <c r="E117" s="2083"/>
      <c r="F117" s="2085"/>
      <c r="G117" s="2083"/>
      <c r="H117" s="2088"/>
      <c r="I117" s="2090"/>
      <c r="J117" s="2093"/>
      <c r="K117" s="2077"/>
      <c r="L117" s="2077"/>
      <c r="M117" s="2077"/>
      <c r="N117" s="2080"/>
      <c r="O117" s="2077"/>
      <c r="P117" s="1865"/>
      <c r="Q117" s="1869"/>
      <c r="R117" s="1869"/>
      <c r="S117" s="265"/>
      <c r="T117" s="265"/>
      <c r="U117" s="265"/>
      <c r="V117" s="265"/>
      <c r="W117" s="1870"/>
      <c r="X117" s="1191"/>
      <c r="Y117" s="1191"/>
      <c r="Z117" s="1191"/>
      <c r="AA117" s="1191"/>
      <c r="AB117" s="1191"/>
      <c r="AC117" s="1191"/>
      <c r="AD117" s="1191"/>
      <c r="AE117" s="1191"/>
      <c r="AF117" s="1191"/>
      <c r="AG117" s="1191"/>
      <c r="AH117" s="1191"/>
      <c r="AI117" s="1191"/>
      <c r="AJ117" s="1191"/>
      <c r="AK117" s="1191"/>
      <c r="AL117" s="1191"/>
      <c r="AM117" s="1191"/>
      <c r="AN117" s="1191"/>
      <c r="AO117" s="1191"/>
      <c r="AP117" s="1191"/>
      <c r="AQ117" s="1191"/>
      <c r="AR117" s="1392">
        <v>0</v>
      </c>
    </row>
    <row r="118" spans="1:44" s="1777" customFormat="1" ht="17.25" hidden="1" customHeight="1">
      <c r="A118" s="257"/>
      <c r="C118" s="256"/>
      <c r="D118" s="2075"/>
      <c r="E118" s="2083"/>
      <c r="F118" s="2085"/>
      <c r="G118" s="2083"/>
      <c r="H118" s="2088"/>
      <c r="I118" s="2090"/>
      <c r="J118" s="2093"/>
      <c r="K118" s="2077"/>
      <c r="L118" s="1869"/>
      <c r="M118" s="1869"/>
      <c r="N118" s="1869"/>
      <c r="O118" s="1869"/>
      <c r="P118" s="1869"/>
      <c r="Q118" s="1869"/>
      <c r="R118" s="1869"/>
      <c r="S118" s="265"/>
      <c r="T118" s="265"/>
      <c r="U118" s="265"/>
      <c r="V118" s="265"/>
      <c r="W118" s="1870"/>
      <c r="X118" s="1191"/>
      <c r="Y118" s="1191"/>
      <c r="Z118" s="1191"/>
      <c r="AA118" s="1191"/>
      <c r="AB118" s="1191"/>
      <c r="AC118" s="1191"/>
      <c r="AD118" s="1191"/>
      <c r="AE118" s="1191"/>
      <c r="AF118" s="1191"/>
      <c r="AG118" s="1191"/>
      <c r="AH118" s="1191"/>
      <c r="AI118" s="1191"/>
      <c r="AJ118" s="1191"/>
      <c r="AK118" s="1191"/>
      <c r="AL118" s="1191"/>
      <c r="AM118" s="1191"/>
      <c r="AN118" s="1191"/>
      <c r="AO118" s="1191"/>
      <c r="AP118" s="1191"/>
      <c r="AQ118" s="1191"/>
      <c r="AR118" s="1392">
        <v>0</v>
      </c>
    </row>
    <row r="119" spans="1:44" s="1777" customFormat="1" ht="17.25" hidden="1" customHeight="1">
      <c r="A119" s="257"/>
      <c r="C119" s="256"/>
      <c r="D119" s="2075"/>
      <c r="E119" s="2083"/>
      <c r="F119" s="2086"/>
      <c r="G119" s="2083"/>
      <c r="H119" s="1224"/>
      <c r="I119" s="1867"/>
      <c r="J119" s="1867"/>
      <c r="K119" s="1867"/>
      <c r="L119" s="1867"/>
      <c r="M119" s="1867"/>
      <c r="N119" s="1867"/>
      <c r="O119" s="1867"/>
      <c r="P119" s="1867"/>
      <c r="Q119" s="1867"/>
      <c r="R119" s="1867"/>
      <c r="S119" s="1226"/>
      <c r="T119" s="1226"/>
      <c r="U119" s="1226"/>
      <c r="V119" s="1226"/>
      <c r="W119" s="1868"/>
      <c r="X119" s="1191"/>
      <c r="Y119" s="1191"/>
      <c r="Z119" s="1191"/>
      <c r="AA119" s="1191"/>
      <c r="AB119" s="1191"/>
      <c r="AC119" s="1191"/>
      <c r="AD119" s="1191"/>
      <c r="AE119" s="1191"/>
      <c r="AF119" s="1191"/>
      <c r="AG119" s="1191"/>
      <c r="AH119" s="1191"/>
      <c r="AI119" s="1191"/>
      <c r="AJ119" s="1191"/>
      <c r="AK119" s="1191"/>
      <c r="AL119" s="1191"/>
      <c r="AM119" s="1191"/>
      <c r="AN119" s="1191"/>
      <c r="AO119" s="1191"/>
      <c r="AP119" s="1191"/>
      <c r="AQ119" s="1191"/>
      <c r="AR119" s="1392">
        <v>0</v>
      </c>
    </row>
    <row r="120" spans="1:44" s="1777" customFormat="1" ht="11.25" hidden="1" customHeight="1">
      <c r="A120" s="213"/>
      <c r="B120" s="213"/>
      <c r="Y120" s="1184"/>
      <c r="Z120" s="1184"/>
      <c r="AA120" s="1184"/>
      <c r="AB120" s="1184"/>
      <c r="AC120" s="1184"/>
      <c r="AD120" s="1184"/>
      <c r="AE120" s="1184"/>
      <c r="AF120" s="1184"/>
      <c r="AG120" s="1184"/>
      <c r="AH120" s="1184"/>
      <c r="AI120" s="1184"/>
      <c r="AJ120" s="1184"/>
      <c r="AK120" s="1184"/>
      <c r="AL120" s="1184"/>
      <c r="AM120" s="1184"/>
      <c r="AN120" s="1184"/>
      <c r="AO120" s="1184"/>
      <c r="AP120" s="1184"/>
      <c r="AQ120" s="1184"/>
      <c r="AR120" s="1392">
        <v>0</v>
      </c>
    </row>
    <row r="121" spans="1:44" s="1777" customFormat="1" ht="17.25" hidden="1" customHeight="1">
      <c r="A121" s="257"/>
      <c r="C121" s="145"/>
      <c r="D121" s="2074">
        <v>1</v>
      </c>
      <c r="E121" s="2082" t="s">
        <v>263</v>
      </c>
      <c r="F121" s="2084" t="s">
        <v>19</v>
      </c>
      <c r="G121" s="2082"/>
      <c r="H121" s="2087"/>
      <c r="I121" s="2089"/>
      <c r="J121" s="2091"/>
      <c r="K121" s="2076"/>
      <c r="L121" s="2076"/>
      <c r="M121" s="2076"/>
      <c r="N121" s="2078"/>
      <c r="O121" s="2076"/>
      <c r="P121" s="2076"/>
      <c r="Q121" s="2076"/>
      <c r="R121" s="2081"/>
      <c r="S121" s="2076"/>
      <c r="T121" s="1395"/>
      <c r="U121" s="1395"/>
      <c r="V121" s="1397"/>
      <c r="W121" s="1221"/>
      <c r="Y121" s="1192"/>
      <c r="Z121" s="1192"/>
      <c r="AA121" s="1192"/>
      <c r="AB121" s="1192"/>
      <c r="AC121" s="1192" t="s">
        <v>264</v>
      </c>
      <c r="AD121" s="1192" t="s">
        <v>265</v>
      </c>
      <c r="AE121" s="1192" t="s">
        <v>266</v>
      </c>
      <c r="AF121" s="1192" t="s">
        <v>267</v>
      </c>
      <c r="AG121" s="1192"/>
      <c r="AH121" s="1192" t="str">
        <f>IF($E$121=0,"",$E$121)</f>
        <v>Тариф на водоотведение</v>
      </c>
      <c r="AI121" s="1192" t="str">
        <f>IF($G$121=0,"",$G$121)</f>
        <v/>
      </c>
      <c r="AJ121" s="1192" t="str">
        <f>IF($J$121=0,"",$J$121)</f>
        <v/>
      </c>
      <c r="AK121" s="1192" t="str">
        <f>IF($K$121="нет","без дифференциации",IF($N$121=0,"",$N$121))</f>
        <v/>
      </c>
      <c r="AL121" s="1192" t="str">
        <f>IF($O$121="нет","без дифференциации",IF($R$121=0,"",$R$121))</f>
        <v/>
      </c>
      <c r="AM121" s="1192" t="str">
        <f>IF($S$121="нет","без дифференциации",IF($V$121=0,"",$V$121))</f>
        <v/>
      </c>
      <c r="AN121" s="1192">
        <f>$I$121</f>
        <v>0</v>
      </c>
      <c r="AO121" s="1192" t="str">
        <f>$I$121&amp;"."&amp;$M$121</f>
        <v>.</v>
      </c>
      <c r="AP121" s="1192" t="str">
        <f>$I$121&amp;"."&amp;$M$121&amp;"."&amp;$Q$121</f>
        <v>..</v>
      </c>
      <c r="AQ121" s="1192" t="str">
        <f>$I$121&amp;"."&amp;$M$121&amp;"."&amp;$Q$121&amp;"."&amp;$U$121</f>
        <v>...</v>
      </c>
      <c r="AR121" s="1392">
        <v>0</v>
      </c>
    </row>
    <row r="122" spans="1:44" s="1777" customFormat="1" ht="17.25" hidden="1" customHeight="1">
      <c r="A122" s="257"/>
      <c r="C122" s="256"/>
      <c r="D122" s="2074"/>
      <c r="E122" s="2082"/>
      <c r="F122" s="2085"/>
      <c r="G122" s="2082"/>
      <c r="H122" s="2088"/>
      <c r="I122" s="2090"/>
      <c r="J122" s="2092"/>
      <c r="K122" s="2077"/>
      <c r="L122" s="2077"/>
      <c r="M122" s="2077"/>
      <c r="N122" s="2079"/>
      <c r="O122" s="2077"/>
      <c r="P122" s="2077"/>
      <c r="Q122" s="2077"/>
      <c r="R122" s="2080"/>
      <c r="S122" s="2077"/>
      <c r="T122" s="1222"/>
      <c r="U122" s="1222"/>
      <c r="V122" s="1222"/>
      <c r="W122" s="1223"/>
      <c r="Y122" s="1184"/>
      <c r="Z122" s="1184"/>
      <c r="AA122" s="1184"/>
      <c r="AB122" s="1184"/>
      <c r="AC122" s="1184"/>
      <c r="AD122" s="1184"/>
      <c r="AE122" s="1184"/>
      <c r="AF122" s="1184"/>
      <c r="AG122" s="1184"/>
      <c r="AH122" s="1184"/>
      <c r="AI122" s="1184"/>
      <c r="AJ122" s="1184"/>
      <c r="AK122" s="1184"/>
      <c r="AL122" s="1184"/>
      <c r="AM122" s="1184"/>
      <c r="AN122" s="1184"/>
      <c r="AO122" s="1184"/>
      <c r="AP122" s="1184"/>
      <c r="AQ122" s="1184"/>
      <c r="AR122" s="1392">
        <v>0</v>
      </c>
    </row>
    <row r="123" spans="1:44" s="1777" customFormat="1" ht="17.25" hidden="1" customHeight="1">
      <c r="A123" s="257"/>
      <c r="C123" s="145"/>
      <c r="D123" s="2074"/>
      <c r="E123" s="2082"/>
      <c r="F123" s="2085"/>
      <c r="G123" s="2082"/>
      <c r="H123" s="2088"/>
      <c r="I123" s="2090"/>
      <c r="J123" s="2093"/>
      <c r="K123" s="2077"/>
      <c r="L123" s="2077"/>
      <c r="M123" s="2077"/>
      <c r="N123" s="2080"/>
      <c r="O123" s="2077"/>
      <c r="P123" s="1396"/>
      <c r="Q123" s="1222"/>
      <c r="R123" s="1222"/>
      <c r="S123" s="265"/>
      <c r="T123" s="265"/>
      <c r="U123" s="265"/>
      <c r="V123" s="265"/>
      <c r="W123" s="1223"/>
      <c r="Y123" s="1192"/>
      <c r="Z123" s="1192"/>
      <c r="AA123" s="1192"/>
      <c r="AB123" s="1192"/>
      <c r="AC123" s="1192"/>
      <c r="AD123" s="1192"/>
      <c r="AE123" s="1192"/>
      <c r="AF123" s="1192"/>
      <c r="AG123" s="1192"/>
      <c r="AH123" s="1192"/>
      <c r="AI123" s="1192"/>
      <c r="AJ123" s="1192"/>
      <c r="AK123" s="1192"/>
      <c r="AL123" s="1192"/>
      <c r="AM123" s="1192"/>
      <c r="AN123" s="1192"/>
      <c r="AO123" s="1192"/>
      <c r="AP123" s="1192"/>
      <c r="AQ123" s="1192"/>
      <c r="AR123" s="1392">
        <v>0</v>
      </c>
    </row>
    <row r="124" spans="1:44" s="1777" customFormat="1" ht="17.25" hidden="1" customHeight="1">
      <c r="A124" s="257"/>
      <c r="C124" s="256"/>
      <c r="D124" s="2074"/>
      <c r="E124" s="2082"/>
      <c r="F124" s="2085"/>
      <c r="G124" s="2082"/>
      <c r="H124" s="2088"/>
      <c r="I124" s="2090"/>
      <c r="J124" s="2093"/>
      <c r="K124" s="2077"/>
      <c r="L124" s="1222"/>
      <c r="M124" s="1222"/>
      <c r="N124" s="1222"/>
      <c r="O124" s="1222"/>
      <c r="P124" s="1222"/>
      <c r="Q124" s="1222"/>
      <c r="R124" s="1222"/>
      <c r="S124" s="265"/>
      <c r="T124" s="265"/>
      <c r="U124" s="265"/>
      <c r="V124" s="265"/>
      <c r="W124" s="1223"/>
      <c r="Y124" s="1184"/>
      <c r="Z124" s="1184"/>
      <c r="AA124" s="1184"/>
      <c r="AB124" s="1184"/>
      <c r="AC124" s="1184"/>
      <c r="AD124" s="1184"/>
      <c r="AE124" s="1184"/>
      <c r="AF124" s="1184"/>
      <c r="AG124" s="1184"/>
      <c r="AH124" s="1184"/>
      <c r="AI124" s="1184"/>
      <c r="AJ124" s="1184"/>
      <c r="AK124" s="1184"/>
      <c r="AL124" s="1184"/>
      <c r="AM124" s="1184"/>
      <c r="AN124" s="1184"/>
      <c r="AO124" s="1184"/>
      <c r="AP124" s="1184"/>
      <c r="AQ124" s="1184"/>
      <c r="AR124" s="1392">
        <v>0</v>
      </c>
    </row>
    <row r="125" spans="1:44" s="1777" customFormat="1" ht="17.25" hidden="1" customHeight="1">
      <c r="A125" s="257"/>
      <c r="C125" s="256"/>
      <c r="D125" s="2075"/>
      <c r="E125" s="2083"/>
      <c r="F125" s="2086"/>
      <c r="G125" s="2083"/>
      <c r="H125" s="1224"/>
      <c r="I125" s="1225"/>
      <c r="J125" s="1225"/>
      <c r="K125" s="1225"/>
      <c r="L125" s="1225"/>
      <c r="M125" s="1225"/>
      <c r="N125" s="1225"/>
      <c r="O125" s="1225"/>
      <c r="P125" s="1225"/>
      <c r="Q125" s="1225"/>
      <c r="R125" s="1225"/>
      <c r="S125" s="1226"/>
      <c r="T125" s="1226"/>
      <c r="U125" s="1226"/>
      <c r="V125" s="1226"/>
      <c r="W125" s="1227"/>
      <c r="Y125" s="1184"/>
      <c r="Z125" s="1184"/>
      <c r="AA125" s="1184"/>
      <c r="AB125" s="1184"/>
      <c r="AC125" s="1184"/>
      <c r="AD125" s="1184"/>
      <c r="AE125" s="1184"/>
      <c r="AF125" s="1184"/>
      <c r="AG125" s="1184"/>
      <c r="AH125" s="1184"/>
      <c r="AI125" s="1184"/>
      <c r="AJ125" s="1184"/>
      <c r="AK125" s="1184"/>
      <c r="AL125" s="1184"/>
      <c r="AM125" s="1184"/>
      <c r="AN125" s="1184"/>
      <c r="AO125" s="1184"/>
      <c r="AP125" s="1184"/>
      <c r="AQ125" s="1184"/>
      <c r="AR125" s="1392">
        <v>0</v>
      </c>
    </row>
    <row r="126" spans="1:44" s="1777" customFormat="1" ht="17.25" hidden="1" customHeight="1">
      <c r="A126" s="257"/>
      <c r="C126" s="145"/>
      <c r="D126" s="2074">
        <v>2</v>
      </c>
      <c r="E126" s="2082" t="s">
        <v>268</v>
      </c>
      <c r="F126" s="2084" t="s">
        <v>19</v>
      </c>
      <c r="G126" s="2082"/>
      <c r="H126" s="2087"/>
      <c r="I126" s="2089"/>
      <c r="J126" s="2091"/>
      <c r="K126" s="2076"/>
      <c r="L126" s="2076"/>
      <c r="M126" s="2076"/>
      <c r="N126" s="2078"/>
      <c r="O126" s="2076"/>
      <c r="P126" s="2076"/>
      <c r="Q126" s="2076"/>
      <c r="R126" s="2081"/>
      <c r="S126" s="2076"/>
      <c r="T126" s="1395"/>
      <c r="U126" s="1395"/>
      <c r="V126" s="1397"/>
      <c r="W126" s="1221"/>
      <c r="X126" s="1192"/>
      <c r="Y126" s="1192"/>
      <c r="Z126" s="1192"/>
      <c r="AA126" s="1192"/>
      <c r="AB126" s="1192"/>
      <c r="AC126" s="1192" t="s">
        <v>269</v>
      </c>
      <c r="AD126" s="1192" t="s">
        <v>270</v>
      </c>
      <c r="AE126" s="1192" t="s">
        <v>271</v>
      </c>
      <c r="AF126" s="1192" t="s">
        <v>272</v>
      </c>
      <c r="AG126" s="1192"/>
      <c r="AH126" s="1192" t="str">
        <f>IF($E$126=0,"",$E$126)</f>
        <v>Тариф на транспортировку сточных вод</v>
      </c>
      <c r="AI126" s="1192" t="str">
        <f>IF($G$126=0,"",$G$126)</f>
        <v/>
      </c>
      <c r="AJ126" s="1192" t="str">
        <f>IF($J$126=0,"",$J$126)</f>
        <v/>
      </c>
      <c r="AK126" s="1192" t="str">
        <f>IF($K$126="нет","без дифференциации",IF($N$126=0,"",$N$126))</f>
        <v/>
      </c>
      <c r="AL126" s="1192" t="str">
        <f>IF($O$126="нет","без дифференциации",IF($R$126=0,"",$R$126))</f>
        <v/>
      </c>
      <c r="AM126" s="1192" t="str">
        <f>IF($S$126="нет","без дифференциации",IF($V$126=0,"",$V$126))</f>
        <v/>
      </c>
      <c r="AN126" s="1697">
        <f>$I$126</f>
        <v>0</v>
      </c>
      <c r="AO126" s="1192" t="str">
        <f>$I$126&amp;"."&amp;$M$126</f>
        <v>.</v>
      </c>
      <c r="AP126" s="1184" t="str">
        <f>$I$126&amp;"."&amp;$M$126&amp;"."&amp;$Q$126</f>
        <v>..</v>
      </c>
      <c r="AQ126" s="1184" t="str">
        <f>$I$126&amp;"."&amp;$M$126&amp;"."&amp;$Q$126&amp;"."&amp;$U$126</f>
        <v>...</v>
      </c>
      <c r="AR126" s="1392">
        <v>0</v>
      </c>
    </row>
    <row r="127" spans="1:44" s="1777" customFormat="1" ht="17.25" hidden="1" customHeight="1">
      <c r="A127" s="257"/>
      <c r="C127" s="256"/>
      <c r="D127" s="2074"/>
      <c r="E127" s="2082"/>
      <c r="F127" s="2085"/>
      <c r="G127" s="2082"/>
      <c r="H127" s="2088"/>
      <c r="I127" s="2090"/>
      <c r="J127" s="2092"/>
      <c r="K127" s="2077"/>
      <c r="L127" s="2077"/>
      <c r="M127" s="2077"/>
      <c r="N127" s="2079"/>
      <c r="O127" s="2077"/>
      <c r="P127" s="2077"/>
      <c r="Q127" s="2077"/>
      <c r="R127" s="2080"/>
      <c r="S127" s="2077"/>
      <c r="T127" s="1222"/>
      <c r="U127" s="1222"/>
      <c r="V127" s="1222"/>
      <c r="W127" s="1223"/>
      <c r="X127" s="1184"/>
      <c r="Y127" s="1184"/>
      <c r="Z127" s="1184"/>
      <c r="AA127" s="1184"/>
      <c r="AB127" s="1184"/>
      <c r="AC127" s="1184"/>
      <c r="AD127" s="1184"/>
      <c r="AE127" s="1184"/>
      <c r="AF127" s="1184"/>
      <c r="AG127" s="1184"/>
      <c r="AH127" s="1184"/>
      <c r="AI127" s="1184"/>
      <c r="AJ127" s="1184"/>
      <c r="AK127" s="1184"/>
      <c r="AL127" s="1184"/>
      <c r="AM127" s="1184"/>
      <c r="AN127" s="1184"/>
      <c r="AO127" s="1184"/>
      <c r="AP127" s="1184"/>
      <c r="AQ127" s="1184"/>
      <c r="AR127" s="1392">
        <v>0</v>
      </c>
    </row>
    <row r="128" spans="1:44" s="1777" customFormat="1" ht="17.25" hidden="1" customHeight="1">
      <c r="A128" s="257"/>
      <c r="C128" s="256"/>
      <c r="D128" s="2075"/>
      <c r="E128" s="2083"/>
      <c r="F128" s="2085"/>
      <c r="G128" s="2083"/>
      <c r="H128" s="2088"/>
      <c r="I128" s="2090"/>
      <c r="J128" s="2093"/>
      <c r="K128" s="2077"/>
      <c r="L128" s="2077"/>
      <c r="M128" s="2077"/>
      <c r="N128" s="2080"/>
      <c r="O128" s="2077"/>
      <c r="P128" s="1396"/>
      <c r="Q128" s="1222"/>
      <c r="R128" s="1222"/>
      <c r="S128" s="265"/>
      <c r="T128" s="265"/>
      <c r="U128" s="265"/>
      <c r="V128" s="265"/>
      <c r="W128" s="1223"/>
      <c r="X128" s="1184"/>
      <c r="Y128" s="1184"/>
      <c r="Z128" s="1184"/>
      <c r="AA128" s="1184"/>
      <c r="AB128" s="1184"/>
      <c r="AC128" s="1184"/>
      <c r="AD128" s="1184"/>
      <c r="AE128" s="1184"/>
      <c r="AF128" s="1184"/>
      <c r="AG128" s="1184"/>
      <c r="AH128" s="1184"/>
      <c r="AI128" s="1184"/>
      <c r="AJ128" s="1184"/>
      <c r="AK128" s="1184"/>
      <c r="AL128" s="1184"/>
      <c r="AM128" s="1184"/>
      <c r="AN128" s="1184"/>
      <c r="AO128" s="1184"/>
      <c r="AP128" s="1184"/>
      <c r="AQ128" s="1184"/>
      <c r="AR128" s="1392">
        <v>0</v>
      </c>
    </row>
    <row r="129" spans="1:44" s="1777" customFormat="1" ht="17.25" hidden="1" customHeight="1">
      <c r="A129" s="257"/>
      <c r="C129" s="256"/>
      <c r="D129" s="2075"/>
      <c r="E129" s="2083"/>
      <c r="F129" s="2085"/>
      <c r="G129" s="2083"/>
      <c r="H129" s="2088"/>
      <c r="I129" s="2090"/>
      <c r="J129" s="2093"/>
      <c r="K129" s="2077"/>
      <c r="L129" s="1222"/>
      <c r="M129" s="1222"/>
      <c r="N129" s="1222"/>
      <c r="O129" s="1222"/>
      <c r="P129" s="1222"/>
      <c r="Q129" s="1222"/>
      <c r="R129" s="1222"/>
      <c r="S129" s="265"/>
      <c r="T129" s="265"/>
      <c r="U129" s="265"/>
      <c r="V129" s="265"/>
      <c r="W129" s="1223"/>
      <c r="X129" s="1184"/>
      <c r="Y129" s="1184"/>
      <c r="Z129" s="1184"/>
      <c r="AA129" s="1184"/>
      <c r="AB129" s="1184"/>
      <c r="AC129" s="1184"/>
      <c r="AD129" s="1184"/>
      <c r="AE129" s="1184"/>
      <c r="AF129" s="1184"/>
      <c r="AG129" s="1184"/>
      <c r="AH129" s="1184"/>
      <c r="AI129" s="1184"/>
      <c r="AJ129" s="1184"/>
      <c r="AK129" s="1184"/>
      <c r="AL129" s="1184"/>
      <c r="AM129" s="1184"/>
      <c r="AN129" s="1184"/>
      <c r="AO129" s="1184"/>
      <c r="AP129" s="1184"/>
      <c r="AQ129" s="1184"/>
      <c r="AR129" s="1392">
        <v>0</v>
      </c>
    </row>
    <row r="130" spans="1:44" s="1777" customFormat="1" ht="17.25" hidden="1" customHeight="1">
      <c r="A130" s="257"/>
      <c r="C130" s="256"/>
      <c r="D130" s="2075"/>
      <c r="E130" s="2083"/>
      <c r="F130" s="2086"/>
      <c r="G130" s="2083"/>
      <c r="H130" s="1224"/>
      <c r="I130" s="1225"/>
      <c r="J130" s="1225"/>
      <c r="K130" s="1225"/>
      <c r="L130" s="1225"/>
      <c r="M130" s="1225"/>
      <c r="N130" s="1225"/>
      <c r="O130" s="1225"/>
      <c r="P130" s="1225"/>
      <c r="Q130" s="1225"/>
      <c r="R130" s="1225"/>
      <c r="S130" s="1226"/>
      <c r="T130" s="1226"/>
      <c r="U130" s="1226"/>
      <c r="V130" s="1226"/>
      <c r="W130" s="1227"/>
      <c r="X130" s="1184"/>
      <c r="Y130" s="1184"/>
      <c r="Z130" s="1184"/>
      <c r="AA130" s="1184"/>
      <c r="AB130" s="1184"/>
      <c r="AC130" s="1184"/>
      <c r="AD130" s="1184"/>
      <c r="AE130" s="1184"/>
      <c r="AF130" s="1184"/>
      <c r="AG130" s="1184"/>
      <c r="AH130" s="1184"/>
      <c r="AI130" s="1184"/>
      <c r="AJ130" s="1184"/>
      <c r="AK130" s="1184"/>
      <c r="AL130" s="1184"/>
      <c r="AM130" s="1184"/>
      <c r="AN130" s="1184"/>
      <c r="AO130" s="1184"/>
      <c r="AP130" s="1184"/>
      <c r="AQ130" s="1184"/>
      <c r="AR130" s="1392">
        <v>0</v>
      </c>
    </row>
    <row r="131" spans="1:44" s="1777" customFormat="1" ht="17.25" hidden="1" customHeight="1">
      <c r="A131" s="257"/>
      <c r="C131" s="145"/>
      <c r="D131" s="2074">
        <v>3</v>
      </c>
      <c r="E131" s="2082" t="s">
        <v>273</v>
      </c>
      <c r="F131" s="2084" t="s">
        <v>19</v>
      </c>
      <c r="G131" s="2082"/>
      <c r="H131" s="2087"/>
      <c r="I131" s="2089"/>
      <c r="J131" s="2091"/>
      <c r="K131" s="2076"/>
      <c r="L131" s="2076"/>
      <c r="M131" s="2076"/>
      <c r="N131" s="2078"/>
      <c r="O131" s="2076"/>
      <c r="P131" s="2076"/>
      <c r="Q131" s="2076"/>
      <c r="R131" s="2081"/>
      <c r="S131" s="2076"/>
      <c r="T131" s="1864"/>
      <c r="U131" s="1864"/>
      <c r="V131" s="1866"/>
      <c r="W131" s="1221"/>
      <c r="X131" s="1192"/>
      <c r="Y131" s="1192"/>
      <c r="Z131" s="1192"/>
      <c r="AA131" s="1192"/>
      <c r="AB131" s="1192"/>
      <c r="AC131" s="1192" t="s">
        <v>274</v>
      </c>
      <c r="AD131" s="1192" t="s">
        <v>275</v>
      </c>
      <c r="AE131" s="1192" t="s">
        <v>276</v>
      </c>
      <c r="AF131" s="1192" t="s">
        <v>277</v>
      </c>
      <c r="AG131" s="1192"/>
      <c r="AH131" s="1192" t="str">
        <f>IF($E$131=0,"",$E$131)</f>
        <v>Тариф на подключение (технологическое присоединение) к централизованной системе водоотведения</v>
      </c>
      <c r="AI131" s="1192" t="str">
        <f>IF($G$131=0,"",$G$131)</f>
        <v/>
      </c>
      <c r="AJ131" s="1192" t="str">
        <f>IF($J$131=0,"",$J$131)</f>
        <v/>
      </c>
      <c r="AK131" s="1192" t="str">
        <f>IF($K$131="нет","без дифференциации",IF($N$131=0,"",$N$131))</f>
        <v/>
      </c>
      <c r="AL131" s="1192" t="str">
        <f>IF($O$131="нет","без дифференциации",IF($R$131=0,"",$R$131))</f>
        <v/>
      </c>
      <c r="AM131" s="1192" t="str">
        <f>IF($S$131="нет","без дифференциации",IF($V$131=0,"",$V$131))</f>
        <v/>
      </c>
      <c r="AN131" s="1697">
        <f>$I$131</f>
        <v>0</v>
      </c>
      <c r="AO131" s="1192" t="str">
        <f>$I$131&amp;"."&amp;$M$131</f>
        <v>.</v>
      </c>
      <c r="AP131" s="1191" t="str">
        <f>$I$131&amp;"."&amp;$M$131&amp;"."&amp;$Q$131</f>
        <v>..</v>
      </c>
      <c r="AQ131" s="1191" t="str">
        <f>$I$131&amp;"."&amp;$M$131&amp;"."&amp;$Q$131&amp;"."&amp;$U$131</f>
        <v>...</v>
      </c>
      <c r="AR131" s="1392">
        <v>0</v>
      </c>
    </row>
    <row r="132" spans="1:44" s="1777" customFormat="1" ht="17.25" hidden="1" customHeight="1">
      <c r="A132" s="257"/>
      <c r="C132" s="256"/>
      <c r="D132" s="2074"/>
      <c r="E132" s="2082"/>
      <c r="F132" s="2085"/>
      <c r="G132" s="2082"/>
      <c r="H132" s="2088"/>
      <c r="I132" s="2090"/>
      <c r="J132" s="2092"/>
      <c r="K132" s="2077"/>
      <c r="L132" s="2077"/>
      <c r="M132" s="2077"/>
      <c r="N132" s="2079"/>
      <c r="O132" s="2077"/>
      <c r="P132" s="2077"/>
      <c r="Q132" s="2077"/>
      <c r="R132" s="2080"/>
      <c r="S132" s="2077"/>
      <c r="T132" s="1869"/>
      <c r="U132" s="1869"/>
      <c r="V132" s="1869"/>
      <c r="W132" s="1870"/>
      <c r="X132" s="1191"/>
      <c r="Y132" s="1191"/>
      <c r="Z132" s="1191"/>
      <c r="AA132" s="1191"/>
      <c r="AB132" s="1191"/>
      <c r="AC132" s="1191"/>
      <c r="AD132" s="1191"/>
      <c r="AE132" s="1191"/>
      <c r="AF132" s="1191"/>
      <c r="AG132" s="1191"/>
      <c r="AH132" s="1191"/>
      <c r="AI132" s="1191"/>
      <c r="AJ132" s="1191"/>
      <c r="AK132" s="1191"/>
      <c r="AL132" s="1191"/>
      <c r="AM132" s="1191"/>
      <c r="AN132" s="1191"/>
      <c r="AO132" s="1191"/>
      <c r="AP132" s="1191"/>
      <c r="AQ132" s="1191"/>
      <c r="AR132" s="1392">
        <v>0</v>
      </c>
    </row>
    <row r="133" spans="1:44" s="1777" customFormat="1" ht="17.25" hidden="1" customHeight="1">
      <c r="A133" s="257"/>
      <c r="C133" s="256"/>
      <c r="D133" s="2075"/>
      <c r="E133" s="2083"/>
      <c r="F133" s="2085"/>
      <c r="G133" s="2083"/>
      <c r="H133" s="2088"/>
      <c r="I133" s="2090"/>
      <c r="J133" s="2093"/>
      <c r="K133" s="2077"/>
      <c r="L133" s="2077"/>
      <c r="M133" s="2077"/>
      <c r="N133" s="2080"/>
      <c r="O133" s="2077"/>
      <c r="P133" s="1865"/>
      <c r="Q133" s="1869"/>
      <c r="R133" s="1869"/>
      <c r="S133" s="265"/>
      <c r="T133" s="265"/>
      <c r="U133" s="265"/>
      <c r="V133" s="265"/>
      <c r="W133" s="1870"/>
      <c r="X133" s="1191"/>
      <c r="Y133" s="1191"/>
      <c r="Z133" s="1191"/>
      <c r="AA133" s="1191"/>
      <c r="AB133" s="1191"/>
      <c r="AC133" s="1191"/>
      <c r="AD133" s="1191"/>
      <c r="AE133" s="1191"/>
      <c r="AF133" s="1191"/>
      <c r="AG133" s="1191"/>
      <c r="AH133" s="1191"/>
      <c r="AI133" s="1191"/>
      <c r="AJ133" s="1191"/>
      <c r="AK133" s="1191"/>
      <c r="AL133" s="1191"/>
      <c r="AM133" s="1191"/>
      <c r="AN133" s="1191"/>
      <c r="AO133" s="1191"/>
      <c r="AP133" s="1191"/>
      <c r="AQ133" s="1191"/>
      <c r="AR133" s="1392">
        <v>0</v>
      </c>
    </row>
    <row r="134" spans="1:44" s="1777" customFormat="1" ht="17.25" hidden="1" customHeight="1">
      <c r="A134" s="257"/>
      <c r="C134" s="256"/>
      <c r="D134" s="2075"/>
      <c r="E134" s="2083"/>
      <c r="F134" s="2085"/>
      <c r="G134" s="2083"/>
      <c r="H134" s="2088"/>
      <c r="I134" s="2090"/>
      <c r="J134" s="2093"/>
      <c r="K134" s="2077"/>
      <c r="L134" s="1869"/>
      <c r="M134" s="1869"/>
      <c r="N134" s="1869"/>
      <c r="O134" s="1869"/>
      <c r="P134" s="1869"/>
      <c r="Q134" s="1869"/>
      <c r="R134" s="1869"/>
      <c r="S134" s="265"/>
      <c r="T134" s="265"/>
      <c r="U134" s="265"/>
      <c r="V134" s="265"/>
      <c r="W134" s="1870"/>
      <c r="X134" s="1191"/>
      <c r="Y134" s="1191"/>
      <c r="Z134" s="1191"/>
      <c r="AA134" s="1191"/>
      <c r="AB134" s="1191"/>
      <c r="AC134" s="1191"/>
      <c r="AD134" s="1191"/>
      <c r="AE134" s="1191"/>
      <c r="AF134" s="1191"/>
      <c r="AG134" s="1191"/>
      <c r="AH134" s="1191"/>
      <c r="AI134" s="1191"/>
      <c r="AJ134" s="1191"/>
      <c r="AK134" s="1191"/>
      <c r="AL134" s="1191"/>
      <c r="AM134" s="1191"/>
      <c r="AN134" s="1191"/>
      <c r="AO134" s="1191"/>
      <c r="AP134" s="1191"/>
      <c r="AQ134" s="1191"/>
      <c r="AR134" s="1392">
        <v>0</v>
      </c>
    </row>
    <row r="135" spans="1:44" s="1777" customFormat="1" ht="17.25" hidden="1" customHeight="1">
      <c r="A135" s="257"/>
      <c r="C135" s="256"/>
      <c r="D135" s="2075"/>
      <c r="E135" s="2083"/>
      <c r="F135" s="2086"/>
      <c r="G135" s="2083"/>
      <c r="H135" s="1224"/>
      <c r="I135" s="1867"/>
      <c r="J135" s="1867"/>
      <c r="K135" s="1867"/>
      <c r="L135" s="1867"/>
      <c r="M135" s="1867"/>
      <c r="N135" s="1867"/>
      <c r="O135" s="1867"/>
      <c r="P135" s="1867"/>
      <c r="Q135" s="1867"/>
      <c r="R135" s="1867"/>
      <c r="S135" s="1226"/>
      <c r="T135" s="1226"/>
      <c r="U135" s="1226"/>
      <c r="V135" s="1226"/>
      <c r="W135" s="1868"/>
      <c r="X135" s="1191"/>
      <c r="Y135" s="1191"/>
      <c r="Z135" s="1191"/>
      <c r="AA135" s="1191"/>
      <c r="AB135" s="1191"/>
      <c r="AC135" s="1191"/>
      <c r="AD135" s="1191"/>
      <c r="AE135" s="1191"/>
      <c r="AF135" s="1191"/>
      <c r="AG135" s="1191"/>
      <c r="AH135" s="1191"/>
      <c r="AI135" s="1191"/>
      <c r="AJ135" s="1191"/>
      <c r="AK135" s="1191"/>
      <c r="AL135" s="1191"/>
      <c r="AM135" s="1191"/>
      <c r="AN135" s="1191"/>
      <c r="AO135" s="1191"/>
      <c r="AP135" s="1191"/>
      <c r="AQ135" s="1191"/>
      <c r="AR135" s="1392">
        <v>0</v>
      </c>
    </row>
    <row r="136" spans="1:44" ht="11.45" customHeight="1">
      <c r="AR136" s="42">
        <v>11</v>
      </c>
    </row>
    <row r="137" spans="1:44" ht="11.45" customHeight="1">
      <c r="AR137" s="42">
        <v>11</v>
      </c>
    </row>
    <row r="138" spans="1:44" ht="11.45" customHeight="1">
      <c r="AR138" s="42">
        <v>11</v>
      </c>
    </row>
    <row r="139" spans="1:44" ht="11.45" customHeight="1">
      <c r="E139" s="1275"/>
      <c r="AR139" s="42">
        <v>11</v>
      </c>
    </row>
    <row r="140" spans="1:44" ht="11.45" customHeight="1">
      <c r="E140" s="1275"/>
      <c r="AR140" s="42">
        <v>11</v>
      </c>
    </row>
    <row r="141" spans="1:44" ht="11.45" customHeight="1">
      <c r="E141" s="1275"/>
      <c r="AR141" s="42">
        <v>11</v>
      </c>
    </row>
    <row r="142" spans="1:44" ht="11.45" customHeight="1">
      <c r="E142" s="1275"/>
      <c r="AR142" s="42">
        <v>11</v>
      </c>
    </row>
    <row r="143" spans="1:44" ht="11.45" customHeight="1">
      <c r="E143" s="1275"/>
      <c r="AR143" s="42">
        <v>11</v>
      </c>
    </row>
    <row r="144" spans="1:44" ht="11.45" customHeight="1">
      <c r="E144" s="1275"/>
      <c r="AR144" s="42">
        <v>11</v>
      </c>
    </row>
    <row r="145" spans="1:44" ht="11.45" customHeight="1">
      <c r="E145" s="1275"/>
      <c r="AR145" s="42">
        <v>11</v>
      </c>
    </row>
    <row r="146" spans="1:44" ht="11.25" hidden="1" customHeight="1">
      <c r="A146" s="89" t="s">
        <v>82</v>
      </c>
      <c r="B146" s="89">
        <v>0</v>
      </c>
      <c r="C146" s="42">
        <v>3</v>
      </c>
      <c r="D146" s="42">
        <v>6</v>
      </c>
      <c r="E146" s="42">
        <v>42</v>
      </c>
      <c r="F146" s="1208">
        <v>14</v>
      </c>
      <c r="G146" s="42">
        <v>42</v>
      </c>
      <c r="H146" s="42">
        <v>3</v>
      </c>
      <c r="I146" s="42">
        <v>5</v>
      </c>
      <c r="J146" s="42">
        <v>47</v>
      </c>
      <c r="K146" s="42">
        <v>3</v>
      </c>
      <c r="L146" s="42">
        <v>3</v>
      </c>
      <c r="M146" s="42">
        <v>5</v>
      </c>
      <c r="N146" s="42">
        <v>28</v>
      </c>
      <c r="O146" s="42">
        <v>3</v>
      </c>
      <c r="P146" s="42">
        <v>3</v>
      </c>
      <c r="Q146" s="42">
        <v>5</v>
      </c>
      <c r="R146" s="42">
        <v>34</v>
      </c>
      <c r="S146" s="218">
        <v>0</v>
      </c>
      <c r="T146" s="218">
        <v>0</v>
      </c>
      <c r="U146" s="218">
        <v>0</v>
      </c>
      <c r="V146" s="218">
        <v>0</v>
      </c>
      <c r="W146" s="42">
        <v>30</v>
      </c>
      <c r="X146" s="42">
        <v>3</v>
      </c>
      <c r="Y146" s="1184">
        <v>0</v>
      </c>
      <c r="Z146" s="1184">
        <v>0</v>
      </c>
      <c r="AA146" s="1184">
        <v>0</v>
      </c>
      <c r="AB146" s="1184">
        <v>0</v>
      </c>
      <c r="AC146" s="1184">
        <v>0</v>
      </c>
      <c r="AD146" s="1184">
        <v>0</v>
      </c>
      <c r="AE146" s="1184">
        <v>0</v>
      </c>
      <c r="AF146" s="1184">
        <v>0</v>
      </c>
      <c r="AG146" s="1184">
        <v>0</v>
      </c>
      <c r="AH146" s="1184">
        <v>0</v>
      </c>
      <c r="AI146" s="1184">
        <v>0</v>
      </c>
      <c r="AJ146" s="1184">
        <v>0</v>
      </c>
      <c r="AK146" s="1184">
        <v>0</v>
      </c>
      <c r="AL146" s="1184">
        <v>0</v>
      </c>
      <c r="AM146" s="1184">
        <v>0</v>
      </c>
      <c r="AN146" s="1184">
        <v>0</v>
      </c>
      <c r="AO146" s="1184">
        <v>0</v>
      </c>
      <c r="AP146" s="1184">
        <v>0</v>
      </c>
      <c r="AQ146" s="1184">
        <v>0</v>
      </c>
      <c r="AR146" s="42">
        <v>11</v>
      </c>
    </row>
  </sheetData>
  <sheetProtection formatColumns="0" formatRows="0" insertRows="0" deleteColumns="0" deleteRows="0" sort="0" autoFilter="0"/>
  <mergeCells count="379">
    <mergeCell ref="R23:R24"/>
    <mergeCell ref="S23:S24"/>
    <mergeCell ref="G23:G27"/>
    <mergeCell ref="H23:H26"/>
    <mergeCell ref="I23:I26"/>
    <mergeCell ref="J23:J26"/>
    <mergeCell ref="K23:K26"/>
    <mergeCell ref="L23:L25"/>
    <mergeCell ref="M23:M25"/>
    <mergeCell ref="N23:N25"/>
    <mergeCell ref="O23:O25"/>
    <mergeCell ref="M131:M133"/>
    <mergeCell ref="N131:N133"/>
    <mergeCell ref="O131:O133"/>
    <mergeCell ref="P131:P132"/>
    <mergeCell ref="Q131:Q132"/>
    <mergeCell ref="R131:R132"/>
    <mergeCell ref="S131:S132"/>
    <mergeCell ref="D131:D135"/>
    <mergeCell ref="E131:E135"/>
    <mergeCell ref="F131:F135"/>
    <mergeCell ref="G131:G135"/>
    <mergeCell ref="H131:H134"/>
    <mergeCell ref="I131:I134"/>
    <mergeCell ref="J131:J134"/>
    <mergeCell ref="K131:K134"/>
    <mergeCell ref="L131:L133"/>
    <mergeCell ref="N99:N101"/>
    <mergeCell ref="O99:O101"/>
    <mergeCell ref="P99:P100"/>
    <mergeCell ref="Q99:Q100"/>
    <mergeCell ref="R99:R100"/>
    <mergeCell ref="S99:S100"/>
    <mergeCell ref="D115:D119"/>
    <mergeCell ref="E115:E119"/>
    <mergeCell ref="F115:F119"/>
    <mergeCell ref="G115:G119"/>
    <mergeCell ref="H115:H118"/>
    <mergeCell ref="I115:I118"/>
    <mergeCell ref="J115:J118"/>
    <mergeCell ref="K115:K118"/>
    <mergeCell ref="L115:L117"/>
    <mergeCell ref="M115:M117"/>
    <mergeCell ref="N115:N117"/>
    <mergeCell ref="O115:O117"/>
    <mergeCell ref="P115:P116"/>
    <mergeCell ref="Q115:Q116"/>
    <mergeCell ref="R115:R116"/>
    <mergeCell ref="S115:S116"/>
    <mergeCell ref="D99:D103"/>
    <mergeCell ref="E99:E103"/>
    <mergeCell ref="F99:F103"/>
    <mergeCell ref="G99:G103"/>
    <mergeCell ref="H99:H102"/>
    <mergeCell ref="I99:I102"/>
    <mergeCell ref="J99:J102"/>
    <mergeCell ref="K99:K102"/>
    <mergeCell ref="L99:L101"/>
    <mergeCell ref="S126:S127"/>
    <mergeCell ref="D126:D130"/>
    <mergeCell ref="E126:E130"/>
    <mergeCell ref="F126:F130"/>
    <mergeCell ref="G126:G130"/>
    <mergeCell ref="H126:H129"/>
    <mergeCell ref="I126:I129"/>
    <mergeCell ref="J126:J129"/>
    <mergeCell ref="K126:K129"/>
    <mergeCell ref="L126:L128"/>
    <mergeCell ref="H121:H124"/>
    <mergeCell ref="I121:I124"/>
    <mergeCell ref="J121:J124"/>
    <mergeCell ref="K121:K124"/>
    <mergeCell ref="L121:L123"/>
    <mergeCell ref="M121:M123"/>
    <mergeCell ref="N121:N123"/>
    <mergeCell ref="M126:M128"/>
    <mergeCell ref="N126:N128"/>
    <mergeCell ref="O126:O128"/>
    <mergeCell ref="P121:P122"/>
    <mergeCell ref="Q121:Q122"/>
    <mergeCell ref="R121:R122"/>
    <mergeCell ref="P126:P127"/>
    <mergeCell ref="Q126:Q127"/>
    <mergeCell ref="R126:R127"/>
    <mergeCell ref="S121:S122"/>
    <mergeCell ref="D121:D125"/>
    <mergeCell ref="E121:E125"/>
    <mergeCell ref="F121:F125"/>
    <mergeCell ref="G121:G125"/>
    <mergeCell ref="M110:M112"/>
    <mergeCell ref="N110:N112"/>
    <mergeCell ref="O110:O112"/>
    <mergeCell ref="P110:P111"/>
    <mergeCell ref="Q110:Q111"/>
    <mergeCell ref="R110:R111"/>
    <mergeCell ref="S110:S111"/>
    <mergeCell ref="D110:D114"/>
    <mergeCell ref="E110:E114"/>
    <mergeCell ref="F110:F114"/>
    <mergeCell ref="G110:G114"/>
    <mergeCell ref="H110:H113"/>
    <mergeCell ref="I110:I113"/>
    <mergeCell ref="J110:J113"/>
    <mergeCell ref="K110:K113"/>
    <mergeCell ref="L110:L112"/>
    <mergeCell ref="O121:O123"/>
    <mergeCell ref="R13:R14"/>
    <mergeCell ref="S13:S14"/>
    <mergeCell ref="M48:M50"/>
    <mergeCell ref="N48:N50"/>
    <mergeCell ref="O48:O50"/>
    <mergeCell ref="N38:N40"/>
    <mergeCell ref="D105:D109"/>
    <mergeCell ref="E105:E109"/>
    <mergeCell ref="F105:F109"/>
    <mergeCell ref="G105:G109"/>
    <mergeCell ref="H105:H108"/>
    <mergeCell ref="I105:I108"/>
    <mergeCell ref="J105:J108"/>
    <mergeCell ref="K105:K108"/>
    <mergeCell ref="L105:L107"/>
    <mergeCell ref="P53:P54"/>
    <mergeCell ref="Q53:Q54"/>
    <mergeCell ref="R53:R54"/>
    <mergeCell ref="S53:S54"/>
    <mergeCell ref="P48:P49"/>
    <mergeCell ref="Q48:Q49"/>
    <mergeCell ref="R48:R49"/>
    <mergeCell ref="S48:S49"/>
    <mergeCell ref="S28:S29"/>
    <mergeCell ref="S18:S19"/>
    <mergeCell ref="M105:M107"/>
    <mergeCell ref="N105:N107"/>
    <mergeCell ref="O105:O107"/>
    <mergeCell ref="P105:P106"/>
    <mergeCell ref="Q105:Q106"/>
    <mergeCell ref="R105:R106"/>
    <mergeCell ref="S105:S106"/>
    <mergeCell ref="O53:O55"/>
    <mergeCell ref="E77:W77"/>
    <mergeCell ref="E69:W69"/>
    <mergeCell ref="E70:W70"/>
    <mergeCell ref="E71:W71"/>
    <mergeCell ref="E72:W72"/>
    <mergeCell ref="E73:W73"/>
    <mergeCell ref="L79:L81"/>
    <mergeCell ref="M79:M81"/>
    <mergeCell ref="E75:W75"/>
    <mergeCell ref="E76:W76"/>
    <mergeCell ref="K89:K92"/>
    <mergeCell ref="E43:E47"/>
    <mergeCell ref="F43:F47"/>
    <mergeCell ref="H43:H46"/>
    <mergeCell ref="G43:G47"/>
    <mergeCell ref="G33:G37"/>
    <mergeCell ref="K33:K36"/>
    <mergeCell ref="S33:S34"/>
    <mergeCell ref="S38:S39"/>
    <mergeCell ref="S43:S44"/>
    <mergeCell ref="O33:O35"/>
    <mergeCell ref="E38:E42"/>
    <mergeCell ref="F38:F42"/>
    <mergeCell ref="H38:H41"/>
    <mergeCell ref="L33:L35"/>
    <mergeCell ref="M33:M35"/>
    <mergeCell ref="P38:P39"/>
    <mergeCell ref="Q38:Q39"/>
    <mergeCell ref="R38:R39"/>
    <mergeCell ref="P33:P34"/>
    <mergeCell ref="D38:D42"/>
    <mergeCell ref="Q33:Q34"/>
    <mergeCell ref="R33:R34"/>
    <mergeCell ref="D48:D52"/>
    <mergeCell ref="E48:E52"/>
    <mergeCell ref="F48:F52"/>
    <mergeCell ref="G48:G52"/>
    <mergeCell ref="H48:H51"/>
    <mergeCell ref="I48:I51"/>
    <mergeCell ref="J48:J51"/>
    <mergeCell ref="K48:K51"/>
    <mergeCell ref="L48:L50"/>
    <mergeCell ref="D33:D37"/>
    <mergeCell ref="E33:E37"/>
    <mergeCell ref="F33:F37"/>
    <mergeCell ref="H33:H36"/>
    <mergeCell ref="I33:I36"/>
    <mergeCell ref="N33:N35"/>
    <mergeCell ref="P43:P44"/>
    <mergeCell ref="O38:O40"/>
    <mergeCell ref="Q43:Q44"/>
    <mergeCell ref="R43:R44"/>
    <mergeCell ref="O43:O45"/>
    <mergeCell ref="J33:J36"/>
    <mergeCell ref="D53:D57"/>
    <mergeCell ref="E53:E57"/>
    <mergeCell ref="F53:F57"/>
    <mergeCell ref="H53:H56"/>
    <mergeCell ref="N43:N45"/>
    <mergeCell ref="G38:G42"/>
    <mergeCell ref="K38:K41"/>
    <mergeCell ref="G53:G57"/>
    <mergeCell ref="K53:K56"/>
    <mergeCell ref="N53:N55"/>
    <mergeCell ref="I53:I56"/>
    <mergeCell ref="J53:J56"/>
    <mergeCell ref="L53:L55"/>
    <mergeCell ref="M53:M55"/>
    <mergeCell ref="L43:L45"/>
    <mergeCell ref="M43:M45"/>
    <mergeCell ref="K43:K46"/>
    <mergeCell ref="D43:D47"/>
    <mergeCell ref="I43:I46"/>
    <mergeCell ref="J43:J46"/>
    <mergeCell ref="I38:I41"/>
    <mergeCell ref="J38:J41"/>
    <mergeCell ref="L38:L40"/>
    <mergeCell ref="M38:M40"/>
    <mergeCell ref="D18:D22"/>
    <mergeCell ref="E18:E22"/>
    <mergeCell ref="F18:F22"/>
    <mergeCell ref="Q18:Q19"/>
    <mergeCell ref="R18:R19"/>
    <mergeCell ref="M28:M30"/>
    <mergeCell ref="R28:R29"/>
    <mergeCell ref="O28:O30"/>
    <mergeCell ref="H18:H21"/>
    <mergeCell ref="I18:I21"/>
    <mergeCell ref="J18:J21"/>
    <mergeCell ref="D28:D32"/>
    <mergeCell ref="E28:E32"/>
    <mergeCell ref="F28:F32"/>
    <mergeCell ref="H28:H31"/>
    <mergeCell ref="I28:I31"/>
    <mergeCell ref="J28:J31"/>
    <mergeCell ref="G28:G32"/>
    <mergeCell ref="L18:L20"/>
    <mergeCell ref="M18:M20"/>
    <mergeCell ref="N18:N20"/>
    <mergeCell ref="D23:D27"/>
    <mergeCell ref="E23:E27"/>
    <mergeCell ref="F23:F27"/>
    <mergeCell ref="L10:M10"/>
    <mergeCell ref="P10:Q10"/>
    <mergeCell ref="L11:M11"/>
    <mergeCell ref="P11:Q11"/>
    <mergeCell ref="K28:K31"/>
    <mergeCell ref="L28:L30"/>
    <mergeCell ref="P13:P14"/>
    <mergeCell ref="P28:P29"/>
    <mergeCell ref="Q28:Q29"/>
    <mergeCell ref="P18:P19"/>
    <mergeCell ref="O18:O20"/>
    <mergeCell ref="L13:L15"/>
    <mergeCell ref="M13:M15"/>
    <mergeCell ref="N13:N15"/>
    <mergeCell ref="O13:O15"/>
    <mergeCell ref="Q13:Q14"/>
    <mergeCell ref="P23:P24"/>
    <mergeCell ref="Q23:Q24"/>
    <mergeCell ref="D5:J5"/>
    <mergeCell ref="D9:D10"/>
    <mergeCell ref="D7:J7"/>
    <mergeCell ref="G9:G10"/>
    <mergeCell ref="H9:I10"/>
    <mergeCell ref="D6:J6"/>
    <mergeCell ref="D13:D17"/>
    <mergeCell ref="E13:E17"/>
    <mergeCell ref="G13:G17"/>
    <mergeCell ref="H13:H16"/>
    <mergeCell ref="J9:J10"/>
    <mergeCell ref="H11:I11"/>
    <mergeCell ref="E9:F9"/>
    <mergeCell ref="F13:F17"/>
    <mergeCell ref="I13:I16"/>
    <mergeCell ref="J13:J16"/>
    <mergeCell ref="W9:W10"/>
    <mergeCell ref="O9:R9"/>
    <mergeCell ref="K9:N9"/>
    <mergeCell ref="T11:U11"/>
    <mergeCell ref="S9:V9"/>
    <mergeCell ref="T10:U10"/>
    <mergeCell ref="D79:D83"/>
    <mergeCell ref="E79:E83"/>
    <mergeCell ref="D84:D88"/>
    <mergeCell ref="E84:E88"/>
    <mergeCell ref="F84:F88"/>
    <mergeCell ref="G84:G88"/>
    <mergeCell ref="H84:H87"/>
    <mergeCell ref="I84:I87"/>
    <mergeCell ref="J84:J87"/>
    <mergeCell ref="F79:F83"/>
    <mergeCell ref="G79:G83"/>
    <mergeCell ref="H79:H82"/>
    <mergeCell ref="I79:I82"/>
    <mergeCell ref="J79:J82"/>
    <mergeCell ref="K13:K16"/>
    <mergeCell ref="G18:G22"/>
    <mergeCell ref="K18:K21"/>
    <mergeCell ref="N28:N30"/>
    <mergeCell ref="L89:L91"/>
    <mergeCell ref="Q84:Q85"/>
    <mergeCell ref="R84:R85"/>
    <mergeCell ref="S84:S85"/>
    <mergeCell ref="K84:K87"/>
    <mergeCell ref="K79:K82"/>
    <mergeCell ref="N84:N86"/>
    <mergeCell ref="O84:O86"/>
    <mergeCell ref="P84:P85"/>
    <mergeCell ref="S89:S90"/>
    <mergeCell ref="N89:N91"/>
    <mergeCell ref="O89:O91"/>
    <mergeCell ref="P89:P90"/>
    <mergeCell ref="Q89:Q90"/>
    <mergeCell ref="R89:R90"/>
    <mergeCell ref="L84:L86"/>
    <mergeCell ref="N79:N81"/>
    <mergeCell ref="O79:O81"/>
    <mergeCell ref="P79:P80"/>
    <mergeCell ref="Q79:Q80"/>
    <mergeCell ref="R79:R80"/>
    <mergeCell ref="S79:S80"/>
    <mergeCell ref="M84:M86"/>
    <mergeCell ref="M94:M96"/>
    <mergeCell ref="N94:N96"/>
    <mergeCell ref="O94:O96"/>
    <mergeCell ref="P94:P95"/>
    <mergeCell ref="Q94:Q95"/>
    <mergeCell ref="R94:R95"/>
    <mergeCell ref="S94:S95"/>
    <mergeCell ref="D89:D93"/>
    <mergeCell ref="E89:E93"/>
    <mergeCell ref="M89:M91"/>
    <mergeCell ref="D94:D98"/>
    <mergeCell ref="E94:E98"/>
    <mergeCell ref="F94:F98"/>
    <mergeCell ref="G94:G98"/>
    <mergeCell ref="H94:H97"/>
    <mergeCell ref="I94:I97"/>
    <mergeCell ref="J94:J97"/>
    <mergeCell ref="K94:K97"/>
    <mergeCell ref="L94:L96"/>
    <mergeCell ref="F89:F93"/>
    <mergeCell ref="G89:G93"/>
    <mergeCell ref="H89:H92"/>
    <mergeCell ref="I89:I92"/>
    <mergeCell ref="J89:J92"/>
    <mergeCell ref="S63:S64"/>
    <mergeCell ref="E58:E62"/>
    <mergeCell ref="F58:F62"/>
    <mergeCell ref="G58:G62"/>
    <mergeCell ref="H58:H61"/>
    <mergeCell ref="I58:I61"/>
    <mergeCell ref="J58:J61"/>
    <mergeCell ref="K58:K61"/>
    <mergeCell ref="L58:L60"/>
    <mergeCell ref="D58:D62"/>
    <mergeCell ref="M99:M101"/>
    <mergeCell ref="M58:M60"/>
    <mergeCell ref="N58:N60"/>
    <mergeCell ref="O58:O60"/>
    <mergeCell ref="P58:P59"/>
    <mergeCell ref="Q58:Q59"/>
    <mergeCell ref="R58:R59"/>
    <mergeCell ref="S58:S59"/>
    <mergeCell ref="D63:D67"/>
    <mergeCell ref="E63:E67"/>
    <mergeCell ref="F63:F67"/>
    <mergeCell ref="G63:G67"/>
    <mergeCell ref="H63:H66"/>
    <mergeCell ref="I63:I66"/>
    <mergeCell ref="J63:J66"/>
    <mergeCell ref="K63:K66"/>
    <mergeCell ref="L63:L65"/>
    <mergeCell ref="M63:M65"/>
    <mergeCell ref="N63:N65"/>
    <mergeCell ref="O63:O65"/>
    <mergeCell ref="P63:P64"/>
    <mergeCell ref="Q63:Q64"/>
    <mergeCell ref="R63:R64"/>
  </mergeCells>
  <dataValidations count="5">
    <dataValidation allowBlank="1" showInputMessage="1" showErrorMessage="1" prompt="Для выбора выполните двойной щелчок левой клавиши мыши по соответствующей ячейке." sqref="K38:K39 K13:K14 K48:K49 O48:O49 S48:S49 K18:K19 K43:K44 K28:K29 O38:O39 O18:O19 O43:O44 O28:O29 S38:S39 S18:S19 S43:S44 S28:S29 O13:O14 S13:S14 K33:K34 O33:O34 S33:S34 K79:K80 O79:O80 S79:S80 K84:K85 O84:O85 S84:S85 K94:K95 O94:O95 S94:S95 K89:K90 O89:O90 S53:S54 S89:S90 K53:K54 O53:O54 O131:O132 O105:O106 S105:S106 O110:O111 S110:S111 K105:K106 K110:K111 S99:S100 K126:K127 O126:O127 K121:K122 O121:O122 S126:S127 O115:O116 S121:S122 O58:O59 S58:S59 K58:K59 K63:K64 O63:O64 S63:S64 F79:F103 K99:K100 O99:O100 F105:F119 S115:S116 K115:K116 F121:F135 S131:S132 K131:K132 F13:F67 K23:K24 O23:O24 S23:S24"/>
    <dataValidation type="textLength" operator="lessThanOrEqual" allowBlank="1" showInputMessage="1" showErrorMessage="1" errorTitle="Ошибка" error="Допускается ввод не более 900 символов!" sqref="J38:J39 J13:J14 J48:J49 R48:R49 V48:W48 J18:J19 J43:J44 J28:J29 R38:R39 R13:R14 R18:R19 R43:R44 R28:R29 V38:W38 V13:W13 V18:W18 V43:W43 V28:W28 J33:J34 R33:R34 V33:W33 J79:J80 R79:R80 V79:W79 J84:J85 R84:R85 V84:W84 J94:J95 R94:R95 V94:W94 J89:J90 R89:R90 V89:W89 J53:J54 R53:R54 V53:W53 J105:J106 R105:R106 V105:W105 J110:J111 R110:R111 V110:W110 J126:J127 R126:R127 V126:W126 J121:J122 R121:R122 V121:W121 J58:J59 R58:R59 V58:W58 J63:J64 R63:R64 V63:W63 J99:J100 R99:R100 V99:W99 J115:J116 R115:R116 V115:W115 J131:J132 R131:R132 V131:W131 J23:J24 R23:R24 V23:W23">
      <formula1>900</formula1>
    </dataValidation>
    <dataValidation type="list" allowBlank="1" showInputMessage="1" showErrorMessage="1" errorTitle="Ошибка" error="Выберите значение из списка" prompt="Территория действия тарифа выбирается из выпадающего списка. Доступные для выбора территории определяются на листе &quot;Территории&quot;. Для каждого вида тарифа должна указываться территория, содержащая только те МР/МО, где действует данный вид тарифа." sqref="N48:N50 N18:N20 N43:N45 N28:N30 N38:N40 N13:N15 N33:N35 N79:N81 N94:N96 N84:N86 N89:N91 N53:N55 N105:N107 N110:N112 N126:N128 N121:N123 N58:N60 N63:N65 N99:N101 N115:N117 N131:N133 N23:N25">
      <formula1>DESCRIPTION_TERRITORY</formula1>
    </dataValidation>
    <dataValidation allowBlank="1" showInputMessage="1" showErrorMessage="1" prompt="Выберите виды деятельности, выполнив двойной щелчок левой кнопки мыши по ячейке." sqref="G105:G119 G121:G135 G79:G103 G13:G67"/>
    <dataValidation type="list" allowBlank="1" showInputMessage="1" showErrorMessage="1" errorTitle="Ошибка" error="Выберите значение из списка" prompt="Выберите значение из списка" sqref="E18:E22">
      <formula1>kind_of_tariff_RHEAT</formula1>
    </dataValidation>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CCCCFF"/>
  </sheetPr>
  <dimension ref="A1:BM50"/>
  <sheetViews>
    <sheetView showGridLines="0" zoomScale="90" workbookViewId="0">
      <pane xSplit="10" ySplit="10" topLeftCell="K11" activePane="bottomRight" state="frozen"/>
      <selection pane="topRight" activeCell="K1" sqref="K1"/>
      <selection pane="bottomLeft" activeCell="A11" sqref="A11"/>
      <selection pane="bottomRight"/>
    </sheetView>
  </sheetViews>
  <sheetFormatPr defaultColWidth="9.140625" defaultRowHeight="11.25" customHeight="1"/>
  <cols>
    <col min="1" max="2" width="9.140625" style="1774" hidden="1"/>
    <col min="3" max="4" width="3" style="1774" customWidth="1"/>
    <col min="5" max="6" width="15" style="1774" customWidth="1"/>
    <col min="7" max="7" width="11.5703125" style="1774" customWidth="1"/>
    <col min="8" max="9" width="3" style="1774" customWidth="1"/>
    <col min="10" max="10" width="12" style="1774" customWidth="1"/>
    <col min="11" max="11" width="0.28515625" style="1774" customWidth="1"/>
    <col min="12" max="13" width="10" style="1774" customWidth="1"/>
    <col min="14" max="15" width="3" style="1774" customWidth="1"/>
    <col min="16" max="16" width="19" style="1774" customWidth="1"/>
    <col min="17" max="17" width="0.28515625" style="1774" customWidth="1"/>
    <col min="18" max="19" width="10" style="1774" customWidth="1"/>
    <col min="20" max="21" width="3" style="1774" customWidth="1"/>
    <col min="22" max="22" width="25" style="1774" customWidth="1"/>
    <col min="23" max="23" width="0.28515625" style="1774" customWidth="1"/>
    <col min="24" max="25" width="10" style="1774" customWidth="1"/>
    <col min="26" max="27" width="3" style="1774" customWidth="1"/>
    <col min="28" max="28" width="16" style="1774" customWidth="1"/>
    <col min="29" max="29" width="0.28515625" style="1774" customWidth="1"/>
    <col min="30" max="31" width="10" style="1774" customWidth="1"/>
    <col min="32" max="33" width="3" style="1774" customWidth="1"/>
    <col min="34" max="34" width="8" style="1774" customWidth="1"/>
    <col min="35" max="35" width="21" style="1774" customWidth="1"/>
    <col min="36" max="36" width="8" style="1774" customWidth="1"/>
    <col min="37" max="37" width="8" style="293" customWidth="1"/>
    <col min="38" max="64" width="8" style="1774" customWidth="1"/>
    <col min="65" max="65" width="9.140625" style="1774" hidden="1"/>
  </cols>
  <sheetData>
    <row r="1" spans="1:65" s="1241" customFormat="1" ht="11.25" hidden="1" customHeight="1">
      <c r="AJ1" s="357"/>
      <c r="AK1" s="357"/>
      <c r="AL1" s="357"/>
      <c r="AM1" s="357"/>
      <c r="AN1" s="357"/>
      <c r="AO1" s="357"/>
      <c r="AP1" s="357"/>
      <c r="AQ1" s="357"/>
      <c r="AR1" s="357"/>
      <c r="AS1" s="357"/>
      <c r="AT1" s="357"/>
      <c r="AU1" s="357"/>
      <c r="AV1" s="357"/>
      <c r="AW1" s="357"/>
      <c r="AX1" s="357"/>
      <c r="AY1" s="357"/>
      <c r="AZ1" s="357"/>
      <c r="BA1" s="357"/>
      <c r="BB1" s="357"/>
      <c r="BC1" s="357"/>
      <c r="BD1" s="357"/>
      <c r="BE1" s="357"/>
      <c r="BF1" s="357"/>
      <c r="BG1" s="357"/>
      <c r="BH1" s="357"/>
      <c r="BI1" s="357"/>
      <c r="BJ1" s="357"/>
      <c r="BK1" s="357"/>
      <c r="BL1" s="357"/>
      <c r="BM1" s="354" t="s">
        <v>14</v>
      </c>
    </row>
    <row r="2" spans="1:65" s="1478" customFormat="1" ht="11.25" hidden="1" customHeight="1">
      <c r="L2" s="1478" t="s">
        <v>278</v>
      </c>
      <c r="M2" s="1478" t="s">
        <v>279</v>
      </c>
      <c r="R2" s="1478" t="s">
        <v>280</v>
      </c>
      <c r="S2" s="1478" t="s">
        <v>279</v>
      </c>
      <c r="X2" s="1478" t="s">
        <v>278</v>
      </c>
      <c r="Y2" s="1478" t="s">
        <v>279</v>
      </c>
      <c r="AD2" s="1478" t="s">
        <v>278</v>
      </c>
      <c r="AE2" s="1478" t="s">
        <v>279</v>
      </c>
      <c r="AJ2" s="1500"/>
      <c r="AK2" s="1500"/>
      <c r="AL2" s="1500"/>
      <c r="AM2" s="1500"/>
      <c r="AN2" s="1500"/>
      <c r="AO2" s="1500"/>
      <c r="AP2" s="1500"/>
      <c r="AQ2" s="1500"/>
      <c r="AR2" s="1500"/>
      <c r="AS2" s="1500"/>
      <c r="AT2" s="1500"/>
      <c r="AU2" s="1500"/>
      <c r="AV2" s="1500"/>
      <c r="AW2" s="1500"/>
      <c r="AX2" s="1500"/>
      <c r="AY2" s="1500"/>
      <c r="AZ2" s="1500"/>
      <c r="BA2" s="1500"/>
      <c r="BB2" s="1500"/>
      <c r="BC2" s="1500"/>
      <c r="BD2" s="1500"/>
      <c r="BE2" s="1500"/>
      <c r="BF2" s="1500"/>
      <c r="BG2" s="1500"/>
      <c r="BH2" s="1500"/>
      <c r="BI2" s="1500"/>
      <c r="BJ2" s="1500"/>
      <c r="BK2" s="1500"/>
      <c r="BL2" s="1500"/>
      <c r="BM2" s="1478">
        <v>0</v>
      </c>
    </row>
    <row r="3" spans="1:65" s="1479" customFormat="1" ht="11.45" customHeight="1">
      <c r="AJ3" s="1499"/>
      <c r="AK3" s="242"/>
      <c r="AL3" s="1499"/>
      <c r="AM3" s="1499"/>
      <c r="AN3" s="1499"/>
      <c r="AO3" s="1499"/>
      <c r="AP3" s="1499"/>
      <c r="AQ3" s="1499"/>
      <c r="AR3" s="1499"/>
      <c r="AS3" s="1499"/>
      <c r="AT3" s="1499"/>
      <c r="AU3" s="1499"/>
      <c r="AV3" s="1499"/>
      <c r="AW3" s="1499"/>
      <c r="AX3" s="1499"/>
      <c r="AY3" s="1499"/>
      <c r="AZ3" s="1499"/>
      <c r="BA3" s="1499"/>
      <c r="BB3" s="1499"/>
      <c r="BC3" s="1499"/>
      <c r="BD3" s="1499"/>
      <c r="BE3" s="1499"/>
      <c r="BF3" s="1499"/>
      <c r="BG3" s="1499"/>
      <c r="BH3" s="1499"/>
      <c r="BI3" s="1499"/>
      <c r="BJ3" s="1499"/>
      <c r="BK3" s="1499"/>
      <c r="BL3" s="1499"/>
      <c r="BM3" s="1479">
        <v>11</v>
      </c>
    </row>
    <row r="4" spans="1:65" s="1744" customFormat="1" ht="34.5" customHeight="1">
      <c r="A4" s="1081"/>
      <c r="B4" s="1080"/>
      <c r="C4" s="1440"/>
      <c r="D4" s="2130" t="s">
        <v>281</v>
      </c>
      <c r="E4" s="2130"/>
      <c r="F4" s="2130"/>
      <c r="G4" s="2130"/>
      <c r="H4" s="2130"/>
      <c r="I4" s="2130"/>
      <c r="J4" s="2130"/>
      <c r="K4" s="634"/>
      <c r="T4" s="1480"/>
      <c r="AJ4" s="1501"/>
      <c r="AK4" s="1502"/>
      <c r="AL4" s="1501"/>
      <c r="AM4" s="1501"/>
      <c r="AN4" s="1501"/>
      <c r="AO4" s="1501"/>
      <c r="AP4" s="1501"/>
      <c r="AQ4" s="1501"/>
      <c r="AR4" s="1501"/>
      <c r="AS4" s="1501"/>
      <c r="AT4" s="1501"/>
      <c r="AU4" s="1501"/>
      <c r="AV4" s="1501"/>
      <c r="AW4" s="1501"/>
      <c r="AX4" s="1501"/>
      <c r="AY4" s="1501"/>
      <c r="AZ4" s="1501"/>
      <c r="BA4" s="1501"/>
      <c r="BB4" s="1501"/>
      <c r="BC4" s="1501"/>
      <c r="BD4" s="1501"/>
      <c r="BE4" s="1501"/>
      <c r="BF4" s="1501"/>
      <c r="BG4" s="1501"/>
      <c r="BH4" s="1501"/>
      <c r="BI4" s="1501"/>
      <c r="BJ4" s="1501"/>
      <c r="BK4" s="1501"/>
      <c r="BL4" s="1501"/>
      <c r="BM4" s="442">
        <v>33</v>
      </c>
    </row>
    <row r="5" spans="1:65" s="1744" customFormat="1" ht="14.65" customHeight="1">
      <c r="A5" s="1557"/>
      <c r="B5" s="1556"/>
      <c r="C5" s="1440"/>
      <c r="D5" s="2115" t="str">
        <f>IF(org=0,"Не определено",org)</f>
        <v>ООО "ЗЕНИТ ЭНЕРГО"</v>
      </c>
      <c r="E5" s="2115"/>
      <c r="F5" s="2115"/>
      <c r="G5" s="2115"/>
      <c r="H5" s="2115"/>
      <c r="I5" s="2115"/>
      <c r="J5" s="2115"/>
      <c r="K5" s="634"/>
      <c r="T5" s="1480"/>
      <c r="AJ5" s="1501"/>
      <c r="AK5" s="1502"/>
      <c r="AL5" s="1501"/>
      <c r="AM5" s="1501"/>
      <c r="AN5" s="1501"/>
      <c r="AO5" s="1501"/>
      <c r="AP5" s="1501"/>
      <c r="AQ5" s="1501"/>
      <c r="AR5" s="1501"/>
      <c r="AS5" s="1501"/>
      <c r="AT5" s="1501"/>
      <c r="AU5" s="1501"/>
      <c r="AV5" s="1501"/>
      <c r="AW5" s="1501"/>
      <c r="AX5" s="1501"/>
      <c r="AY5" s="1501"/>
      <c r="AZ5" s="1501"/>
      <c r="BA5" s="1501"/>
      <c r="BB5" s="1501"/>
      <c r="BC5" s="1501"/>
      <c r="BD5" s="1501"/>
      <c r="BE5" s="1501"/>
      <c r="BF5" s="1501"/>
      <c r="BG5" s="1501"/>
      <c r="BH5" s="1501"/>
      <c r="BI5" s="1501"/>
      <c r="BJ5" s="1501"/>
      <c r="BK5" s="1501"/>
      <c r="BL5" s="1501"/>
      <c r="BM5" s="1534">
        <v>14</v>
      </c>
    </row>
    <row r="6" spans="1:65" s="1744" customFormat="1" ht="14.65" customHeight="1">
      <c r="A6" s="1081"/>
      <c r="B6" s="1080"/>
      <c r="C6" s="1440"/>
      <c r="D6" s="634"/>
      <c r="E6" s="634"/>
      <c r="F6" s="634"/>
      <c r="G6" s="634"/>
      <c r="H6" s="634"/>
      <c r="I6" s="634"/>
      <c r="J6" s="634"/>
      <c r="K6" s="634"/>
      <c r="T6" s="1480"/>
      <c r="AJ6" s="1501"/>
      <c r="AK6" s="1502"/>
      <c r="AL6" s="1501"/>
      <c r="AM6" s="1501"/>
      <c r="AN6" s="1501"/>
      <c r="AO6" s="1501"/>
      <c r="AP6" s="1501"/>
      <c r="AQ6" s="1501"/>
      <c r="AR6" s="1501"/>
      <c r="AS6" s="1501"/>
      <c r="AT6" s="1501"/>
      <c r="AU6" s="1501"/>
      <c r="AV6" s="1501"/>
      <c r="AW6" s="1501"/>
      <c r="AX6" s="1501"/>
      <c r="AY6" s="1501"/>
      <c r="AZ6" s="1501"/>
      <c r="BA6" s="1501"/>
      <c r="BB6" s="1501"/>
      <c r="BC6" s="1501"/>
      <c r="BD6" s="1501"/>
      <c r="BE6" s="1501"/>
      <c r="BF6" s="1501"/>
      <c r="BG6" s="1501"/>
      <c r="BH6" s="1501"/>
      <c r="BI6" s="1501"/>
      <c r="BJ6" s="1501"/>
      <c r="BK6" s="1501"/>
      <c r="BL6" s="1501"/>
      <c r="BM6" s="442">
        <v>14</v>
      </c>
    </row>
    <row r="7" spans="1:65" s="1241" customFormat="1" ht="1.1499999999999999" customHeight="1">
      <c r="AJ7" s="357"/>
      <c r="AK7" s="357"/>
      <c r="AL7" s="357"/>
      <c r="AM7" s="357"/>
      <c r="AN7" s="357"/>
      <c r="AO7" s="357"/>
      <c r="AP7" s="357"/>
      <c r="AQ7" s="357"/>
      <c r="AR7" s="357"/>
      <c r="AS7" s="357"/>
      <c r="AT7" s="357"/>
      <c r="AU7" s="357"/>
      <c r="AV7" s="357"/>
      <c r="AW7" s="357"/>
      <c r="AX7" s="357"/>
      <c r="AY7" s="357"/>
      <c r="AZ7" s="357"/>
      <c r="BA7" s="357"/>
      <c r="BB7" s="357"/>
      <c r="BC7" s="357"/>
      <c r="BD7" s="357"/>
      <c r="BE7" s="357"/>
      <c r="BF7" s="357"/>
      <c r="BG7" s="357"/>
      <c r="BH7" s="357"/>
      <c r="BI7" s="357"/>
      <c r="BJ7" s="357"/>
      <c r="BK7" s="357"/>
      <c r="BL7" s="357"/>
      <c r="BM7" s="354">
        <v>1</v>
      </c>
    </row>
    <row r="8" spans="1:65" ht="33.75" customHeight="1">
      <c r="D8" s="2066" t="s">
        <v>88</v>
      </c>
      <c r="E8" s="2066" t="s">
        <v>105</v>
      </c>
      <c r="F8" s="2131" t="s">
        <v>123</v>
      </c>
      <c r="G8" s="2132"/>
      <c r="H8" s="2131" t="s">
        <v>88</v>
      </c>
      <c r="I8" s="2132"/>
      <c r="J8" s="2066" t="s">
        <v>124</v>
      </c>
      <c r="K8" s="1481"/>
      <c r="L8" s="2114" t="s">
        <v>282</v>
      </c>
      <c r="M8" s="2114"/>
      <c r="N8" s="2114"/>
      <c r="O8" s="2114"/>
      <c r="P8" s="2114"/>
      <c r="Q8" s="1482"/>
      <c r="R8" s="2038" t="s">
        <v>283</v>
      </c>
      <c r="S8" s="2043"/>
      <c r="T8" s="2043"/>
      <c r="U8" s="2043"/>
      <c r="V8" s="2043"/>
      <c r="W8" s="1482"/>
      <c r="X8" s="2066" t="s">
        <v>284</v>
      </c>
      <c r="Y8" s="2066"/>
      <c r="Z8" s="2066"/>
      <c r="AA8" s="2066"/>
      <c r="AB8" s="2066"/>
      <c r="AC8" s="1483"/>
      <c r="AD8" s="2066" t="s">
        <v>285</v>
      </c>
      <c r="AE8" s="2066"/>
      <c r="AF8" s="2066"/>
      <c r="AG8" s="2066"/>
      <c r="AH8" s="2038"/>
      <c r="AI8" s="2066" t="s">
        <v>286</v>
      </c>
      <c r="AJ8" s="1499"/>
      <c r="BM8" s="229">
        <v>32</v>
      </c>
    </row>
    <row r="9" spans="1:65" ht="23.25" customHeight="1">
      <c r="D9" s="2066"/>
      <c r="E9" s="2066"/>
      <c r="F9" s="2114" t="s">
        <v>89</v>
      </c>
      <c r="G9" s="2114" t="s">
        <v>129</v>
      </c>
      <c r="H9" s="2133"/>
      <c r="I9" s="2134"/>
      <c r="J9" s="2038"/>
      <c r="K9" s="1484"/>
      <c r="L9" s="2066" t="s">
        <v>287</v>
      </c>
      <c r="M9" s="2038"/>
      <c r="N9" s="2131" t="s">
        <v>88</v>
      </c>
      <c r="O9" s="2132"/>
      <c r="P9" s="2066" t="s">
        <v>130</v>
      </c>
      <c r="Q9" s="1481"/>
      <c r="R9" s="2066" t="s">
        <v>287</v>
      </c>
      <c r="S9" s="2038"/>
      <c r="T9" s="2131" t="s">
        <v>88</v>
      </c>
      <c r="U9" s="2132"/>
      <c r="V9" s="2066" t="s">
        <v>130</v>
      </c>
      <c r="W9" s="1481"/>
      <c r="X9" s="2066" t="s">
        <v>287</v>
      </c>
      <c r="Y9" s="2038"/>
      <c r="Z9" s="2131" t="s">
        <v>88</v>
      </c>
      <c r="AA9" s="2132"/>
      <c r="AB9" s="2066" t="s">
        <v>288</v>
      </c>
      <c r="AC9" s="1481"/>
      <c r="AD9" s="2066" t="s">
        <v>287</v>
      </c>
      <c r="AE9" s="2038"/>
      <c r="AF9" s="2131" t="s">
        <v>88</v>
      </c>
      <c r="AG9" s="2132"/>
      <c r="AH9" s="2038" t="s">
        <v>288</v>
      </c>
      <c r="AI9" s="2066"/>
      <c r="AJ9" s="1499"/>
      <c r="BM9" s="229">
        <v>22</v>
      </c>
    </row>
    <row r="10" spans="1:65" ht="24" customHeight="1">
      <c r="D10" s="2114"/>
      <c r="E10" s="2114"/>
      <c r="F10" s="2135"/>
      <c r="G10" s="2135"/>
      <c r="H10" s="2136"/>
      <c r="I10" s="2137"/>
      <c r="J10" s="2131"/>
      <c r="K10" s="1484"/>
      <c r="L10" s="1503" t="s">
        <v>289</v>
      </c>
      <c r="M10" s="1498" t="s">
        <v>290</v>
      </c>
      <c r="N10" s="2133"/>
      <c r="O10" s="2134"/>
      <c r="P10" s="2114"/>
      <c r="Q10" s="1481"/>
      <c r="R10" s="1503" t="s">
        <v>289</v>
      </c>
      <c r="S10" s="1498" t="s">
        <v>290</v>
      </c>
      <c r="T10" s="2133"/>
      <c r="U10" s="2134"/>
      <c r="V10" s="2114"/>
      <c r="W10" s="1481"/>
      <c r="X10" s="1503" t="s">
        <v>289</v>
      </c>
      <c r="Y10" s="1498" t="s">
        <v>290</v>
      </c>
      <c r="Z10" s="2133"/>
      <c r="AA10" s="2134"/>
      <c r="AB10" s="2114"/>
      <c r="AC10" s="1481"/>
      <c r="AD10" s="1503" t="s">
        <v>289</v>
      </c>
      <c r="AE10" s="1498" t="s">
        <v>290</v>
      </c>
      <c r="AF10" s="2133"/>
      <c r="AG10" s="2134"/>
      <c r="AH10" s="2131"/>
      <c r="AI10" s="2114"/>
      <c r="AJ10" s="1499"/>
      <c r="AK10" s="190" t="s">
        <v>291</v>
      </c>
      <c r="AL10" s="190" t="s">
        <v>131</v>
      </c>
      <c r="BM10" s="229">
        <v>23</v>
      </c>
    </row>
    <row r="11" spans="1:65" ht="15" customHeight="1">
      <c r="D11" s="2122" t="s">
        <v>109</v>
      </c>
      <c r="E11" s="2118" t="s">
        <v>292</v>
      </c>
      <c r="F11" s="2118" t="s">
        <v>293</v>
      </c>
      <c r="G11" s="2124" t="s">
        <v>19</v>
      </c>
      <c r="H11" s="1524"/>
      <c r="I11" s="2120"/>
      <c r="J11" s="2091"/>
      <c r="K11" s="1439"/>
      <c r="L11" s="2076"/>
      <c r="M11" s="2076"/>
      <c r="N11" s="1509"/>
      <c r="O11" s="2076"/>
      <c r="P11" s="2091"/>
      <c r="Q11" s="1510"/>
      <c r="R11" s="2076"/>
      <c r="S11" s="2076"/>
      <c r="T11" s="1511"/>
      <c r="U11" s="2076"/>
      <c r="V11" s="2091"/>
      <c r="W11" s="1512"/>
      <c r="X11" s="2076"/>
      <c r="Y11" s="2076"/>
      <c r="Z11" s="1509"/>
      <c r="AA11" s="2076"/>
      <c r="AB11" s="2091"/>
      <c r="AC11" s="1513"/>
      <c r="AD11" s="2076"/>
      <c r="AE11" s="2076"/>
      <c r="AF11" s="1438"/>
      <c r="AG11" s="1438"/>
      <c r="AH11" s="1514"/>
      <c r="AI11" s="1221"/>
      <c r="AJ11" s="1499"/>
      <c r="BM11" s="229">
        <v>14</v>
      </c>
    </row>
    <row r="12" spans="1:65" ht="14.65" customHeight="1">
      <c r="D12" s="2122"/>
      <c r="E12" s="2118"/>
      <c r="F12" s="2118"/>
      <c r="G12" s="2125"/>
      <c r="H12" s="1525"/>
      <c r="I12" s="2121"/>
      <c r="J12" s="2092"/>
      <c r="K12" s="1535"/>
      <c r="L12" s="2077"/>
      <c r="M12" s="2077"/>
      <c r="N12" s="1515"/>
      <c r="O12" s="2077"/>
      <c r="P12" s="2092"/>
      <c r="Q12" s="1516"/>
      <c r="R12" s="2077"/>
      <c r="S12" s="2077"/>
      <c r="T12" s="1517"/>
      <c r="U12" s="2077"/>
      <c r="V12" s="2092"/>
      <c r="W12" s="1518"/>
      <c r="X12" s="2077"/>
      <c r="Y12" s="2077"/>
      <c r="Z12" s="1515"/>
      <c r="AA12" s="2077"/>
      <c r="AB12" s="2092"/>
      <c r="AC12" s="1519"/>
      <c r="AD12" s="2077"/>
      <c r="AE12" s="2077"/>
      <c r="AF12" s="1520"/>
      <c r="AG12" s="1520"/>
      <c r="AH12" s="2116"/>
      <c r="AI12" s="2117"/>
      <c r="AJ12" s="1499"/>
      <c r="BM12" s="229">
        <v>14</v>
      </c>
    </row>
    <row r="13" spans="1:65" ht="14.65" customHeight="1">
      <c r="D13" s="2122"/>
      <c r="E13" s="2118"/>
      <c r="F13" s="2118"/>
      <c r="G13" s="2125"/>
      <c r="H13" s="1525"/>
      <c r="I13" s="2121"/>
      <c r="J13" s="2092"/>
      <c r="K13" s="1535"/>
      <c r="L13" s="2077"/>
      <c r="M13" s="2077"/>
      <c r="N13" s="1515"/>
      <c r="O13" s="2077"/>
      <c r="P13" s="2092"/>
      <c r="Q13" s="1516"/>
      <c r="R13" s="2077"/>
      <c r="S13" s="2077"/>
      <c r="T13" s="1517"/>
      <c r="U13" s="2077"/>
      <c r="V13" s="2092"/>
      <c r="W13" s="1518"/>
      <c r="X13" s="2077"/>
      <c r="Y13" s="2077"/>
      <c r="Z13" s="1437"/>
      <c r="AA13" s="1520"/>
      <c r="AB13" s="2116"/>
      <c r="AC13" s="2116"/>
      <c r="AD13" s="2116"/>
      <c r="AE13" s="2116"/>
      <c r="AF13" s="2116"/>
      <c r="AG13" s="2116"/>
      <c r="AH13" s="2116"/>
      <c r="AI13" s="2117"/>
      <c r="AJ13" s="1499"/>
      <c r="BM13" s="229">
        <v>14</v>
      </c>
    </row>
    <row r="14" spans="1:65" ht="14.65" customHeight="1">
      <c r="D14" s="2122"/>
      <c r="E14" s="2118"/>
      <c r="F14" s="2118"/>
      <c r="G14" s="2125"/>
      <c r="H14" s="1525"/>
      <c r="I14" s="2121"/>
      <c r="J14" s="2092"/>
      <c r="K14" s="1535"/>
      <c r="L14" s="2077"/>
      <c r="M14" s="2077"/>
      <c r="N14" s="1515"/>
      <c r="O14" s="2077"/>
      <c r="P14" s="2092"/>
      <c r="Q14" s="1516"/>
      <c r="R14" s="2077"/>
      <c r="S14" s="2077"/>
      <c r="T14" s="1521"/>
      <c r="U14" s="1522"/>
      <c r="V14" s="2116"/>
      <c r="W14" s="2116"/>
      <c r="X14" s="2116"/>
      <c r="Y14" s="2116"/>
      <c r="Z14" s="2116"/>
      <c r="AA14" s="2116"/>
      <c r="AB14" s="2116"/>
      <c r="AC14" s="2116"/>
      <c r="AD14" s="2116"/>
      <c r="AE14" s="2116"/>
      <c r="AF14" s="2116"/>
      <c r="AG14" s="2116"/>
      <c r="AH14" s="2116"/>
      <c r="AI14" s="2117"/>
      <c r="AJ14" s="1499"/>
      <c r="BM14" s="229">
        <v>14</v>
      </c>
    </row>
    <row r="15" spans="1:65" ht="11.45" customHeight="1">
      <c r="D15" s="2122"/>
      <c r="E15" s="2118"/>
      <c r="F15" s="2118"/>
      <c r="G15" s="2125"/>
      <c r="H15" s="1526"/>
      <c r="I15" s="2121"/>
      <c r="J15" s="2092"/>
      <c r="K15" s="1535"/>
      <c r="L15" s="2077"/>
      <c r="M15" s="2077"/>
      <c r="N15" s="1520"/>
      <c r="O15" s="1520"/>
      <c r="P15" s="2116"/>
      <c r="Q15" s="2116"/>
      <c r="R15" s="2116"/>
      <c r="S15" s="2116"/>
      <c r="T15" s="2116"/>
      <c r="U15" s="2116"/>
      <c r="V15" s="2116"/>
      <c r="W15" s="2116"/>
      <c r="X15" s="2116"/>
      <c r="Y15" s="2116"/>
      <c r="Z15" s="2116"/>
      <c r="AA15" s="2116"/>
      <c r="AB15" s="2116"/>
      <c r="AC15" s="2116"/>
      <c r="AD15" s="2116"/>
      <c r="AE15" s="2116"/>
      <c r="AF15" s="2116"/>
      <c r="AG15" s="2116"/>
      <c r="AH15" s="2116"/>
      <c r="AI15" s="2117"/>
      <c r="AJ15" s="1499"/>
      <c r="BM15" s="229">
        <v>11</v>
      </c>
    </row>
    <row r="16" spans="1:65" s="1479" customFormat="1" ht="11.45" customHeight="1">
      <c r="D16" s="2128"/>
      <c r="E16" s="2129"/>
      <c r="F16" s="2119"/>
      <c r="G16" s="2052"/>
      <c r="H16" s="1523"/>
      <c r="I16" s="1527"/>
      <c r="J16" s="2126"/>
      <c r="K16" s="2126"/>
      <c r="L16" s="2126"/>
      <c r="M16" s="2126"/>
      <c r="N16" s="2126"/>
      <c r="O16" s="2126"/>
      <c r="P16" s="2126"/>
      <c r="Q16" s="2126"/>
      <c r="R16" s="2126"/>
      <c r="S16" s="2126"/>
      <c r="T16" s="2126"/>
      <c r="U16" s="2126"/>
      <c r="V16" s="2126"/>
      <c r="W16" s="2126"/>
      <c r="X16" s="2126"/>
      <c r="Y16" s="2126"/>
      <c r="Z16" s="2126"/>
      <c r="AA16" s="2126"/>
      <c r="AB16" s="2126"/>
      <c r="AC16" s="2126"/>
      <c r="AD16" s="2126"/>
      <c r="AE16" s="2126"/>
      <c r="AF16" s="2126"/>
      <c r="AG16" s="2126"/>
      <c r="AH16" s="2126"/>
      <c r="AI16" s="2127"/>
      <c r="AJ16" s="1499"/>
      <c r="AK16" s="242"/>
      <c r="AL16" s="1499"/>
      <c r="AM16" s="1499"/>
      <c r="AN16" s="1499"/>
      <c r="AO16" s="1499"/>
      <c r="AP16" s="1499"/>
      <c r="AQ16" s="1499"/>
      <c r="AR16" s="1499"/>
      <c r="AS16" s="1499"/>
      <c r="AT16" s="1499"/>
      <c r="AU16" s="1499"/>
      <c r="AV16" s="1499"/>
      <c r="AW16" s="1499"/>
      <c r="AX16" s="1499"/>
      <c r="AY16" s="1499"/>
      <c r="AZ16" s="1499"/>
      <c r="BA16" s="1499"/>
      <c r="BB16" s="1499"/>
      <c r="BC16" s="1499"/>
      <c r="BD16" s="1499"/>
      <c r="BE16" s="1499"/>
      <c r="BF16" s="1499"/>
      <c r="BG16" s="1499"/>
      <c r="BH16" s="1499"/>
      <c r="BI16" s="1499"/>
      <c r="BJ16" s="1499"/>
      <c r="BK16" s="1499"/>
      <c r="BL16" s="1499"/>
      <c r="BM16" s="1479">
        <v>11</v>
      </c>
    </row>
    <row r="17" spans="4:65" ht="15" customHeight="1">
      <c r="D17" s="2122" t="s">
        <v>110</v>
      </c>
      <c r="E17" s="2118" t="s">
        <v>292</v>
      </c>
      <c r="F17" s="2118" t="s">
        <v>294</v>
      </c>
      <c r="G17" s="2124" t="s">
        <v>19</v>
      </c>
      <c r="H17" s="1524"/>
      <c r="I17" s="2120"/>
      <c r="J17" s="2091"/>
      <c r="K17" s="1439"/>
      <c r="L17" s="2076"/>
      <c r="M17" s="2076"/>
      <c r="N17" s="1509"/>
      <c r="O17" s="2076"/>
      <c r="P17" s="2091"/>
      <c r="Q17" s="1510"/>
      <c r="R17" s="2076"/>
      <c r="S17" s="2076"/>
      <c r="T17" s="1511"/>
      <c r="U17" s="2076"/>
      <c r="V17" s="2091"/>
      <c r="W17" s="1512"/>
      <c r="X17" s="2076"/>
      <c r="Y17" s="2076"/>
      <c r="Z17" s="1509"/>
      <c r="AA17" s="2076"/>
      <c r="AB17" s="2091"/>
      <c r="AC17" s="1513"/>
      <c r="AD17" s="2076"/>
      <c r="AE17" s="2076"/>
      <c r="AF17" s="1438"/>
      <c r="AG17" s="1438"/>
      <c r="AH17" s="1514"/>
      <c r="AI17" s="1221"/>
      <c r="AJ17" s="1499"/>
      <c r="BM17" s="229">
        <v>14</v>
      </c>
    </row>
    <row r="18" spans="4:65" ht="14.65" customHeight="1">
      <c r="D18" s="2122"/>
      <c r="E18" s="2118"/>
      <c r="F18" s="2118"/>
      <c r="G18" s="2125"/>
      <c r="H18" s="1525"/>
      <c r="I18" s="2121"/>
      <c r="J18" s="2092"/>
      <c r="K18" s="1508"/>
      <c r="L18" s="2077"/>
      <c r="M18" s="2077"/>
      <c r="N18" s="1515"/>
      <c r="O18" s="2077"/>
      <c r="P18" s="2092"/>
      <c r="Q18" s="1516"/>
      <c r="R18" s="2077"/>
      <c r="S18" s="2077"/>
      <c r="T18" s="1517"/>
      <c r="U18" s="2077"/>
      <c r="V18" s="2092"/>
      <c r="W18" s="1518"/>
      <c r="X18" s="2077"/>
      <c r="Y18" s="2077"/>
      <c r="Z18" s="1515"/>
      <c r="AA18" s="2077"/>
      <c r="AB18" s="2092"/>
      <c r="AC18" s="1519"/>
      <c r="AD18" s="2077"/>
      <c r="AE18" s="2077"/>
      <c r="AF18" s="1520"/>
      <c r="AG18" s="1520"/>
      <c r="AH18" s="2116"/>
      <c r="AI18" s="2117"/>
      <c r="AJ18" s="1499"/>
      <c r="BM18" s="229">
        <v>14</v>
      </c>
    </row>
    <row r="19" spans="4:65" ht="14.65" customHeight="1">
      <c r="D19" s="2122"/>
      <c r="E19" s="2118"/>
      <c r="F19" s="2118"/>
      <c r="G19" s="2125"/>
      <c r="H19" s="1525"/>
      <c r="I19" s="2121"/>
      <c r="J19" s="2092"/>
      <c r="K19" s="1508"/>
      <c r="L19" s="2077"/>
      <c r="M19" s="2077"/>
      <c r="N19" s="1515"/>
      <c r="O19" s="2077"/>
      <c r="P19" s="2092"/>
      <c r="Q19" s="1516"/>
      <c r="R19" s="2077"/>
      <c r="S19" s="2077"/>
      <c r="T19" s="1517"/>
      <c r="U19" s="2077"/>
      <c r="V19" s="2092"/>
      <c r="W19" s="1518"/>
      <c r="X19" s="2077"/>
      <c r="Y19" s="2077"/>
      <c r="Z19" s="1437"/>
      <c r="AA19" s="1520"/>
      <c r="AB19" s="2116"/>
      <c r="AC19" s="2116"/>
      <c r="AD19" s="2116"/>
      <c r="AE19" s="2116"/>
      <c r="AF19" s="2116"/>
      <c r="AG19" s="2116"/>
      <c r="AH19" s="2116"/>
      <c r="AI19" s="2117"/>
      <c r="AJ19" s="1499"/>
      <c r="BM19" s="229">
        <v>14</v>
      </c>
    </row>
    <row r="20" spans="4:65" ht="14.65" customHeight="1">
      <c r="D20" s="2122"/>
      <c r="E20" s="2118"/>
      <c r="F20" s="2118"/>
      <c r="G20" s="2125"/>
      <c r="H20" s="1525"/>
      <c r="I20" s="2121"/>
      <c r="J20" s="2092"/>
      <c r="K20" s="1508"/>
      <c r="L20" s="2077"/>
      <c r="M20" s="2077"/>
      <c r="N20" s="1515"/>
      <c r="O20" s="2077"/>
      <c r="P20" s="2092"/>
      <c r="Q20" s="1516"/>
      <c r="R20" s="2077"/>
      <c r="S20" s="2077"/>
      <c r="T20" s="1521"/>
      <c r="U20" s="1522"/>
      <c r="V20" s="2116"/>
      <c r="W20" s="2116"/>
      <c r="X20" s="2116"/>
      <c r="Y20" s="2116"/>
      <c r="Z20" s="2116"/>
      <c r="AA20" s="2116"/>
      <c r="AB20" s="2116"/>
      <c r="AC20" s="2116"/>
      <c r="AD20" s="2116"/>
      <c r="AE20" s="2116"/>
      <c r="AF20" s="2116"/>
      <c r="AG20" s="2116"/>
      <c r="AH20" s="2116"/>
      <c r="AI20" s="2117"/>
      <c r="AJ20" s="1499"/>
      <c r="BM20" s="229">
        <v>14</v>
      </c>
    </row>
    <row r="21" spans="4:65" ht="11.45" customHeight="1">
      <c r="D21" s="2122"/>
      <c r="E21" s="2118"/>
      <c r="F21" s="2118"/>
      <c r="G21" s="2125"/>
      <c r="H21" s="1526"/>
      <c r="I21" s="2121"/>
      <c r="J21" s="2092"/>
      <c r="K21" s="1508"/>
      <c r="L21" s="2077"/>
      <c r="M21" s="2077"/>
      <c r="N21" s="1520"/>
      <c r="O21" s="1520"/>
      <c r="P21" s="2116"/>
      <c r="Q21" s="2116"/>
      <c r="R21" s="2116"/>
      <c r="S21" s="2116"/>
      <c r="T21" s="2116"/>
      <c r="U21" s="2116"/>
      <c r="V21" s="2116"/>
      <c r="W21" s="2116"/>
      <c r="X21" s="2116"/>
      <c r="Y21" s="2116"/>
      <c r="Z21" s="2116"/>
      <c r="AA21" s="2116"/>
      <c r="AB21" s="2116"/>
      <c r="AC21" s="2116"/>
      <c r="AD21" s="2116"/>
      <c r="AE21" s="2116"/>
      <c r="AF21" s="2116"/>
      <c r="AG21" s="2116"/>
      <c r="AH21" s="2116"/>
      <c r="AI21" s="2117"/>
      <c r="AJ21" s="1499"/>
      <c r="BM21" s="229">
        <v>11</v>
      </c>
    </row>
    <row r="22" spans="4:65" s="1479" customFormat="1" ht="11.45" customHeight="1">
      <c r="D22" s="2128"/>
      <c r="E22" s="2129"/>
      <c r="F22" s="2119"/>
      <c r="G22" s="2052"/>
      <c r="H22" s="1523"/>
      <c r="I22" s="1527"/>
      <c r="J22" s="2126"/>
      <c r="K22" s="2126"/>
      <c r="L22" s="2126"/>
      <c r="M22" s="2126"/>
      <c r="N22" s="2126"/>
      <c r="O22" s="2126"/>
      <c r="P22" s="2126"/>
      <c r="Q22" s="2126"/>
      <c r="R22" s="2126"/>
      <c r="S22" s="2126"/>
      <c r="T22" s="2126"/>
      <c r="U22" s="2126"/>
      <c r="V22" s="2126"/>
      <c r="W22" s="2126"/>
      <c r="X22" s="2126"/>
      <c r="Y22" s="2126"/>
      <c r="Z22" s="2126"/>
      <c r="AA22" s="2126"/>
      <c r="AB22" s="2126"/>
      <c r="AC22" s="2126"/>
      <c r="AD22" s="2126"/>
      <c r="AE22" s="2126"/>
      <c r="AF22" s="2126"/>
      <c r="AG22" s="2126"/>
      <c r="AH22" s="2126"/>
      <c r="AI22" s="2127"/>
      <c r="AJ22" s="1499"/>
      <c r="AK22" s="242"/>
      <c r="AL22" s="1499"/>
      <c r="AM22" s="1499"/>
      <c r="AN22" s="1499"/>
      <c r="AO22" s="1499"/>
      <c r="AP22" s="1499"/>
      <c r="AQ22" s="1499"/>
      <c r="AR22" s="1499"/>
      <c r="AS22" s="1499"/>
      <c r="AT22" s="1499"/>
      <c r="AU22" s="1499"/>
      <c r="AV22" s="1499"/>
      <c r="AW22" s="1499"/>
      <c r="AX22" s="1499"/>
      <c r="AY22" s="1499"/>
      <c r="AZ22" s="1499"/>
      <c r="BA22" s="1499"/>
      <c r="BB22" s="1499"/>
      <c r="BC22" s="1499"/>
      <c r="BD22" s="1499"/>
      <c r="BE22" s="1499"/>
      <c r="BF22" s="1499"/>
      <c r="BG22" s="1499"/>
      <c r="BH22" s="1499"/>
      <c r="BI22" s="1499"/>
      <c r="BJ22" s="1499"/>
      <c r="BK22" s="1499"/>
      <c r="BL22" s="1499"/>
      <c r="BM22" s="1479">
        <v>11</v>
      </c>
    </row>
    <row r="23" spans="4:65" ht="15" customHeight="1">
      <c r="D23" s="2122" t="s">
        <v>90</v>
      </c>
      <c r="E23" s="2118" t="s">
        <v>292</v>
      </c>
      <c r="F23" s="2118" t="s">
        <v>295</v>
      </c>
      <c r="G23" s="2124" t="s">
        <v>19</v>
      </c>
      <c r="H23" s="1524"/>
      <c r="I23" s="2120"/>
      <c r="J23" s="2091"/>
      <c r="K23" s="1439"/>
      <c r="L23" s="2076"/>
      <c r="M23" s="2076"/>
      <c r="N23" s="1509"/>
      <c r="O23" s="2076"/>
      <c r="P23" s="2091"/>
      <c r="Q23" s="1510"/>
      <c r="R23" s="2076"/>
      <c r="S23" s="2076"/>
      <c r="T23" s="1511"/>
      <c r="U23" s="2076"/>
      <c r="V23" s="2091"/>
      <c r="W23" s="1512"/>
      <c r="X23" s="2076"/>
      <c r="Y23" s="2076"/>
      <c r="Z23" s="1509"/>
      <c r="AA23" s="2076"/>
      <c r="AB23" s="2091"/>
      <c r="AC23" s="1513"/>
      <c r="AD23" s="2076"/>
      <c r="AE23" s="2076"/>
      <c r="AF23" s="1438"/>
      <c r="AG23" s="1438"/>
      <c r="AH23" s="1514"/>
      <c r="AI23" s="1221"/>
      <c r="AJ23" s="1499"/>
      <c r="AK23" s="242" t="s">
        <v>98</v>
      </c>
      <c r="BM23" s="229">
        <v>14</v>
      </c>
    </row>
    <row r="24" spans="4:65" ht="14.65" customHeight="1">
      <c r="D24" s="2122"/>
      <c r="E24" s="2118"/>
      <c r="F24" s="2118"/>
      <c r="G24" s="2125"/>
      <c r="H24" s="1525"/>
      <c r="I24" s="2121"/>
      <c r="J24" s="2092"/>
      <c r="K24" s="1535"/>
      <c r="L24" s="2077"/>
      <c r="M24" s="2077"/>
      <c r="N24" s="1515"/>
      <c r="O24" s="2077"/>
      <c r="P24" s="2092"/>
      <c r="Q24" s="1516"/>
      <c r="R24" s="2077"/>
      <c r="S24" s="2077"/>
      <c r="T24" s="1517"/>
      <c r="U24" s="2077"/>
      <c r="V24" s="2092"/>
      <c r="W24" s="1518"/>
      <c r="X24" s="2077"/>
      <c r="Y24" s="2077"/>
      <c r="Z24" s="1515"/>
      <c r="AA24" s="2077"/>
      <c r="AB24" s="2092"/>
      <c r="AC24" s="1519"/>
      <c r="AD24" s="2077"/>
      <c r="AE24" s="2077"/>
      <c r="AF24" s="1520"/>
      <c r="AG24" s="1520"/>
      <c r="AH24" s="2116"/>
      <c r="AI24" s="2117"/>
      <c r="AJ24" s="1499"/>
      <c r="BM24" s="229">
        <v>14</v>
      </c>
    </row>
    <row r="25" spans="4:65" ht="14.65" customHeight="1">
      <c r="D25" s="2122"/>
      <c r="E25" s="2118"/>
      <c r="F25" s="2118"/>
      <c r="G25" s="2125"/>
      <c r="H25" s="1525"/>
      <c r="I25" s="2121"/>
      <c r="J25" s="2092"/>
      <c r="K25" s="1535"/>
      <c r="L25" s="2077"/>
      <c r="M25" s="2077"/>
      <c r="N25" s="1515"/>
      <c r="O25" s="2077"/>
      <c r="P25" s="2092"/>
      <c r="Q25" s="1516"/>
      <c r="R25" s="2077"/>
      <c r="S25" s="2077"/>
      <c r="T25" s="1517"/>
      <c r="U25" s="2077"/>
      <c r="V25" s="2092"/>
      <c r="W25" s="1518"/>
      <c r="X25" s="2077"/>
      <c r="Y25" s="2077"/>
      <c r="Z25" s="1437"/>
      <c r="AA25" s="1520"/>
      <c r="AB25" s="2116"/>
      <c r="AC25" s="2116"/>
      <c r="AD25" s="2116"/>
      <c r="AE25" s="2116"/>
      <c r="AF25" s="2116"/>
      <c r="AG25" s="2116"/>
      <c r="AH25" s="2116"/>
      <c r="AI25" s="2117"/>
      <c r="AJ25" s="1499"/>
      <c r="BM25" s="229">
        <v>14</v>
      </c>
    </row>
    <row r="26" spans="4:65" ht="14.65" customHeight="1">
      <c r="D26" s="2122"/>
      <c r="E26" s="2118"/>
      <c r="F26" s="2118"/>
      <c r="G26" s="2125"/>
      <c r="H26" s="1525"/>
      <c r="I26" s="2121"/>
      <c r="J26" s="2092"/>
      <c r="K26" s="1535"/>
      <c r="L26" s="2077"/>
      <c r="M26" s="2077"/>
      <c r="N26" s="1515"/>
      <c r="O26" s="2077"/>
      <c r="P26" s="2092"/>
      <c r="Q26" s="1516"/>
      <c r="R26" s="2077"/>
      <c r="S26" s="2077"/>
      <c r="T26" s="1521"/>
      <c r="U26" s="1522"/>
      <c r="V26" s="2116"/>
      <c r="W26" s="2116"/>
      <c r="X26" s="2116"/>
      <c r="Y26" s="2116"/>
      <c r="Z26" s="2116"/>
      <c r="AA26" s="2116"/>
      <c r="AB26" s="2116"/>
      <c r="AC26" s="2116"/>
      <c r="AD26" s="2116"/>
      <c r="AE26" s="2116"/>
      <c r="AF26" s="2116"/>
      <c r="AG26" s="2116"/>
      <c r="AH26" s="2116"/>
      <c r="AI26" s="2117"/>
      <c r="AJ26" s="1499"/>
      <c r="BM26" s="229">
        <v>14</v>
      </c>
    </row>
    <row r="27" spans="4:65" ht="11.45" customHeight="1">
      <c r="D27" s="2122"/>
      <c r="E27" s="2118"/>
      <c r="F27" s="2118"/>
      <c r="G27" s="2125"/>
      <c r="H27" s="1526"/>
      <c r="I27" s="2121"/>
      <c r="J27" s="2092"/>
      <c r="K27" s="1535"/>
      <c r="L27" s="2077"/>
      <c r="M27" s="2077"/>
      <c r="N27" s="1520"/>
      <c r="O27" s="1520"/>
      <c r="P27" s="2116"/>
      <c r="Q27" s="2116"/>
      <c r="R27" s="2116"/>
      <c r="S27" s="2116"/>
      <c r="T27" s="2116"/>
      <c r="U27" s="2116"/>
      <c r="V27" s="2116"/>
      <c r="W27" s="2116"/>
      <c r="X27" s="2116"/>
      <c r="Y27" s="2116"/>
      <c r="Z27" s="2116"/>
      <c r="AA27" s="2116"/>
      <c r="AB27" s="2116"/>
      <c r="AC27" s="2116"/>
      <c r="AD27" s="2116"/>
      <c r="AE27" s="2116"/>
      <c r="AF27" s="2116"/>
      <c r="AG27" s="2116"/>
      <c r="AH27" s="2116"/>
      <c r="AI27" s="2117"/>
      <c r="AJ27" s="1499"/>
      <c r="BM27" s="229">
        <v>11</v>
      </c>
    </row>
    <row r="28" spans="4:65" s="1479" customFormat="1" ht="11.45" customHeight="1">
      <c r="D28" s="2128"/>
      <c r="E28" s="2129"/>
      <c r="F28" s="2119"/>
      <c r="G28" s="2052"/>
      <c r="H28" s="1523"/>
      <c r="I28" s="1527"/>
      <c r="J28" s="2126"/>
      <c r="K28" s="2126"/>
      <c r="L28" s="2126"/>
      <c r="M28" s="2126"/>
      <c r="N28" s="2126"/>
      <c r="O28" s="2126"/>
      <c r="P28" s="2126"/>
      <c r="Q28" s="2126"/>
      <c r="R28" s="2126"/>
      <c r="S28" s="2126"/>
      <c r="T28" s="2126"/>
      <c r="U28" s="2126"/>
      <c r="V28" s="2126"/>
      <c r="W28" s="2126"/>
      <c r="X28" s="2126"/>
      <c r="Y28" s="2126"/>
      <c r="Z28" s="2126"/>
      <c r="AA28" s="2126"/>
      <c r="AB28" s="2126"/>
      <c r="AC28" s="2126"/>
      <c r="AD28" s="2126"/>
      <c r="AE28" s="2126"/>
      <c r="AF28" s="2126"/>
      <c r="AG28" s="2126"/>
      <c r="AH28" s="2126"/>
      <c r="AI28" s="2127"/>
      <c r="AJ28" s="1499"/>
      <c r="AK28" s="242"/>
      <c r="AL28" s="1499"/>
      <c r="AM28" s="1499"/>
      <c r="AN28" s="1499"/>
      <c r="AO28" s="1499"/>
      <c r="AP28" s="1499"/>
      <c r="AQ28" s="1499"/>
      <c r="AR28" s="1499"/>
      <c r="AS28" s="1499"/>
      <c r="AT28" s="1499"/>
      <c r="AU28" s="1499"/>
      <c r="AV28" s="1499"/>
      <c r="AW28" s="1499"/>
      <c r="AX28" s="1499"/>
      <c r="AY28" s="1499"/>
      <c r="AZ28" s="1499"/>
      <c r="BA28" s="1499"/>
      <c r="BB28" s="1499"/>
      <c r="BC28" s="1499"/>
      <c r="BD28" s="1499"/>
      <c r="BE28" s="1499"/>
      <c r="BF28" s="1499"/>
      <c r="BG28" s="1499"/>
      <c r="BH28" s="1499"/>
      <c r="BI28" s="1499"/>
      <c r="BJ28" s="1499"/>
      <c r="BK28" s="1499"/>
      <c r="BL28" s="1499"/>
      <c r="BM28" s="1479">
        <v>11</v>
      </c>
    </row>
    <row r="29" spans="4:65" ht="15" customHeight="1">
      <c r="D29" s="2122" t="s">
        <v>91</v>
      </c>
      <c r="E29" s="2118" t="s">
        <v>292</v>
      </c>
      <c r="F29" s="2118" t="s">
        <v>296</v>
      </c>
      <c r="G29" s="2124" t="s">
        <v>19</v>
      </c>
      <c r="H29" s="1524"/>
      <c r="I29" s="2120"/>
      <c r="J29" s="2091"/>
      <c r="K29" s="1439"/>
      <c r="L29" s="2076"/>
      <c r="M29" s="2076"/>
      <c r="N29" s="1509"/>
      <c r="O29" s="2076"/>
      <c r="P29" s="2091"/>
      <c r="Q29" s="1510"/>
      <c r="R29" s="2076"/>
      <c r="S29" s="2076"/>
      <c r="T29" s="1511"/>
      <c r="U29" s="2076"/>
      <c r="V29" s="2091"/>
      <c r="W29" s="1512"/>
      <c r="X29" s="2076"/>
      <c r="Y29" s="2076"/>
      <c r="Z29" s="1509"/>
      <c r="AA29" s="2076"/>
      <c r="AB29" s="2091"/>
      <c r="AC29" s="1513"/>
      <c r="AD29" s="2076"/>
      <c r="AE29" s="2076"/>
      <c r="AF29" s="1438"/>
      <c r="AG29" s="1438"/>
      <c r="AH29" s="1514"/>
      <c r="AI29" s="1221"/>
      <c r="AJ29" s="1499"/>
      <c r="BM29" s="229">
        <v>14</v>
      </c>
    </row>
    <row r="30" spans="4:65" ht="14.65" customHeight="1">
      <c r="D30" s="2122"/>
      <c r="E30" s="2118"/>
      <c r="F30" s="2118"/>
      <c r="G30" s="2125"/>
      <c r="H30" s="1525"/>
      <c r="I30" s="2121"/>
      <c r="J30" s="2092"/>
      <c r="K30" s="1508"/>
      <c r="L30" s="2077"/>
      <c r="M30" s="2077"/>
      <c r="N30" s="1515"/>
      <c r="O30" s="2077"/>
      <c r="P30" s="2092"/>
      <c r="Q30" s="1516"/>
      <c r="R30" s="2077"/>
      <c r="S30" s="2077"/>
      <c r="T30" s="1517"/>
      <c r="U30" s="2077"/>
      <c r="V30" s="2092"/>
      <c r="W30" s="1518"/>
      <c r="X30" s="2077"/>
      <c r="Y30" s="2077"/>
      <c r="Z30" s="1515"/>
      <c r="AA30" s="2077"/>
      <c r="AB30" s="2092"/>
      <c r="AC30" s="1519"/>
      <c r="AD30" s="2077"/>
      <c r="AE30" s="2077"/>
      <c r="AF30" s="1520"/>
      <c r="AG30" s="1520"/>
      <c r="AH30" s="2116"/>
      <c r="AI30" s="2117"/>
      <c r="AJ30" s="1499"/>
      <c r="BM30" s="229">
        <v>14</v>
      </c>
    </row>
    <row r="31" spans="4:65" ht="14.65" customHeight="1">
      <c r="D31" s="2122"/>
      <c r="E31" s="2118"/>
      <c r="F31" s="2118"/>
      <c r="G31" s="2125"/>
      <c r="H31" s="1525"/>
      <c r="I31" s="2121"/>
      <c r="J31" s="2092"/>
      <c r="K31" s="1508"/>
      <c r="L31" s="2077"/>
      <c r="M31" s="2077"/>
      <c r="N31" s="1515"/>
      <c r="O31" s="2077"/>
      <c r="P31" s="2092"/>
      <c r="Q31" s="1516"/>
      <c r="R31" s="2077"/>
      <c r="S31" s="2077"/>
      <c r="T31" s="1517"/>
      <c r="U31" s="2077"/>
      <c r="V31" s="2092"/>
      <c r="W31" s="1518"/>
      <c r="X31" s="2077"/>
      <c r="Y31" s="2077"/>
      <c r="Z31" s="1437"/>
      <c r="AA31" s="1520"/>
      <c r="AB31" s="2116"/>
      <c r="AC31" s="2116"/>
      <c r="AD31" s="2116"/>
      <c r="AE31" s="2116"/>
      <c r="AF31" s="2116"/>
      <c r="AG31" s="2116"/>
      <c r="AH31" s="2116"/>
      <c r="AI31" s="2117"/>
      <c r="AJ31" s="1499"/>
      <c r="BM31" s="229">
        <v>14</v>
      </c>
    </row>
    <row r="32" spans="4:65" ht="14.65" customHeight="1">
      <c r="D32" s="2122"/>
      <c r="E32" s="2118"/>
      <c r="F32" s="2118"/>
      <c r="G32" s="2125"/>
      <c r="H32" s="1525"/>
      <c r="I32" s="2121"/>
      <c r="J32" s="2092"/>
      <c r="K32" s="1508"/>
      <c r="L32" s="2077"/>
      <c r="M32" s="2077"/>
      <c r="N32" s="1515"/>
      <c r="O32" s="2077"/>
      <c r="P32" s="2092"/>
      <c r="Q32" s="1516"/>
      <c r="R32" s="2077"/>
      <c r="S32" s="2077"/>
      <c r="T32" s="1521"/>
      <c r="U32" s="1522"/>
      <c r="V32" s="2116"/>
      <c r="W32" s="2116"/>
      <c r="X32" s="2116"/>
      <c r="Y32" s="2116"/>
      <c r="Z32" s="2116"/>
      <c r="AA32" s="2116"/>
      <c r="AB32" s="2116"/>
      <c r="AC32" s="2116"/>
      <c r="AD32" s="2116"/>
      <c r="AE32" s="2116"/>
      <c r="AF32" s="2116"/>
      <c r="AG32" s="2116"/>
      <c r="AH32" s="2116"/>
      <c r="AI32" s="2117"/>
      <c r="AJ32" s="1499"/>
      <c r="BM32" s="229">
        <v>14</v>
      </c>
    </row>
    <row r="33" spans="4:65" ht="11.45" customHeight="1">
      <c r="D33" s="2122"/>
      <c r="E33" s="2118"/>
      <c r="F33" s="2118"/>
      <c r="G33" s="2125"/>
      <c r="H33" s="1526"/>
      <c r="I33" s="2121"/>
      <c r="J33" s="2092"/>
      <c r="K33" s="1508"/>
      <c r="L33" s="2077"/>
      <c r="M33" s="2077"/>
      <c r="N33" s="1520"/>
      <c r="O33" s="1520"/>
      <c r="P33" s="2116"/>
      <c r="Q33" s="2116"/>
      <c r="R33" s="2116"/>
      <c r="S33" s="2116"/>
      <c r="T33" s="2116"/>
      <c r="U33" s="2116"/>
      <c r="V33" s="2116"/>
      <c r="W33" s="2116"/>
      <c r="X33" s="2116"/>
      <c r="Y33" s="2116"/>
      <c r="Z33" s="2116"/>
      <c r="AA33" s="2116"/>
      <c r="AB33" s="2116"/>
      <c r="AC33" s="2116"/>
      <c r="AD33" s="2116"/>
      <c r="AE33" s="2116"/>
      <c r="AF33" s="2116"/>
      <c r="AG33" s="2116"/>
      <c r="AH33" s="2116"/>
      <c r="AI33" s="2117"/>
      <c r="AJ33" s="1499"/>
      <c r="BM33" s="229">
        <v>11</v>
      </c>
    </row>
    <row r="34" spans="4:65" s="1479" customFormat="1" ht="11.45" customHeight="1">
      <c r="D34" s="2128"/>
      <c r="E34" s="2129"/>
      <c r="F34" s="2119"/>
      <c r="G34" s="2052"/>
      <c r="H34" s="1523"/>
      <c r="I34" s="1527"/>
      <c r="J34" s="2126"/>
      <c r="K34" s="2126"/>
      <c r="L34" s="2126"/>
      <c r="M34" s="2126"/>
      <c r="N34" s="2126"/>
      <c r="O34" s="2126"/>
      <c r="P34" s="2126"/>
      <c r="Q34" s="2126"/>
      <c r="R34" s="2126"/>
      <c r="S34" s="2126"/>
      <c r="T34" s="2126"/>
      <c r="U34" s="2126"/>
      <c r="V34" s="2126"/>
      <c r="W34" s="2126"/>
      <c r="X34" s="2126"/>
      <c r="Y34" s="2126"/>
      <c r="Z34" s="2126"/>
      <c r="AA34" s="2126"/>
      <c r="AB34" s="2126"/>
      <c r="AC34" s="2126"/>
      <c r="AD34" s="2126"/>
      <c r="AE34" s="2126"/>
      <c r="AF34" s="2126"/>
      <c r="AG34" s="2126"/>
      <c r="AH34" s="2126"/>
      <c r="AI34" s="2127"/>
      <c r="AJ34" s="1499"/>
      <c r="AK34" s="242"/>
      <c r="AL34" s="1499"/>
      <c r="AM34" s="1499"/>
      <c r="AN34" s="1499"/>
      <c r="AO34" s="1499"/>
      <c r="AP34" s="1499"/>
      <c r="AQ34" s="1499"/>
      <c r="AR34" s="1499"/>
      <c r="AS34" s="1499"/>
      <c r="AT34" s="1499"/>
      <c r="AU34" s="1499"/>
      <c r="AV34" s="1499"/>
      <c r="AW34" s="1499"/>
      <c r="AX34" s="1499"/>
      <c r="AY34" s="1499"/>
      <c r="AZ34" s="1499"/>
      <c r="BA34" s="1499"/>
      <c r="BB34" s="1499"/>
      <c r="BC34" s="1499"/>
      <c r="BD34" s="1499"/>
      <c r="BE34" s="1499"/>
      <c r="BF34" s="1499"/>
      <c r="BG34" s="1499"/>
      <c r="BH34" s="1499"/>
      <c r="BI34" s="1499"/>
      <c r="BJ34" s="1499"/>
      <c r="BK34" s="1499"/>
      <c r="BL34" s="1499"/>
      <c r="BM34" s="1479">
        <v>11</v>
      </c>
    </row>
    <row r="35" spans="4:65" ht="15" customHeight="1">
      <c r="D35" s="2122" t="s">
        <v>111</v>
      </c>
      <c r="E35" s="2118" t="s">
        <v>292</v>
      </c>
      <c r="F35" s="2118" t="s">
        <v>297</v>
      </c>
      <c r="G35" s="2124" t="s">
        <v>19</v>
      </c>
      <c r="H35" s="1524"/>
      <c r="I35" s="2120"/>
      <c r="J35" s="2091"/>
      <c r="K35" s="1439"/>
      <c r="L35" s="2076"/>
      <c r="M35" s="2076"/>
      <c r="N35" s="1509"/>
      <c r="O35" s="2076"/>
      <c r="P35" s="2091"/>
      <c r="Q35" s="1510"/>
      <c r="R35" s="2076"/>
      <c r="S35" s="2076"/>
      <c r="T35" s="1511"/>
      <c r="U35" s="2076"/>
      <c r="V35" s="2091"/>
      <c r="W35" s="1512"/>
      <c r="X35" s="2076"/>
      <c r="Y35" s="2076"/>
      <c r="Z35" s="1509"/>
      <c r="AA35" s="2076"/>
      <c r="AB35" s="2091"/>
      <c r="AC35" s="1513"/>
      <c r="AD35" s="2076"/>
      <c r="AE35" s="2076"/>
      <c r="AF35" s="1438"/>
      <c r="AG35" s="1438"/>
      <c r="AH35" s="1514"/>
      <c r="AI35" s="1221"/>
      <c r="AJ35" s="1499"/>
      <c r="BM35" s="229">
        <v>14</v>
      </c>
    </row>
    <row r="36" spans="4:65" ht="14.65" customHeight="1">
      <c r="D36" s="2122"/>
      <c r="E36" s="2118"/>
      <c r="F36" s="2118"/>
      <c r="G36" s="2125"/>
      <c r="H36" s="1525"/>
      <c r="I36" s="2121"/>
      <c r="J36" s="2092"/>
      <c r="K36" s="1508"/>
      <c r="L36" s="2077"/>
      <c r="M36" s="2077"/>
      <c r="N36" s="1515"/>
      <c r="O36" s="2077"/>
      <c r="P36" s="2092"/>
      <c r="Q36" s="1516"/>
      <c r="R36" s="2077"/>
      <c r="S36" s="2077"/>
      <c r="T36" s="1517"/>
      <c r="U36" s="2077"/>
      <c r="V36" s="2092"/>
      <c r="W36" s="1518"/>
      <c r="X36" s="2077"/>
      <c r="Y36" s="2077"/>
      <c r="Z36" s="1515"/>
      <c r="AA36" s="2077"/>
      <c r="AB36" s="2092"/>
      <c r="AC36" s="1519"/>
      <c r="AD36" s="2077"/>
      <c r="AE36" s="2077"/>
      <c r="AF36" s="1520"/>
      <c r="AG36" s="1520"/>
      <c r="AH36" s="2116"/>
      <c r="AI36" s="2117"/>
      <c r="AJ36" s="1499"/>
      <c r="BM36" s="229">
        <v>14</v>
      </c>
    </row>
    <row r="37" spans="4:65" ht="14.65" customHeight="1">
      <c r="D37" s="2122"/>
      <c r="E37" s="2118"/>
      <c r="F37" s="2118"/>
      <c r="G37" s="2125"/>
      <c r="H37" s="1525"/>
      <c r="I37" s="2121"/>
      <c r="J37" s="2092"/>
      <c r="K37" s="1508"/>
      <c r="L37" s="2077"/>
      <c r="M37" s="2077"/>
      <c r="N37" s="1515"/>
      <c r="O37" s="2077"/>
      <c r="P37" s="2092"/>
      <c r="Q37" s="1516"/>
      <c r="R37" s="2077"/>
      <c r="S37" s="2077"/>
      <c r="T37" s="1517"/>
      <c r="U37" s="2077"/>
      <c r="V37" s="2092"/>
      <c r="W37" s="1518"/>
      <c r="X37" s="2077"/>
      <c r="Y37" s="2077"/>
      <c r="Z37" s="1437"/>
      <c r="AA37" s="1520"/>
      <c r="AB37" s="2116"/>
      <c r="AC37" s="2116"/>
      <c r="AD37" s="2116"/>
      <c r="AE37" s="2116"/>
      <c r="AF37" s="2116"/>
      <c r="AG37" s="2116"/>
      <c r="AH37" s="2116"/>
      <c r="AI37" s="2117"/>
      <c r="AJ37" s="1499"/>
      <c r="BM37" s="229">
        <v>14</v>
      </c>
    </row>
    <row r="38" spans="4:65" ht="14.65" customHeight="1">
      <c r="D38" s="2122"/>
      <c r="E38" s="2118"/>
      <c r="F38" s="2118"/>
      <c r="G38" s="2125"/>
      <c r="H38" s="1525"/>
      <c r="I38" s="2121"/>
      <c r="J38" s="2092"/>
      <c r="K38" s="1508"/>
      <c r="L38" s="2077"/>
      <c r="M38" s="2077"/>
      <c r="N38" s="1515"/>
      <c r="O38" s="2077"/>
      <c r="P38" s="2092"/>
      <c r="Q38" s="1516"/>
      <c r="R38" s="2077"/>
      <c r="S38" s="2077"/>
      <c r="T38" s="1521"/>
      <c r="U38" s="1522"/>
      <c r="V38" s="2116"/>
      <c r="W38" s="2116"/>
      <c r="X38" s="2116"/>
      <c r="Y38" s="2116"/>
      <c r="Z38" s="2116"/>
      <c r="AA38" s="2116"/>
      <c r="AB38" s="2116"/>
      <c r="AC38" s="2116"/>
      <c r="AD38" s="2116"/>
      <c r="AE38" s="2116"/>
      <c r="AF38" s="2116"/>
      <c r="AG38" s="2116"/>
      <c r="AH38" s="2116"/>
      <c r="AI38" s="2117"/>
      <c r="AJ38" s="1499"/>
      <c r="BM38" s="229">
        <v>14</v>
      </c>
    </row>
    <row r="39" spans="4:65" ht="11.45" customHeight="1">
      <c r="D39" s="2122"/>
      <c r="E39" s="2118"/>
      <c r="F39" s="2118"/>
      <c r="G39" s="2125"/>
      <c r="H39" s="1526"/>
      <c r="I39" s="2121"/>
      <c r="J39" s="2092"/>
      <c r="K39" s="1508"/>
      <c r="L39" s="2077"/>
      <c r="M39" s="2077"/>
      <c r="N39" s="1520"/>
      <c r="O39" s="1520"/>
      <c r="P39" s="2116"/>
      <c r="Q39" s="2116"/>
      <c r="R39" s="2116"/>
      <c r="S39" s="2116"/>
      <c r="T39" s="2116"/>
      <c r="U39" s="2116"/>
      <c r="V39" s="2116"/>
      <c r="W39" s="2116"/>
      <c r="X39" s="2116"/>
      <c r="Y39" s="2116"/>
      <c r="Z39" s="2116"/>
      <c r="AA39" s="2116"/>
      <c r="AB39" s="2116"/>
      <c r="AC39" s="2116"/>
      <c r="AD39" s="2116"/>
      <c r="AE39" s="2116"/>
      <c r="AF39" s="2116"/>
      <c r="AG39" s="2116"/>
      <c r="AH39" s="2116"/>
      <c r="AI39" s="2117"/>
      <c r="AJ39" s="1499"/>
      <c r="BM39" s="229">
        <v>11</v>
      </c>
    </row>
    <row r="40" spans="4:65" s="1479" customFormat="1" ht="11.45" customHeight="1">
      <c r="D40" s="2122"/>
      <c r="E40" s="2118"/>
      <c r="F40" s="2123"/>
      <c r="G40" s="2052"/>
      <c r="H40" s="1523"/>
      <c r="I40" s="1527"/>
      <c r="J40" s="2126"/>
      <c r="K40" s="2126"/>
      <c r="L40" s="2126"/>
      <c r="M40" s="2126"/>
      <c r="N40" s="2126"/>
      <c r="O40" s="2126"/>
      <c r="P40" s="2126"/>
      <c r="Q40" s="2126"/>
      <c r="R40" s="2126"/>
      <c r="S40" s="2126"/>
      <c r="T40" s="2126"/>
      <c r="U40" s="2126"/>
      <c r="V40" s="2126"/>
      <c r="W40" s="2126"/>
      <c r="X40" s="2126"/>
      <c r="Y40" s="2126"/>
      <c r="Z40" s="2126"/>
      <c r="AA40" s="2126"/>
      <c r="AB40" s="2126"/>
      <c r="AC40" s="2126"/>
      <c r="AD40" s="2126"/>
      <c r="AE40" s="2126"/>
      <c r="AF40" s="2126"/>
      <c r="AG40" s="2126"/>
      <c r="AH40" s="2126"/>
      <c r="AI40" s="2127"/>
      <c r="AJ40" s="1499"/>
      <c r="AK40" s="242"/>
      <c r="AL40" s="1499"/>
      <c r="AM40" s="1499"/>
      <c r="AN40" s="1499"/>
      <c r="AO40" s="1499"/>
      <c r="AP40" s="1499"/>
      <c r="AQ40" s="1499"/>
      <c r="AR40" s="1499"/>
      <c r="AS40" s="1499"/>
      <c r="AT40" s="1499"/>
      <c r="AU40" s="1499"/>
      <c r="AV40" s="1499"/>
      <c r="AW40" s="1499"/>
      <c r="AX40" s="1499"/>
      <c r="AY40" s="1499"/>
      <c r="AZ40" s="1499"/>
      <c r="BA40" s="1499"/>
      <c r="BB40" s="1499"/>
      <c r="BC40" s="1499"/>
      <c r="BD40" s="1499"/>
      <c r="BE40" s="1499"/>
      <c r="BF40" s="1499"/>
      <c r="BG40" s="1499"/>
      <c r="BH40" s="1499"/>
      <c r="BI40" s="1499"/>
      <c r="BJ40" s="1499"/>
      <c r="BK40" s="1499"/>
      <c r="BL40" s="1499"/>
      <c r="BM40" s="1479">
        <v>11</v>
      </c>
    </row>
    <row r="41" spans="4:65" ht="11.45" customHeight="1">
      <c r="AK41" s="358"/>
      <c r="BM41" s="229">
        <v>11</v>
      </c>
    </row>
    <row r="42" spans="4:65" ht="11.45" customHeight="1">
      <c r="AK42" s="358"/>
      <c r="BM42" s="229">
        <v>11</v>
      </c>
    </row>
    <row r="43" spans="4:65" ht="11.45" customHeight="1">
      <c r="AK43" s="358"/>
      <c r="BM43" s="229">
        <v>11</v>
      </c>
    </row>
    <row r="44" spans="4:65" ht="11.45" customHeight="1">
      <c r="AK44" s="358"/>
      <c r="BM44" s="229">
        <v>11</v>
      </c>
    </row>
    <row r="45" spans="4:65" ht="11.45" customHeight="1">
      <c r="AK45" s="358"/>
      <c r="BM45" s="229">
        <v>11</v>
      </c>
    </row>
    <row r="46" spans="4:65" ht="11.45" customHeight="1">
      <c r="AK46" s="358"/>
      <c r="BM46" s="229">
        <v>11</v>
      </c>
    </row>
    <row r="47" spans="4:65" ht="11.45" customHeight="1">
      <c r="AK47" s="358"/>
      <c r="BM47" s="229">
        <v>11</v>
      </c>
    </row>
    <row r="48" spans="4:65" ht="11.45" customHeight="1">
      <c r="AK48" s="358"/>
      <c r="BM48" s="229">
        <v>11</v>
      </c>
    </row>
    <row r="49" spans="1:65" ht="11.45" customHeight="1">
      <c r="AK49" s="358"/>
      <c r="BM49" s="229">
        <v>11</v>
      </c>
    </row>
    <row r="50" spans="1:65" ht="11.25" hidden="1" customHeight="1">
      <c r="A50" s="229" t="s">
        <v>82</v>
      </c>
      <c r="B50" s="229">
        <v>0</v>
      </c>
      <c r="C50" s="229">
        <v>3</v>
      </c>
      <c r="D50" s="229">
        <v>3</v>
      </c>
      <c r="E50" s="229">
        <v>15</v>
      </c>
      <c r="F50" s="229">
        <v>15</v>
      </c>
      <c r="G50" s="229">
        <v>11</v>
      </c>
      <c r="H50" s="229">
        <v>3</v>
      </c>
      <c r="I50" s="229">
        <v>3</v>
      </c>
      <c r="J50" s="229">
        <v>12</v>
      </c>
      <c r="K50" s="229">
        <v>0</v>
      </c>
      <c r="L50" s="229">
        <v>10</v>
      </c>
      <c r="M50" s="229">
        <v>10</v>
      </c>
      <c r="N50" s="229">
        <v>3</v>
      </c>
      <c r="O50" s="229">
        <v>3</v>
      </c>
      <c r="P50" s="229">
        <v>19</v>
      </c>
      <c r="Q50" s="229">
        <v>0</v>
      </c>
      <c r="R50" s="229">
        <v>10</v>
      </c>
      <c r="S50" s="229">
        <v>10</v>
      </c>
      <c r="T50" s="229">
        <v>3</v>
      </c>
      <c r="U50" s="229">
        <v>3</v>
      </c>
      <c r="V50" s="229">
        <v>25</v>
      </c>
      <c r="W50" s="229">
        <v>0</v>
      </c>
      <c r="X50" s="229">
        <v>10</v>
      </c>
      <c r="Y50" s="229">
        <v>10</v>
      </c>
      <c r="Z50" s="229">
        <v>3</v>
      </c>
      <c r="AA50" s="229">
        <v>3</v>
      </c>
      <c r="AB50" s="229">
        <v>16</v>
      </c>
      <c r="AC50" s="229">
        <v>0</v>
      </c>
      <c r="AD50" s="229">
        <v>10</v>
      </c>
      <c r="AE50" s="229">
        <v>10</v>
      </c>
      <c r="AF50" s="229">
        <v>3</v>
      </c>
      <c r="AG50" s="229">
        <v>3</v>
      </c>
      <c r="AH50" s="229">
        <v>8</v>
      </c>
      <c r="AI50" s="229">
        <v>21</v>
      </c>
      <c r="AJ50" s="358">
        <v>8</v>
      </c>
      <c r="AK50" s="242">
        <v>8</v>
      </c>
      <c r="AL50" s="358">
        <v>8</v>
      </c>
      <c r="AM50" s="358">
        <v>8</v>
      </c>
      <c r="AN50" s="358">
        <v>8</v>
      </c>
      <c r="AO50" s="358">
        <v>8</v>
      </c>
      <c r="AP50" s="358">
        <v>8</v>
      </c>
      <c r="AQ50" s="358">
        <v>8</v>
      </c>
      <c r="AR50" s="358">
        <v>8</v>
      </c>
      <c r="AS50" s="358">
        <v>8</v>
      </c>
      <c r="AT50" s="358">
        <v>8</v>
      </c>
      <c r="AU50" s="358">
        <v>8</v>
      </c>
      <c r="AV50" s="358">
        <v>8</v>
      </c>
      <c r="AW50" s="358">
        <v>8</v>
      </c>
      <c r="AX50" s="358">
        <v>8</v>
      </c>
      <c r="AY50" s="358">
        <v>8</v>
      </c>
      <c r="AZ50" s="358">
        <v>8</v>
      </c>
      <c r="BA50" s="358">
        <v>8</v>
      </c>
      <c r="BB50" s="358">
        <v>8</v>
      </c>
      <c r="BC50" s="358">
        <v>8</v>
      </c>
      <c r="BD50" s="358">
        <v>8</v>
      </c>
      <c r="BE50" s="358">
        <v>8</v>
      </c>
      <c r="BF50" s="358">
        <v>8</v>
      </c>
      <c r="BG50" s="358">
        <v>8</v>
      </c>
      <c r="BH50" s="358">
        <v>8</v>
      </c>
      <c r="BI50" s="358">
        <v>8</v>
      </c>
      <c r="BJ50" s="358">
        <v>8</v>
      </c>
      <c r="BK50" s="358">
        <v>8</v>
      </c>
      <c r="BL50" s="358">
        <v>8</v>
      </c>
      <c r="BM50" s="229">
        <v>11</v>
      </c>
    </row>
  </sheetData>
  <sheetProtection formatColumns="0" formatRows="0" insertRows="0" deleteColumns="0" deleteRows="0" sort="0" autoFilter="0"/>
  <mergeCells count="151">
    <mergeCell ref="D4:J4"/>
    <mergeCell ref="D8:D10"/>
    <mergeCell ref="E8:E10"/>
    <mergeCell ref="J8:J10"/>
    <mergeCell ref="AH9:AH10"/>
    <mergeCell ref="Z9:AA10"/>
    <mergeCell ref="AF9:AG10"/>
    <mergeCell ref="X9:Y9"/>
    <mergeCell ref="V9:V10"/>
    <mergeCell ref="T9:U10"/>
    <mergeCell ref="L8:P8"/>
    <mergeCell ref="R8:V8"/>
    <mergeCell ref="X8:AB8"/>
    <mergeCell ref="AD8:AH8"/>
    <mergeCell ref="F8:G8"/>
    <mergeCell ref="F9:F10"/>
    <mergeCell ref="G9:G10"/>
    <mergeCell ref="N9:O10"/>
    <mergeCell ref="H8:I10"/>
    <mergeCell ref="AB9:AB10"/>
    <mergeCell ref="AD9:AE9"/>
    <mergeCell ref="D17:D22"/>
    <mergeCell ref="E17:E22"/>
    <mergeCell ref="F17:F22"/>
    <mergeCell ref="G17:G22"/>
    <mergeCell ref="I17:I21"/>
    <mergeCell ref="J17:J21"/>
    <mergeCell ref="J22:AI22"/>
    <mergeCell ref="P15:AI15"/>
    <mergeCell ref="J16:AI16"/>
    <mergeCell ref="G11:G16"/>
    <mergeCell ref="D11:D16"/>
    <mergeCell ref="E11:E16"/>
    <mergeCell ref="S17:S20"/>
    <mergeCell ref="AB11:AB12"/>
    <mergeCell ref="AD11:AD12"/>
    <mergeCell ref="AE11:AE12"/>
    <mergeCell ref="AH12:AI12"/>
    <mergeCell ref="D23:D28"/>
    <mergeCell ref="E23:E28"/>
    <mergeCell ref="F23:F28"/>
    <mergeCell ref="G23:G28"/>
    <mergeCell ref="I23:I27"/>
    <mergeCell ref="J23:J27"/>
    <mergeCell ref="J28:AI28"/>
    <mergeCell ref="AD17:AD18"/>
    <mergeCell ref="AE17:AE18"/>
    <mergeCell ref="AH18:AI18"/>
    <mergeCell ref="AB19:AI19"/>
    <mergeCell ref="V20:AI20"/>
    <mergeCell ref="P21:AI21"/>
    <mergeCell ref="U17:U19"/>
    <mergeCell ref="V17:V19"/>
    <mergeCell ref="X17:X19"/>
    <mergeCell ref="Y17:Y19"/>
    <mergeCell ref="AA17:AA18"/>
    <mergeCell ref="AB17:AB18"/>
    <mergeCell ref="L17:L21"/>
    <mergeCell ref="M17:M21"/>
    <mergeCell ref="O17:O20"/>
    <mergeCell ref="P17:P20"/>
    <mergeCell ref="R17:R20"/>
    <mergeCell ref="AH24:AI24"/>
    <mergeCell ref="AB25:AI25"/>
    <mergeCell ref="V26:AI26"/>
    <mergeCell ref="P27:AI27"/>
    <mergeCell ref="U23:U25"/>
    <mergeCell ref="V23:V25"/>
    <mergeCell ref="X23:X25"/>
    <mergeCell ref="Y23:Y25"/>
    <mergeCell ref="L23:L27"/>
    <mergeCell ref="M23:M27"/>
    <mergeCell ref="L29:L33"/>
    <mergeCell ref="M29:M33"/>
    <mergeCell ref="O29:O32"/>
    <mergeCell ref="P29:P32"/>
    <mergeCell ref="R29:R32"/>
    <mergeCell ref="S29:S32"/>
    <mergeCell ref="D29:D34"/>
    <mergeCell ref="E29:E34"/>
    <mergeCell ref="F29:F34"/>
    <mergeCell ref="G29:G34"/>
    <mergeCell ref="I29:I33"/>
    <mergeCell ref="J29:J33"/>
    <mergeCell ref="J34:AI34"/>
    <mergeCell ref="AD29:AD30"/>
    <mergeCell ref="AE29:AE30"/>
    <mergeCell ref="AH30:AI30"/>
    <mergeCell ref="AB31:AI31"/>
    <mergeCell ref="V32:AI32"/>
    <mergeCell ref="P33:AI33"/>
    <mergeCell ref="U29:U31"/>
    <mergeCell ref="V29:V31"/>
    <mergeCell ref="X29:X31"/>
    <mergeCell ref="Y29:Y31"/>
    <mergeCell ref="AA29:AA30"/>
    <mergeCell ref="L35:L39"/>
    <mergeCell ref="M35:M39"/>
    <mergeCell ref="O35:O38"/>
    <mergeCell ref="P35:P38"/>
    <mergeCell ref="R35:R38"/>
    <mergeCell ref="S35:S38"/>
    <mergeCell ref="D35:D40"/>
    <mergeCell ref="E35:E40"/>
    <mergeCell ref="F35:F40"/>
    <mergeCell ref="G35:G40"/>
    <mergeCell ref="I35:I39"/>
    <mergeCell ref="J35:J39"/>
    <mergeCell ref="J40:AI40"/>
    <mergeCell ref="AD35:AD36"/>
    <mergeCell ref="AE35:AE36"/>
    <mergeCell ref="AH36:AI36"/>
    <mergeCell ref="AB37:AI37"/>
    <mergeCell ref="V38:AI38"/>
    <mergeCell ref="P39:AI39"/>
    <mergeCell ref="U35:U37"/>
    <mergeCell ref="V35:V37"/>
    <mergeCell ref="X35:X37"/>
    <mergeCell ref="Y35:Y37"/>
    <mergeCell ref="AA35:AA36"/>
    <mergeCell ref="AB35:AB36"/>
    <mergeCell ref="O23:O26"/>
    <mergeCell ref="P23:P26"/>
    <mergeCell ref="R23:R26"/>
    <mergeCell ref="S23:S26"/>
    <mergeCell ref="AB23:AB24"/>
    <mergeCell ref="AD23:AD24"/>
    <mergeCell ref="AE23:AE24"/>
    <mergeCell ref="AA23:AA24"/>
    <mergeCell ref="AB29:AB30"/>
    <mergeCell ref="AI8:AI10"/>
    <mergeCell ref="D5:J5"/>
    <mergeCell ref="AB13:AI13"/>
    <mergeCell ref="Y11:Y13"/>
    <mergeCell ref="X11:X13"/>
    <mergeCell ref="AA11:AA12"/>
    <mergeCell ref="R11:R14"/>
    <mergeCell ref="S11:S14"/>
    <mergeCell ref="U11:U13"/>
    <mergeCell ref="V11:V13"/>
    <mergeCell ref="V14:AI14"/>
    <mergeCell ref="F11:F16"/>
    <mergeCell ref="I11:I15"/>
    <mergeCell ref="J11:J15"/>
    <mergeCell ref="L11:L15"/>
    <mergeCell ref="M11:M15"/>
    <mergeCell ref="O11:O14"/>
    <mergeCell ref="P11:P14"/>
    <mergeCell ref="L9:M9"/>
    <mergeCell ref="P9:P10"/>
    <mergeCell ref="R9:S9"/>
  </mergeCells>
  <dataValidations count="2">
    <dataValidation type="textLength" operator="lessThanOrEqual" allowBlank="1" showInputMessage="1" showErrorMessage="1" errorTitle="Ошибка" error="Допускается ввод не более 900 символов!" sqref="AI29 AI23 P17:P20 J23:J27 J29:J33 AI35 J35:J39 P35:P38 P29:P32 AI17 J17:J21 P23:P26 AI11 J11:J15 P11:P14">
      <formula1>900</formula1>
    </dataValidation>
    <dataValidation type="list" errorStyle="warning" allowBlank="1" showInputMessage="1" errorTitle="Ошибка" error="Выберите значение из списка" prompt="Выберите значение из списка или укажите свой вид твердых коммунальных отходов" sqref="AC17 AC23 AC35 AC29 AC11">
      <formula1>list_typeTKO</formula1>
    </dataValidation>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3" tint="0.59999389629810485"/>
  </sheetPr>
  <dimension ref="A1:J60"/>
  <sheetViews>
    <sheetView showGridLines="0" zoomScale="90" workbookViewId="0">
      <pane xSplit="5" ySplit="12" topLeftCell="F13" activePane="bottomRight" state="frozen"/>
      <selection pane="topRight" activeCell="F1" sqref="F1"/>
      <selection pane="bottomLeft" activeCell="A13" sqref="A13"/>
      <selection pane="bottomRight"/>
    </sheetView>
  </sheetViews>
  <sheetFormatPr defaultColWidth="9.140625" defaultRowHeight="11.25" customHeight="1"/>
  <cols>
    <col min="1" max="1" width="15" style="1611" hidden="1" customWidth="1"/>
    <col min="2" max="2" width="15" style="436" hidden="1" customWidth="1"/>
    <col min="3" max="3" width="3" style="390" customWidth="1"/>
    <col min="4" max="4" width="6" style="391" customWidth="1"/>
    <col min="5" max="5" width="52" style="390" customWidth="1"/>
    <col min="6" max="6" width="48" style="390" customWidth="1"/>
    <col min="7" max="7" width="121" style="390" customWidth="1"/>
    <col min="8" max="8" width="8" style="390" customWidth="1"/>
    <col min="9" max="9" width="64" style="390" customWidth="1"/>
    <col min="10" max="10" width="9.140625" style="390" hidden="1"/>
  </cols>
  <sheetData>
    <row r="1" spans="1:10" ht="11.25" hidden="1" customHeight="1">
      <c r="A1" s="1611" t="s">
        <v>298</v>
      </c>
      <c r="J1" s="390" t="s">
        <v>14</v>
      </c>
    </row>
    <row r="2" spans="1:10" ht="11.25" hidden="1" customHeight="1">
      <c r="J2" s="390">
        <v>0</v>
      </c>
    </row>
    <row r="3" spans="1:10" s="412" customFormat="1" ht="11.45" customHeight="1">
      <c r="A3" s="1611"/>
      <c r="B3" s="436"/>
      <c r="D3" s="413"/>
      <c r="J3" s="412">
        <v>11</v>
      </c>
    </row>
    <row r="4" spans="1:10" ht="27.4" customHeight="1">
      <c r="D4" s="2096" t="str">
        <f>ORG_INFO_NAME_FORM</f>
        <v>Форма 1. Информация о единых теплоснабжающих организациях в системе теплоснабжения, теплоснабжающих организациях, которым не присвоен статус единой теплоснабжающей организации, и теплосетевых организациях, функционирующих в поселениях и городских округах, не отнесенных к ценовым зонам теплоснабжения, и в поселениях и городских округах, отнесенных к ценовым зонам теплоснабжения в соответствии с Федеральным законом от 27 июля 2010 г. N 190-ФЗ "О теплоснабжении", до окончания переходного периода в ценовых зонах теплоснабжения (далее - регулируемые организации); о единых теплоснабжающих организациях, теплоснабжающих организациях, которым не присвоен статус единой теплоснабжающей организации, и теплосетевых организациях, функционирующих в поселениях и городских округах, отнесенных к ценовым зонам теплоснабжения в соответствии с Федеральным законом от 27 июля 2010 г. N 190-ФЗ "О теплоснабжении", после окончания переходного периода в ценовых зонах теплоснабжения (далее соответственно - единые теплоснабжающие организации в ценовых зонах теплоснабжения, теплоснабжающие организации в ценовых зонах теплоснабжения и теплосетевые организации в ценовых зонах теплоснабжения) (общая информация)</v>
      </c>
      <c r="E4" s="2097"/>
      <c r="F4" s="2098"/>
      <c r="I4" s="650"/>
      <c r="J4" s="390">
        <v>26</v>
      </c>
    </row>
    <row r="5" spans="1:10" ht="18" customHeight="1">
      <c r="D5" s="2115" t="str">
        <f>IF(org=0,"Не определено",org)</f>
        <v>ООО "ЗЕНИТ ЭНЕРГО"</v>
      </c>
      <c r="E5" s="2115"/>
      <c r="F5" s="2115"/>
      <c r="I5" s="650"/>
      <c r="J5" s="390">
        <v>17</v>
      </c>
    </row>
    <row r="6" spans="1:10" s="412" customFormat="1" ht="11.45" customHeight="1">
      <c r="A6" s="1611"/>
      <c r="B6" s="436"/>
      <c r="D6" s="649"/>
      <c r="E6" s="649"/>
      <c r="F6" s="687"/>
      <c r="G6" s="649"/>
      <c r="J6" s="412">
        <v>11</v>
      </c>
    </row>
    <row r="7" spans="1:10" ht="11.25" hidden="1" customHeight="1">
      <c r="A7" s="392"/>
      <c r="B7" s="437"/>
      <c r="C7" s="392"/>
      <c r="D7" s="398"/>
      <c r="E7" s="2143"/>
      <c r="F7" s="2143"/>
      <c r="J7" s="390">
        <v>0</v>
      </c>
    </row>
    <row r="8" spans="1:10" ht="11.45" customHeight="1">
      <c r="A8" s="392"/>
      <c r="B8" s="437"/>
      <c r="C8" s="392"/>
      <c r="D8" s="2140" t="s">
        <v>299</v>
      </c>
      <c r="E8" s="2141"/>
      <c r="F8" s="2141"/>
      <c r="G8" s="2144" t="s">
        <v>300</v>
      </c>
      <c r="J8" s="390">
        <v>11</v>
      </c>
    </row>
    <row r="9" spans="1:10" ht="11.45" customHeight="1">
      <c r="A9" s="392"/>
      <c r="B9" s="437"/>
      <c r="C9" s="392"/>
      <c r="D9" s="407" t="s">
        <v>88</v>
      </c>
      <c r="E9" s="381" t="s">
        <v>301</v>
      </c>
      <c r="F9" s="381" t="s">
        <v>302</v>
      </c>
      <c r="G9" s="2145"/>
      <c r="J9" s="390">
        <v>11</v>
      </c>
    </row>
    <row r="10" spans="1:10" ht="12" hidden="1" customHeight="1">
      <c r="A10" s="392"/>
      <c r="B10" s="437"/>
      <c r="C10" s="392"/>
      <c r="D10" s="399"/>
      <c r="E10" s="399"/>
      <c r="F10" s="399"/>
      <c r="G10" s="399"/>
      <c r="J10" s="390">
        <v>0</v>
      </c>
    </row>
    <row r="11" spans="1:10" ht="22.5" hidden="1" customHeight="1">
      <c r="A11" s="392"/>
      <c r="B11" s="437"/>
      <c r="C11" s="392"/>
      <c r="D11" s="937" t="s">
        <v>109</v>
      </c>
      <c r="E11" s="940" t="s">
        <v>303</v>
      </c>
      <c r="F11" s="939" t="str">
        <f>IF(region_name="","",region_name)</f>
        <v>Нижегородская область</v>
      </c>
      <c r="G11" s="940" t="s">
        <v>304</v>
      </c>
      <c r="H11" s="410"/>
      <c r="J11" s="390">
        <v>0</v>
      </c>
    </row>
    <row r="12" spans="1:10" ht="22.5" hidden="1" customHeight="1">
      <c r="A12" s="392"/>
      <c r="B12" s="437"/>
      <c r="C12" s="392"/>
      <c r="D12" s="380" t="s">
        <v>109</v>
      </c>
      <c r="E12" s="379" t="str">
        <f>IF(TEMPLATE_SPHERE="TKO","Данные об организации (индивидуальном предпринимателе)","Данные о регулируемой организации"&amp;IF(TEMPLATE_SPHERE="HEAT",", о единой теплоснабжающей организации в ценовых зонах теплоснабжения, о теплоснабжающей организации в ценовых зонах теплоснабжения и теплосетевой организации в ценовых зонах теплоснабжения ",""))</f>
        <v xml:space="preserve">Данные о регулируемой организации, о единой теплоснабжающей организации в ценовых зонах теплоснабжения, о теплоснабжающей организации в ценовых зонах теплоснабжения и теплосетевой организации в ценовых зонах теплоснабжения </v>
      </c>
      <c r="F12" s="378" t="s">
        <v>305</v>
      </c>
      <c r="G12" s="409"/>
      <c r="H12" s="410"/>
      <c r="J12" s="390">
        <v>0</v>
      </c>
    </row>
    <row r="13" spans="1:10" ht="23.25" customHeight="1">
      <c r="A13" s="392"/>
      <c r="B13" s="437"/>
      <c r="C13" s="392"/>
      <c r="D13" s="380" t="s">
        <v>109</v>
      </c>
      <c r="E13" s="377" t="str">
        <f>"Наименование юридического лица"&amp;IF(TEMPLATE_SPHERE="TKO"," (индивидуального предпринимателя)","")</f>
        <v>Наименование юридического лица</v>
      </c>
      <c r="F13" s="376"/>
      <c r="G13" s="379" t="str">
        <f>"Наименование юридического лица"&amp;IF(TEMPLATE_SPHERE="HEAT"," (согласно уставу регулируемой организации)"," указывается согласно уставу "&amp;IF(TEMPLATE_SPHERE="TKO","организации. Наименование индивидуального предпринимателя указывается согласно сведениям из ЕГРИП.","регулируемой организации."))</f>
        <v>Наименование юридического лица (согласно уставу регулируемой организации)</v>
      </c>
      <c r="H13" s="410"/>
      <c r="J13" s="390">
        <v>22</v>
      </c>
    </row>
    <row r="14" spans="1:10" ht="22.5" hidden="1" customHeight="1">
      <c r="A14" s="392"/>
      <c r="B14" s="437"/>
      <c r="C14" s="392"/>
      <c r="D14" s="937" t="s">
        <v>306</v>
      </c>
      <c r="E14" s="938" t="s">
        <v>307</v>
      </c>
      <c r="F14" s="939" t="str">
        <f>IF(inn="","",inn)</f>
        <v>5262305560</v>
      </c>
      <c r="G14" s="940" t="s">
        <v>308</v>
      </c>
      <c r="H14" s="410"/>
      <c r="J14" s="390">
        <v>0</v>
      </c>
    </row>
    <row r="15" spans="1:10" ht="22.5" hidden="1" customHeight="1">
      <c r="A15" s="392"/>
      <c r="B15" s="437"/>
      <c r="C15" s="392"/>
      <c r="D15" s="937" t="s">
        <v>309</v>
      </c>
      <c r="E15" s="938" t="s">
        <v>310</v>
      </c>
      <c r="F15" s="939" t="str">
        <f>IF(kpp="","",kpp)</f>
        <v>526201001</v>
      </c>
      <c r="G15" s="940" t="s">
        <v>311</v>
      </c>
      <c r="H15" s="410"/>
      <c r="J15" s="390">
        <v>0</v>
      </c>
    </row>
    <row r="16" spans="1:10" ht="39" customHeight="1">
      <c r="A16" s="392"/>
      <c r="B16" s="437"/>
      <c r="C16" s="392"/>
      <c r="D16" s="380" t="s">
        <v>110</v>
      </c>
      <c r="E16" s="377" t="str">
        <f>"Основной государственный регистрационный номер (ОГРН)"&amp;IF(TEMPLATE_SPHERE="TKO",""," (основной государственный регистрационный номер индивидуального предпринимателя (ОГРНИП)")</f>
        <v>Основной государственный регистрационный номер (ОГРН) (основной государственный регистрационный номер индивидуального предпринимателя (ОГРНИП)</v>
      </c>
      <c r="F16" s="376"/>
      <c r="G16" s="379" t="str">
        <f>"Указывается основной государственный регистрационный номер юридического лица"&amp;IF(TEMPLATE_SPHERE="TKO",""," (индивидуального предпринимателя)")&amp;"."</f>
        <v>Указывается основной государственный регистрационный номер юридического лица (индивидуального предпринимателя).</v>
      </c>
      <c r="H16" s="410"/>
      <c r="J16" s="390">
        <v>37</v>
      </c>
    </row>
    <row r="17" spans="1:10" ht="23.25" customHeight="1">
      <c r="A17" s="392"/>
      <c r="B17" s="437"/>
      <c r="C17" s="392"/>
      <c r="D17" s="380" t="s">
        <v>90</v>
      </c>
      <c r="E17" s="377" t="str">
        <f>"Дата присвоения ОГРН"&amp;IF(TEMPLATE_SPHERE="TKO",""," (ОГРНИП)")</f>
        <v>Дата присвоения ОГРН (ОГРНИП)</v>
      </c>
      <c r="F17" s="1657" t="s">
        <v>22</v>
      </c>
      <c r="G17" s="379" t="str">
        <f>"Дата присвоения ОГРН"&amp;IF(TEMPLATE_SPHERE="TKO",""," (ОГРНИП)")&amp;" указывается в виде «ДД.ММ.ГГГГ»."</f>
        <v>Дата присвоения ОГРН (ОГРНИП) указывается в виде «ДД.ММ.ГГГГ».</v>
      </c>
      <c r="H17" s="410"/>
      <c r="J17" s="390">
        <v>22</v>
      </c>
    </row>
    <row r="18" spans="1:10" ht="71.25" customHeight="1">
      <c r="A18" s="392"/>
      <c r="B18" s="437"/>
      <c r="C18" s="392"/>
      <c r="D18" s="380" t="s">
        <v>91</v>
      </c>
      <c r="E18" s="377" t="str">
        <f>"Наименование органа, принявшего решение о "&amp;IF(TEMPLATE_SPHERE="TKO","государственной регистрации организации ","регистрации в соответствии со свидетельством о государственной регистрации")&amp;" в качестве юридического лица (о государственной регистрации физического лица в качестве индивидуального предпринимателя)"</f>
        <v>Наименование органа, принявшего решение о регистрации в соответствии со свидетельством о государственной регистрации в качестве юридического лица (о государственной регистрации физического лица в качестве индивидуального предпринимателя)</v>
      </c>
      <c r="F18" s="376"/>
      <c r="G18" s="409"/>
      <c r="H18" s="410"/>
      <c r="J18" s="390">
        <v>68</v>
      </c>
    </row>
    <row r="19" spans="1:10" ht="22.5" hidden="1" customHeight="1">
      <c r="A19" s="2138" t="s">
        <v>312</v>
      </c>
      <c r="B19" s="437"/>
      <c r="C19" s="2149"/>
      <c r="D19" s="380" t="str">
        <f>A19</f>
        <v>5.1</v>
      </c>
      <c r="E19" s="377" t="s">
        <v>313</v>
      </c>
      <c r="F19" s="378" t="s">
        <v>305</v>
      </c>
      <c r="G19" s="379" t="s">
        <v>314</v>
      </c>
      <c r="H19" s="410"/>
      <c r="I19" s="781"/>
      <c r="J19" s="390">
        <v>0</v>
      </c>
    </row>
    <row r="20" spans="1:10" ht="24" hidden="1" customHeight="1">
      <c r="A20" s="2138"/>
      <c r="B20" s="437"/>
      <c r="C20" s="2149"/>
      <c r="D20" s="375" t="str">
        <f>D19&amp;".1"</f>
        <v>5.1.1</v>
      </c>
      <c r="E20" s="374" t="s">
        <v>315</v>
      </c>
      <c r="F20" s="809" t="s">
        <v>22</v>
      </c>
      <c r="G20" s="409"/>
      <c r="H20" s="410"/>
      <c r="I20" s="781"/>
      <c r="J20" s="390">
        <v>0</v>
      </c>
    </row>
    <row r="21" spans="1:10" ht="22.5" hidden="1" customHeight="1">
      <c r="A21" s="2138"/>
      <c r="B21" s="437"/>
      <c r="C21" s="2149"/>
      <c r="D21" s="375" t="str">
        <f>D19&amp;".2"</f>
        <v>5.1.2</v>
      </c>
      <c r="E21" s="374" t="s">
        <v>316</v>
      </c>
      <c r="F21" s="1658" t="s">
        <v>22</v>
      </c>
      <c r="G21" s="379" t="s">
        <v>317</v>
      </c>
      <c r="H21" s="410"/>
      <c r="I21" s="781"/>
      <c r="J21" s="390">
        <v>0</v>
      </c>
    </row>
    <row r="22" spans="1:10" ht="22.5" hidden="1" customHeight="1">
      <c r="A22" s="2138"/>
      <c r="B22" s="437"/>
      <c r="C22" s="2149"/>
      <c r="D22" s="375" t="str">
        <f>D19&amp;".3"</f>
        <v>5.1.3</v>
      </c>
      <c r="E22" s="374" t="s">
        <v>318</v>
      </c>
      <c r="F22" s="809" t="s">
        <v>22</v>
      </c>
      <c r="G22" s="409"/>
      <c r="H22" s="410"/>
      <c r="I22" s="781"/>
      <c r="J22" s="390">
        <v>0</v>
      </c>
    </row>
    <row r="23" spans="1:10" ht="22.5" hidden="1" customHeight="1">
      <c r="A23" s="2138"/>
      <c r="B23" s="437"/>
      <c r="C23" s="2149"/>
      <c r="D23" s="375" t="str">
        <f>D19&amp;".4"</f>
        <v>5.1.4</v>
      </c>
      <c r="E23" s="374" t="s">
        <v>319</v>
      </c>
      <c r="F23" s="809" t="s">
        <v>22</v>
      </c>
      <c r="G23" s="379" t="s">
        <v>320</v>
      </c>
      <c r="H23" s="410"/>
      <c r="I23" s="781"/>
      <c r="J23" s="390">
        <v>0</v>
      </c>
    </row>
    <row r="24" spans="1:10" ht="22.5" hidden="1" customHeight="1">
      <c r="A24" s="1899"/>
      <c r="B24" s="437"/>
      <c r="C24" s="427"/>
      <c r="D24" s="402"/>
      <c r="E24" s="1093" t="s">
        <v>321</v>
      </c>
      <c r="F24" s="403"/>
      <c r="G24" s="404"/>
      <c r="H24" s="410"/>
      <c r="I24" s="781"/>
      <c r="J24" s="390">
        <v>0</v>
      </c>
    </row>
    <row r="25" spans="1:10" s="436" customFormat="1" ht="24.75" hidden="1" customHeight="1">
      <c r="A25" s="392"/>
      <c r="B25" s="437"/>
      <c r="C25" s="437"/>
      <c r="D25" s="934" t="s">
        <v>90</v>
      </c>
      <c r="E25" s="936" t="s">
        <v>322</v>
      </c>
      <c r="F25" s="941" t="s">
        <v>305</v>
      </c>
      <c r="G25" s="936"/>
      <c r="J25" s="436">
        <v>0</v>
      </c>
    </row>
    <row r="26" spans="1:10" s="436" customFormat="1" ht="11.25" hidden="1" customHeight="1">
      <c r="A26" s="392"/>
      <c r="B26" s="437"/>
      <c r="C26" s="437"/>
      <c r="D26" s="934" t="s">
        <v>323</v>
      </c>
      <c r="E26" s="935" t="s">
        <v>324</v>
      </c>
      <c r="F26" s="941" t="s">
        <v>305</v>
      </c>
      <c r="G26" s="936"/>
      <c r="J26" s="436">
        <v>0</v>
      </c>
    </row>
    <row r="27" spans="1:10" s="436" customFormat="1" ht="11.25" hidden="1" customHeight="1">
      <c r="A27" s="392"/>
      <c r="B27" s="437"/>
      <c r="C27" s="437"/>
      <c r="D27" s="934" t="s">
        <v>325</v>
      </c>
      <c r="E27" s="942" t="s">
        <v>326</v>
      </c>
      <c r="F27" s="943"/>
      <c r="G27" s="936" t="str">
        <f>"Указывается фамилия должностного лица"&amp;IF(TEMPLATE_SPHERE="HEAT"," регулируемой","")&amp;" организации"&amp;IF(TEMPLATE_SPHERE="HEAT",""," "&amp;TEMPLATE_SPHERE_RUS)&amp;", ответственного за размещение данных, в соответствии с паспортными данными физического лица."</f>
        <v>Указывается фамилия должностного лица регулируемой организации, ответственного за размещение данных, в соответствии с паспортными данными физического лица.</v>
      </c>
      <c r="J27" s="436">
        <v>0</v>
      </c>
    </row>
    <row r="28" spans="1:10" s="436" customFormat="1" ht="11.25" hidden="1" customHeight="1">
      <c r="A28" s="392"/>
      <c r="B28" s="437"/>
      <c r="C28" s="437"/>
      <c r="D28" s="934" t="s">
        <v>327</v>
      </c>
      <c r="E28" s="942" t="s">
        <v>328</v>
      </c>
      <c r="F28" s="943"/>
      <c r="G28" s="936" t="str">
        <f>"Указывается имя должностного лица"&amp;IF(TEMPLATE_SPHERE="HEAT"," регулируемой","")&amp;" организации"&amp;IF(TEMPLATE_SPHERE="HEAT",""," "&amp;TEMPLATE_SPHERE_RUS)&amp;", ответственного за размещение данных, в соответствии с паспортными данными физического лица."</f>
        <v>Указывается имя должностного лица регулируемой организации, ответственного за размещение данных, в соответствии с паспортными данными физического лица.</v>
      </c>
      <c r="J28" s="436">
        <v>0</v>
      </c>
    </row>
    <row r="29" spans="1:10" s="436" customFormat="1" ht="11.25" hidden="1" customHeight="1">
      <c r="A29" s="392"/>
      <c r="B29" s="437"/>
      <c r="C29" s="437"/>
      <c r="D29" s="934" t="s">
        <v>329</v>
      </c>
      <c r="E29" s="942" t="s">
        <v>330</v>
      </c>
      <c r="F29" s="943"/>
      <c r="G29" s="936" t="str">
        <f>"Указывается отчество должностного лица"&amp;IF(TEMPLATE_SPHERE="HEAT"," регулируемой","")&amp;" организации"&amp;IF(TEMPLATE_SPHERE="HEAT",""," "&amp;TEMPLATE_SPHERE_RUS)&amp;", ответственного за размещение данных, в соответствии с паспортными данными физического лица (при наличии)."</f>
        <v>Указывается отчество должностного лица регулируемой организации, ответственного за размещение данных, в соответствии с паспортными данными физического лица (при наличии).</v>
      </c>
      <c r="J29" s="436">
        <v>0</v>
      </c>
    </row>
    <row r="30" spans="1:10" s="436" customFormat="1" ht="11.25" hidden="1" customHeight="1">
      <c r="A30" s="392"/>
      <c r="B30" s="437"/>
      <c r="C30" s="437"/>
      <c r="D30" s="934" t="s">
        <v>331</v>
      </c>
      <c r="E30" s="935" t="s">
        <v>332</v>
      </c>
      <c r="F30" s="943"/>
      <c r="G30" s="936"/>
      <c r="J30" s="436">
        <v>0</v>
      </c>
    </row>
    <row r="31" spans="1:10" s="436" customFormat="1" ht="11.25" hidden="1" customHeight="1">
      <c r="A31" s="392"/>
      <c r="B31" s="437"/>
      <c r="C31" s="437"/>
      <c r="D31" s="934" t="s">
        <v>333</v>
      </c>
      <c r="E31" s="935" t="s">
        <v>334</v>
      </c>
      <c r="F31" s="943"/>
      <c r="G31" s="936"/>
      <c r="J31" s="436">
        <v>0</v>
      </c>
    </row>
    <row r="32" spans="1:10" s="436" customFormat="1" ht="11.25" hidden="1" customHeight="1">
      <c r="A32" s="392"/>
      <c r="B32" s="437"/>
      <c r="C32" s="437"/>
      <c r="D32" s="934" t="s">
        <v>335</v>
      </c>
      <c r="E32" s="935" t="s">
        <v>336</v>
      </c>
      <c r="F32" s="944"/>
      <c r="G32" s="936"/>
      <c r="J32" s="436">
        <v>0</v>
      </c>
    </row>
    <row r="33" spans="1:10" ht="24" customHeight="1">
      <c r="A33" s="392" t="str">
        <f>IF(TEMPLATE_SPHERE="HEAT","6","5")</f>
        <v>6</v>
      </c>
      <c r="B33" s="437"/>
      <c r="C33" s="392"/>
      <c r="D33" s="375" t="str">
        <f>A33</f>
        <v>6</v>
      </c>
      <c r="E33" s="373" t="str">
        <f>"Фамилия, имя и отчество руководителя"&amp;IF(TEMPLATE_SPHERE="HEAT"," регулируемой организации, ЕТО, ТО ",IF(TEMPLATE_SPHERE&lt;&gt;"TKO"," регулируемой организации"," организации"))&amp;IF(TEMPLATE_SPHERE&lt;&gt;"TKO"," (индивидуального предпринимателя)","")&amp;":"</f>
        <v>Фамилия, имя и отчество руководителя регулируемой организации, ЕТО, ТО  (индивидуального предпринимателя):</v>
      </c>
      <c r="F33" s="378" t="s">
        <v>305</v>
      </c>
      <c r="G33" s="409"/>
      <c r="H33" s="410"/>
      <c r="J33" s="390">
        <v>23</v>
      </c>
    </row>
    <row r="34" spans="1:10" ht="23.25" customHeight="1">
      <c r="A34" s="392"/>
      <c r="B34" s="437"/>
      <c r="C34" s="392"/>
      <c r="D34" s="375" t="str">
        <f>D33&amp;".1"</f>
        <v>6.1</v>
      </c>
      <c r="E34" s="377" t="str">
        <f>"фамилия"&amp;IF(TEMPLATE_SPHERE&lt;&gt;"HEAT"," руководителя","")</f>
        <v>фамилия</v>
      </c>
      <c r="F34" s="376"/>
      <c r="G34" s="379" t="str">
        <f>"Указывается фамилия руководителя"&amp;IF(TEMPLATE_SPHERE&lt;&gt;"TKO"," регулируемой организации"&amp;IF(TEMPLATE_SPHERE="HEAT",", ЕТО, ТО","")," организации")&amp;" в соответствии с паспортными данными физического лица."</f>
        <v>Указывается фамилия руководителя регулируемой организации, ЕТО, ТО в соответствии с паспортными данными физического лица.</v>
      </c>
      <c r="H34" s="410"/>
      <c r="J34" s="390">
        <v>22</v>
      </c>
    </row>
    <row r="35" spans="1:10" ht="23.25" customHeight="1">
      <c r="A35" s="392"/>
      <c r="B35" s="437"/>
      <c r="C35" s="392"/>
      <c r="D35" s="375" t="str">
        <f>D33&amp;".2"</f>
        <v>6.2</v>
      </c>
      <c r="E35" s="377" t="str">
        <f>"имя"&amp;IF(TEMPLATE_SPHERE&lt;&gt;"HEAT"," руководителя","")</f>
        <v>имя</v>
      </c>
      <c r="F35" s="376"/>
      <c r="G35" s="379" t="str">
        <f>"Указывается имя руководителя"&amp;IF(TEMPLATE_SPHERE&lt;&gt;"TKO"," регулируемой организации"&amp;IF(TEMPLATE_SPHERE="HEAT",", ЕТО, ТО","")," организации")&amp;" в соответствии с паспортными данными физического лица."</f>
        <v>Указывается имя руководителя регулируемой организации, ЕТО, ТО в соответствии с паспортными данными физического лица.</v>
      </c>
      <c r="H35" s="410"/>
      <c r="J35" s="390">
        <v>22</v>
      </c>
    </row>
    <row r="36" spans="1:10" ht="24" customHeight="1">
      <c r="A36" s="392"/>
      <c r="B36" s="437"/>
      <c r="C36" s="392"/>
      <c r="D36" s="375" t="str">
        <f>D33&amp;".3"</f>
        <v>6.3</v>
      </c>
      <c r="E36" s="377" t="str">
        <f>"отчество"&amp;IF(TEMPLATE_SPHERE&lt;&gt;"HEAT"," руководителя","")</f>
        <v>отчество</v>
      </c>
      <c r="F36" s="633"/>
      <c r="G36" s="379" t="str">
        <f>"Указывается отчество руководителя"&amp;IF(TEMPLATE_SPHERE&lt;&gt;"TKO"," регулируемой организации"&amp;IF(TEMPLATE_SPHERE="HEAT",", ЕТО, ТО","")," организации")&amp;" в соответствии с паспортными данными физического лица (при наличии)."</f>
        <v>Указывается отчество руководителя регулируемой организации, ЕТО, ТО в соответствии с паспортными данными физического лица (при наличии).</v>
      </c>
      <c r="H36" s="410"/>
      <c r="J36" s="390">
        <v>23</v>
      </c>
    </row>
    <row r="37" spans="1:10" ht="35.65" customHeight="1">
      <c r="A37" s="392"/>
      <c r="B37" s="437"/>
      <c r="C37" s="392"/>
      <c r="D37" s="375">
        <f>D33+1</f>
        <v>7</v>
      </c>
      <c r="E37" s="373" t="str">
        <f>"Почтовый адрес органов управления"&amp;IF(TEMPLATE_SPHERE&lt;&gt;"TKO"," регулируемой","")&amp;" организации"&amp;IF(TEMPLATE_SPHERE="HEAT",", ЕТО, ТО","")</f>
        <v>Почтовый адрес органов управления регулируемой организации, ЕТО, ТО</v>
      </c>
      <c r="F37" s="376"/>
      <c r="G37" s="379" t="s">
        <v>337</v>
      </c>
      <c r="H37" s="410"/>
      <c r="J37" s="390">
        <v>34</v>
      </c>
    </row>
    <row r="38" spans="1:10" ht="35.65" customHeight="1">
      <c r="A38" s="392"/>
      <c r="B38" s="437"/>
      <c r="C38" s="392"/>
      <c r="D38" s="375">
        <f>D37+1</f>
        <v>8</v>
      </c>
      <c r="E38" s="373" t="str">
        <f>"Адрес места нахождения органов управления"&amp;IF(TEMPLATE_SPHERE&lt;&gt;"TKO"," регулируемой","")&amp;" организации"&amp;IF(TEMPLATE_SPHERE="HEAT",", ЕТО, ТО","")</f>
        <v>Адрес места нахождения органов управления регулируемой организации, ЕТО, ТО</v>
      </c>
      <c r="F38" s="376"/>
      <c r="G38" s="379" t="s">
        <v>337</v>
      </c>
      <c r="H38" s="410"/>
      <c r="J38" s="390">
        <v>34</v>
      </c>
    </row>
    <row r="39" spans="1:10" ht="23.25" customHeight="1">
      <c r="A39" s="392"/>
      <c r="B39" s="437"/>
      <c r="C39" s="392"/>
      <c r="D39" s="375">
        <f>D38+1</f>
        <v>9</v>
      </c>
      <c r="E39" s="372" t="str">
        <f>"Контактные телефоны "&amp;IF(TEMPLATE_SPHERE="TKO","","регулируемой ")&amp;"организации"&amp;IF(TEMPLATE_SPHERE="HEAT",", ЕТО, ТО",IF(TEMPLATE_SPHERE="TKO"," (индивидуального предпринимателя)",""))</f>
        <v>Контактные телефоны регулируемой организации, ЕТО, ТО</v>
      </c>
      <c r="F39" s="378" t="s">
        <v>305</v>
      </c>
      <c r="G39" s="2146" t="str">
        <f>"Указывается номер контактного телефона"&amp;IF(TEMPLATE_SPHERE&lt;&gt;"TKO"," регулируемой","")&amp;" организации.
В случае наличия нескольких номеров телефонов, информация по каждому из них указывается в отдельной строке."</f>
        <v>Указывается номер контактного телефона регулируемой организации.
В случае наличия нескольких номеров телефонов, информация по каждому из них указывается в отдельной строке.</v>
      </c>
      <c r="H39" s="410"/>
      <c r="J39" s="390">
        <v>22</v>
      </c>
    </row>
    <row r="40" spans="1:10" ht="22.5" hidden="1" customHeight="1">
      <c r="A40" s="392"/>
      <c r="B40" s="437"/>
      <c r="C40" s="392"/>
      <c r="D40" s="375" t="str">
        <f>D39&amp;".0"</f>
        <v>9.0</v>
      </c>
      <c r="E40" s="1530"/>
      <c r="F40" s="809"/>
      <c r="G40" s="2147"/>
      <c r="H40" s="410"/>
      <c r="J40" s="390">
        <v>0</v>
      </c>
    </row>
    <row r="41" spans="1:10" ht="23.25" customHeight="1">
      <c r="A41" s="392"/>
      <c r="B41" s="392"/>
      <c r="C41" s="1613"/>
      <c r="D41" s="375" t="str">
        <f>D39&amp;".1"</f>
        <v>9.1</v>
      </c>
      <c r="E41" s="789"/>
      <c r="F41" s="790"/>
      <c r="G41" s="2147"/>
      <c r="H41" s="410"/>
      <c r="J41" s="390">
        <v>22</v>
      </c>
    </row>
    <row r="42" spans="1:10" ht="15.75" customHeight="1">
      <c r="A42" s="392"/>
      <c r="B42" s="437"/>
      <c r="C42" s="392"/>
      <c r="D42" s="402"/>
      <c r="E42" s="350" t="s">
        <v>338</v>
      </c>
      <c r="F42" s="404"/>
      <c r="G42" s="2148"/>
      <c r="H42" s="411"/>
      <c r="J42" s="390">
        <v>15</v>
      </c>
    </row>
    <row r="43" spans="1:10" ht="27.4" customHeight="1">
      <c r="A43" s="392"/>
      <c r="B43" s="437"/>
      <c r="C43" s="392"/>
      <c r="D43" s="375">
        <f>D39+1</f>
        <v>10</v>
      </c>
      <c r="E43" s="373" t="str">
        <f>IF(TEMPLATE_SPHERE="TKO","Адрес официального сайта организации в сети «Интернет»","Официальный сайт регулируемой организации"&amp;IF(TEMPLATE_SPHERE="HEAT",", ЕТО, ТО","")&amp;" в сети «Интернет»")</f>
        <v>Официальный сайт регулируемой организации, ЕТО, ТО в сети «Интернет»</v>
      </c>
      <c r="F43" s="791"/>
      <c r="G43" s="379" t="str">
        <f>"Указывается адрес официального сайта"&amp;IF(TEMPLATE_SPHERE&lt;&gt;"TKO"," регулируемой","")&amp;" организации"&amp;" в сети «Интернет». В случае отсутствия официального сайта"&amp;IF(TEMPLATE_SPHERE&lt;&gt;"TKO"," регулируемой","")&amp;" организации в сети «Интернет» указывается «Отсутствует»."</f>
        <v>Указывается адрес официального сайта регулируемой организации в сети «Интернет». В случае отсутствия официального сайта регулируемой организации в сети «Интернет» указывается «Отсутствует».</v>
      </c>
      <c r="H43" s="410"/>
      <c r="J43" s="390">
        <v>26</v>
      </c>
    </row>
    <row r="44" spans="1:10" ht="23.25" customHeight="1">
      <c r="A44" s="392"/>
      <c r="B44" s="437"/>
      <c r="C44" s="392"/>
      <c r="D44" s="375">
        <f>D43+1</f>
        <v>11</v>
      </c>
      <c r="E44" s="373" t="str">
        <f>"Адрес электронной почты "&amp;IF(TEMPLATE_SPHERE="TKO","","регулируемой ")&amp;"организации"&amp;IF(TEMPLATE_SPHERE="HEAT",", ЕТО, ТО",IF(TEMPLATE_SPHERE="TKO"," (индивидуального предпринимателя)",""))</f>
        <v>Адрес электронной почты регулируемой организации, ЕТО, ТО</v>
      </c>
      <c r="F44" s="313"/>
      <c r="G44" s="409" t="s">
        <v>339</v>
      </c>
      <c r="H44" s="410"/>
      <c r="J44" s="390">
        <v>22</v>
      </c>
    </row>
    <row r="45" spans="1:10" ht="23.25" customHeight="1">
      <c r="A45" s="392"/>
      <c r="B45" s="437"/>
      <c r="C45" s="392"/>
      <c r="D45" s="375">
        <f>D44+1</f>
        <v>12</v>
      </c>
      <c r="E45" s="373" t="s">
        <v>340</v>
      </c>
      <c r="F45" s="378" t="s">
        <v>305</v>
      </c>
      <c r="G45" s="372" t="str">
        <f>IF(TEMPLATE_SPHERE="TKO","Указывается режим работы организации.","")</f>
        <v/>
      </c>
      <c r="H45" s="410"/>
      <c r="J45" s="390">
        <v>22</v>
      </c>
    </row>
    <row r="46" spans="1:10" ht="24" customHeight="1">
      <c r="A46" s="392"/>
      <c r="B46" s="437"/>
      <c r="C46" s="392"/>
      <c r="D46" s="375" t="str">
        <f>D45&amp;".1"</f>
        <v>12.1</v>
      </c>
      <c r="E46" s="377" t="str">
        <f>"режим работы регулируемой организации"&amp;IF(TEMPLATE_SPHERE="HEAT",", ЕТО, ТО","")</f>
        <v>режим работы регулируемой организации, ЕТО, ТО</v>
      </c>
      <c r="F46" s="1609"/>
      <c r="G46" s="372" t="s">
        <v>341</v>
      </c>
      <c r="H46" s="410"/>
      <c r="J46" s="390">
        <v>23</v>
      </c>
    </row>
    <row r="47" spans="1:10" ht="24" customHeight="1">
      <c r="A47" s="2138"/>
      <c r="B47" s="437"/>
      <c r="C47" s="427"/>
      <c r="D47" s="375" t="str">
        <f>D45&amp;".2"</f>
        <v>12.2</v>
      </c>
      <c r="E47" s="377" t="s">
        <v>342</v>
      </c>
      <c r="F47" s="425"/>
      <c r="G47" s="372" t="s">
        <v>343</v>
      </c>
      <c r="H47" s="410"/>
      <c r="J47" s="390">
        <v>23</v>
      </c>
    </row>
    <row r="48" spans="1:10" ht="24" customHeight="1">
      <c r="A48" s="2138"/>
      <c r="B48" s="437"/>
      <c r="C48" s="427"/>
      <c r="D48" s="375" t="str">
        <f>D45&amp;".3"</f>
        <v>12.3</v>
      </c>
      <c r="E48" s="377" t="s">
        <v>344</v>
      </c>
      <c r="F48" s="425"/>
      <c r="G48" s="372" t="s">
        <v>345</v>
      </c>
      <c r="H48" s="410"/>
      <c r="J48" s="390">
        <v>23</v>
      </c>
    </row>
    <row r="49" spans="1:10" ht="24" customHeight="1">
      <c r="A49" s="2138"/>
      <c r="B49" s="437"/>
      <c r="C49" s="427"/>
      <c r="D49" s="375" t="str">
        <f>IF(TEMPLATE_SPHERE="TKO",D45&amp;".0",D45&amp;".4")</f>
        <v>12.4</v>
      </c>
      <c r="E49" s="371" t="s">
        <v>346</v>
      </c>
      <c r="F49" s="1610"/>
      <c r="G49" s="1687" t="s">
        <v>347</v>
      </c>
      <c r="H49" s="410"/>
      <c r="J49" s="390">
        <v>23</v>
      </c>
    </row>
    <row r="50" spans="1:10" ht="24" customHeight="1">
      <c r="A50" s="392"/>
      <c r="B50" s="437"/>
      <c r="C50" s="392"/>
      <c r="D50" s="402"/>
      <c r="E50" s="350" t="s">
        <v>348</v>
      </c>
      <c r="F50" s="403"/>
      <c r="G50" s="1687" t="s">
        <v>349</v>
      </c>
      <c r="H50" s="411"/>
      <c r="J50" s="390">
        <v>23</v>
      </c>
    </row>
    <row r="51" spans="1:10" ht="24" customHeight="1">
      <c r="A51" s="787"/>
      <c r="B51" s="437"/>
      <c r="C51" s="427"/>
      <c r="D51" s="375">
        <f>D45+1</f>
        <v>13</v>
      </c>
      <c r="E51" s="463" t="s">
        <v>350</v>
      </c>
      <c r="F51" s="425"/>
      <c r="G51" s="1614" t="str">
        <f>"Указывается наличие «да» или отсутствие «нет» утвержденной в установленном порядке инвестиционной программы"&amp;IF(TEMPLATE_SPHERE="HEAT","В соответствии с пунктом 1(1) Правил согласования и утверждения инвестиционных программ организаций, осуществляющих регулируемые виды деятельности в сфере теплоснабжения, "&amp;"а также требований к составу и содержанию таких программ (за исключением таких программ, утверждаемых "&amp;"в соответствии с законодательством российской федерации об электроэнергетике), утвержденных постановлением Правительства Российской Федерации от 05.05.2014 № 410, "&amp;"в ценовых зонах теплоснабжения инвестиционная программа в отношении деятельности по подключению (технологическому присоединению) к системе теплоснабжения не разрабатывается и не утверждается.","")</f>
        <v>Указывается наличие «да» или отсутствие «нет» утвержденной в установленном порядке инвестиционной программыВ соответствии с пунктом 1(1) Правил согласования и утверждения инвестиционных программ организаций, осуществляющих регулируемые виды деятельности в сфере теплоснабжения, а также требований к составу и содержанию таких программ (за исключением таких программ, утверждаемых в соответствии с законодательством российской федерации об электроэнергетике), утвержденных постановлением Правительства Российской Федерации от 05.05.2014 № 410, в ценовых зонах теплоснабжения инвестиционная программа в отношении деятельности по подключению (технологическому присоединению) к системе теплоснабжения не разрабатывается и не утверждается.</v>
      </c>
      <c r="H51" s="410"/>
      <c r="J51" s="390">
        <v>23</v>
      </c>
    </row>
    <row r="52" spans="1:10" ht="11.45" customHeight="1">
      <c r="A52" s="392"/>
      <c r="B52" s="437"/>
      <c r="C52" s="392"/>
      <c r="J52" s="390">
        <v>11</v>
      </c>
    </row>
    <row r="53" spans="1:10" s="395" customFormat="1" ht="31.5" customHeight="1">
      <c r="A53" s="1612"/>
      <c r="B53" s="438"/>
      <c r="C53" s="2139"/>
      <c r="D53" s="2142" t="str">
        <f>"В случае если регулируемая организация"&amp;IF(TEMPLATE_SPHERE="HEAT",", единая теплоснабжающая организация в ценовых зонах теплоснабжения, теплоснабжающая организация в ценовых зонах теплоснабжения и теплосетевая организация в ценовых зонах теплоснабжения","")&amp;" осуществляет несколько видов деятельности в сфере "&amp;TEMPLATE_SPHERE_RUS&amp;", информация о которых подлежит раскрытию в соответствии со Стандартами раскрытия информации в сфере "&amp;IF(TEMPLATE_SPHERE="HEAT","теплоснабжения","водоснабжения и водоотведения")&amp;", утвержденными постановлением Правительства Российской Федерации от 26.01.2023 № "&amp;IF(TEMPLATE_SPHERE="HEAT","110",IF(TEMPLATE_SPHERE="TKO","109 ""Об утверждении стандартов раскрытия информации в области обращения с твердыми коммунальными отходами""","108"))&amp;", информация по каждому виду деятельности раскрывается отдельно."</f>
        <v>В случае если регулируемая организация, единая теплоснабжающая организация в ценовых зонах теплоснабжения, теплоснабжающая организация в ценовых зонах теплоснабжения и теплосетевая организация в ценовых зонах теплоснабжения осуществляет несколько видов деятельности в сфере теплоснабжения, информация о которых подлежит раскрытию в соответствии со Стандартами раскрытия информации в сфере теплоснабжения, утвержденными постановлением Правительства Российской Федерации от 26.01.2023 № 110, информация по каждому виду деятельности раскрывается отдельно.</v>
      </c>
      <c r="E53" s="2142"/>
      <c r="F53" s="2142"/>
      <c r="G53" s="2142"/>
      <c r="H53" s="389"/>
      <c r="I53" s="389"/>
      <c r="J53" s="395">
        <v>30</v>
      </c>
    </row>
    <row r="54" spans="1:10" s="395" customFormat="1" ht="42" customHeight="1">
      <c r="A54" s="392"/>
      <c r="B54" s="437"/>
      <c r="C54" s="2139"/>
      <c r="D54" s="2142" t="str">
        <f>IF(ORG_INFO_P_NOTE_MAIN=0,"",ORG_INFO_P_NOTE_MAIN)</f>
        <v>В случае если регулируемыми организациями, единой теплоснабжающей организацией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 оказываются услуги по теплоснабжению по нескольким технологически не связанным между собой централизованным системам теплоснабжения, и если в отношении указанных систем устанавливаются различные тарифы в сфере теплоснабжения, то информация раскрывается отдельно по каждой централизованной системе теплоснабжения.</v>
      </c>
      <c r="E54" s="2142"/>
      <c r="F54" s="2142"/>
      <c r="G54" s="2142"/>
      <c r="J54" s="395">
        <v>40</v>
      </c>
    </row>
    <row r="55" spans="1:10" ht="11.45" customHeight="1">
      <c r="D55" s="393"/>
      <c r="E55" s="394"/>
      <c r="F55" s="394"/>
      <c r="G55" s="394"/>
      <c r="J55" s="390">
        <v>11</v>
      </c>
    </row>
    <row r="56" spans="1:10" ht="28.5" customHeight="1">
      <c r="D56" s="396"/>
      <c r="E56" s="393"/>
      <c r="F56" s="405"/>
      <c r="G56" s="405"/>
      <c r="J56" s="390">
        <v>27</v>
      </c>
    </row>
    <row r="57" spans="1:10" ht="11.45" customHeight="1">
      <c r="D57" s="393"/>
      <c r="E57" s="393"/>
      <c r="F57" s="394"/>
      <c r="G57" s="394"/>
      <c r="J57" s="390">
        <v>11</v>
      </c>
    </row>
    <row r="58" spans="1:10" ht="40.9" customHeight="1">
      <c r="D58" s="397"/>
      <c r="E58" s="406"/>
      <c r="F58" s="406"/>
      <c r="G58" s="406"/>
      <c r="J58" s="390">
        <v>39</v>
      </c>
    </row>
    <row r="59" spans="1:10" ht="28.5" customHeight="1">
      <c r="D59" s="397"/>
      <c r="E59" s="406"/>
      <c r="F59" s="406"/>
      <c r="G59" s="406"/>
      <c r="J59" s="390">
        <v>27</v>
      </c>
    </row>
    <row r="60" spans="1:10" ht="11.25" hidden="1" customHeight="1">
      <c r="A60" s="1611" t="s">
        <v>82</v>
      </c>
      <c r="B60" s="436">
        <v>0</v>
      </c>
      <c r="C60" s="390">
        <v>3</v>
      </c>
      <c r="D60" s="391">
        <v>6</v>
      </c>
      <c r="E60" s="390">
        <v>52</v>
      </c>
      <c r="F60" s="390">
        <v>48</v>
      </c>
      <c r="G60" s="390">
        <v>121</v>
      </c>
      <c r="H60" s="390">
        <v>8</v>
      </c>
      <c r="I60" s="390">
        <v>64</v>
      </c>
      <c r="J60" s="390">
        <v>11</v>
      </c>
    </row>
  </sheetData>
  <sheetProtection formatColumns="0" formatRows="0" insertRows="0" deleteColumns="0" deleteRows="0" sort="0" autoFilter="0"/>
  <mergeCells count="12">
    <mergeCell ref="D4:F4"/>
    <mergeCell ref="A47:A49"/>
    <mergeCell ref="C53:C54"/>
    <mergeCell ref="D8:F8"/>
    <mergeCell ref="D53:G53"/>
    <mergeCell ref="D54:G54"/>
    <mergeCell ref="E7:F7"/>
    <mergeCell ref="G8:G9"/>
    <mergeCell ref="D5:F5"/>
    <mergeCell ref="G39:G42"/>
    <mergeCell ref="A19:A23"/>
    <mergeCell ref="C19:C23"/>
  </mergeCells>
  <dataValidations count="3">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F51 F46:F49">
      <formula1>"a"</formula1>
    </dataValidation>
    <dataValidation type="textLength" operator="lessThanOrEqual" allowBlank="1" showInputMessage="1" showErrorMessage="1" errorTitle="Ошибка" error="Допускается ввод не более 900 символов!" sqref="F13 F43:F44 F27:F32 F16 E40:F41 F18 F20 F34:F38 F22:F23">
      <formula1>900</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F21 F17"/>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3" tint="0.59999389629810485"/>
  </sheetPr>
  <dimension ref="A1:AT18"/>
  <sheetViews>
    <sheetView showGridLines="0" zoomScale="90" workbookViewId="0">
      <pane xSplit="5" ySplit="11" topLeftCell="F12" activePane="bottomRight" state="frozen"/>
      <selection pane="topRight" activeCell="F1" sqref="F1"/>
      <selection pane="bottomLeft" activeCell="A12" sqref="A12"/>
      <selection pane="bottomRight"/>
    </sheetView>
  </sheetViews>
  <sheetFormatPr defaultColWidth="10.5703125" defaultRowHeight="14.25" customHeight="1"/>
  <cols>
    <col min="1" max="1" width="9.140625" style="1557" hidden="1" customWidth="1"/>
    <col min="2" max="2" width="9.140625" style="1560" hidden="1" customWidth="1"/>
    <col min="3" max="3" width="3" style="1766" customWidth="1"/>
    <col min="4" max="4" width="5" style="1560" customWidth="1"/>
    <col min="5" max="5" width="48" style="1560" customWidth="1"/>
    <col min="6" max="6" width="38" style="1560" customWidth="1"/>
    <col min="7" max="7" width="1.7109375" style="1560" hidden="1" customWidth="1"/>
    <col min="8" max="11" width="19.85546875" style="1560" customWidth="1"/>
    <col min="12" max="12" width="9.7109375" style="1560" customWidth="1"/>
    <col min="13" max="18" width="19.85546875" style="1560" customWidth="1"/>
    <col min="19" max="19" width="1.7109375" style="1560" hidden="1" customWidth="1"/>
    <col min="20" max="22" width="19.85546875" style="1560" hidden="1" customWidth="1"/>
    <col min="23" max="23" width="1.7109375" style="1560" hidden="1" customWidth="1"/>
    <col min="24" max="26" width="19.85546875" style="1560" hidden="1" customWidth="1"/>
    <col min="27" max="27" width="1.7109375" style="1560" hidden="1" customWidth="1"/>
    <col min="28" max="29" width="19.85546875" style="1560" hidden="1" customWidth="1"/>
    <col min="30" max="30" width="1.7109375" style="1560" hidden="1" customWidth="1"/>
    <col min="31" max="31" width="103.7109375" style="1560" customWidth="1"/>
    <col min="32" max="34" width="103.7109375" style="1560" hidden="1" customWidth="1"/>
    <col min="35" max="35" width="3" style="1744" customWidth="1"/>
    <col min="36" max="38" width="10" style="1567" customWidth="1"/>
    <col min="39" max="39" width="13.7109375" style="1567" hidden="1" customWidth="1"/>
    <col min="40" max="40" width="15" style="1567" customWidth="1"/>
    <col min="41" max="41" width="16" style="1567" customWidth="1"/>
    <col min="42" max="45" width="10" style="1567" customWidth="1"/>
    <col min="46" max="46" width="10.5703125" style="1560" hidden="1"/>
  </cols>
  <sheetData>
    <row r="1" spans="1:46" ht="22.5" hidden="1" customHeight="1">
      <c r="E1" s="347"/>
      <c r="F1" s="347"/>
      <c r="G1" s="347"/>
      <c r="H1" s="2153" t="s">
        <v>351</v>
      </c>
      <c r="I1" s="2153"/>
      <c r="J1" s="2153"/>
      <c r="K1" s="2153"/>
      <c r="L1" s="2153"/>
      <c r="M1" s="2153"/>
      <c r="N1" s="2153"/>
      <c r="O1" s="2153"/>
      <c r="P1" s="2153"/>
      <c r="Q1" s="2153"/>
      <c r="R1" s="2153"/>
      <c r="T1" s="2153" t="s">
        <v>352</v>
      </c>
      <c r="U1" s="2153"/>
      <c r="V1" s="2153"/>
      <c r="X1" s="2153" t="s">
        <v>353</v>
      </c>
      <c r="Y1" s="2153"/>
      <c r="Z1" s="2153"/>
      <c r="AB1" s="2153" t="s">
        <v>354</v>
      </c>
      <c r="AC1" s="2153"/>
      <c r="AT1" s="382" t="s">
        <v>14</v>
      </c>
    </row>
    <row r="2" spans="1:46" ht="14.25" hidden="1" customHeight="1">
      <c r="AT2" s="382">
        <v>0</v>
      </c>
    </row>
    <row r="3" spans="1:46" s="1538" customFormat="1" ht="5.25" customHeight="1">
      <c r="C3" s="636"/>
      <c r="D3" s="637"/>
      <c r="E3" s="637"/>
      <c r="F3" s="637"/>
      <c r="G3" s="637"/>
      <c r="H3" s="637" t="s">
        <v>355</v>
      </c>
      <c r="I3" s="637"/>
      <c r="J3" s="637"/>
      <c r="K3" s="637"/>
      <c r="L3" s="637"/>
      <c r="M3" s="637"/>
      <c r="N3" s="637"/>
      <c r="O3" s="637"/>
      <c r="P3" s="637"/>
      <c r="Q3" s="637"/>
      <c r="R3" s="637"/>
      <c r="S3" s="637"/>
      <c r="T3" s="637"/>
      <c r="U3" s="637"/>
      <c r="V3" s="637"/>
      <c r="W3" s="637"/>
      <c r="X3" s="637"/>
      <c r="Y3" s="637"/>
      <c r="Z3" s="637"/>
      <c r="AA3" s="637"/>
      <c r="AB3" s="637"/>
      <c r="AC3" s="637"/>
      <c r="AD3" s="637"/>
      <c r="AE3" s="637"/>
      <c r="AF3" s="637"/>
      <c r="AG3" s="637"/>
      <c r="AH3" s="637"/>
      <c r="AJ3" s="446"/>
      <c r="AK3" s="446"/>
      <c r="AL3" s="446"/>
      <c r="AM3" s="446"/>
      <c r="AN3" s="446"/>
      <c r="AO3" s="446"/>
      <c r="AP3" s="446"/>
      <c r="AQ3" s="446"/>
      <c r="AR3" s="446"/>
      <c r="AS3" s="446"/>
      <c r="AT3" s="635">
        <v>5</v>
      </c>
    </row>
    <row r="4" spans="1:46" ht="39.75" customHeight="1">
      <c r="C4" s="385"/>
      <c r="D4" s="2096" t="str">
        <f>ORG_VD_NAME_FORM</f>
        <v>Форма 2. Общая информация об объектах теплоснабжения регулируемой организации, единой теплоснабжающей организации в ценовых зонах теплоснабжения, теплоснабжающей организации в ценовых зонах теплоснабжения и теплосетевой организации в ценовых зонах теплоснабжения</v>
      </c>
      <c r="E4" s="2097"/>
      <c r="F4" s="2097"/>
      <c r="G4" s="2097"/>
      <c r="H4" s="2097"/>
      <c r="I4" s="2097"/>
      <c r="J4" s="2097"/>
      <c r="K4" s="2097"/>
      <c r="L4" s="2097"/>
      <c r="M4" s="2097"/>
      <c r="N4" s="2097"/>
      <c r="O4" s="2097"/>
      <c r="P4" s="2097"/>
      <c r="Q4" s="2097"/>
      <c r="R4" s="2098"/>
      <c r="S4" s="782"/>
      <c r="T4" s="634"/>
      <c r="U4" s="634"/>
      <c r="V4" s="634"/>
      <c r="W4" s="634"/>
      <c r="X4" s="634"/>
      <c r="Y4" s="634"/>
      <c r="Z4" s="634"/>
      <c r="AA4" s="634"/>
      <c r="AB4" s="634"/>
      <c r="AC4" s="634"/>
      <c r="AD4" s="634"/>
      <c r="AE4" s="426"/>
      <c r="AF4" s="426"/>
      <c r="AG4" s="426"/>
      <c r="AH4" s="426"/>
      <c r="AI4" s="423"/>
      <c r="AT4" s="382">
        <v>38</v>
      </c>
    </row>
    <row r="5" spans="1:46" s="1560" customFormat="1" ht="18" customHeight="1">
      <c r="A5" s="692"/>
      <c r="C5" s="751"/>
      <c r="D5" s="2150" t="str">
        <f>IF(org=0,"Не определено",org)</f>
        <v>ООО "ЗЕНИТ ЭНЕРГО"</v>
      </c>
      <c r="E5" s="2151"/>
      <c r="F5" s="2151"/>
      <c r="G5" s="2151"/>
      <c r="H5" s="2151"/>
      <c r="I5" s="2151"/>
      <c r="J5" s="2151"/>
      <c r="K5" s="2151"/>
      <c r="L5" s="2151"/>
      <c r="M5" s="2151"/>
      <c r="N5" s="2151"/>
      <c r="O5" s="2151"/>
      <c r="P5" s="2151"/>
      <c r="Q5" s="2151"/>
      <c r="R5" s="2152"/>
      <c r="S5" s="782"/>
      <c r="T5" s="634"/>
      <c r="U5" s="634"/>
      <c r="V5" s="634"/>
      <c r="W5" s="634"/>
      <c r="X5" s="634"/>
      <c r="Y5" s="634"/>
      <c r="Z5" s="634"/>
      <c r="AA5" s="634"/>
      <c r="AB5" s="634"/>
      <c r="AC5" s="634"/>
      <c r="AD5" s="634"/>
      <c r="AE5" s="426"/>
      <c r="AF5" s="426"/>
      <c r="AG5" s="426"/>
      <c r="AH5" s="426"/>
      <c r="AI5" s="423"/>
      <c r="AJ5" s="446"/>
      <c r="AK5" s="446"/>
      <c r="AL5" s="446"/>
      <c r="AM5" s="446"/>
      <c r="AN5" s="446"/>
      <c r="AO5" s="446"/>
      <c r="AP5" s="446"/>
      <c r="AQ5" s="446"/>
      <c r="AR5" s="446"/>
      <c r="AS5" s="446"/>
      <c r="AT5" s="691">
        <v>17</v>
      </c>
    </row>
    <row r="6" spans="1:46" s="1537" customFormat="1" ht="11.45" customHeight="1">
      <c r="A6" s="414"/>
      <c r="C6" s="421"/>
      <c r="D6" s="420"/>
      <c r="E6" s="420"/>
      <c r="F6" s="420"/>
      <c r="G6" s="420"/>
      <c r="H6" s="420"/>
      <c r="I6" s="420"/>
      <c r="J6" s="420"/>
      <c r="K6" s="420"/>
      <c r="L6" s="420"/>
      <c r="M6" s="420"/>
      <c r="N6" s="420"/>
      <c r="O6" s="420"/>
      <c r="P6" s="420"/>
      <c r="Q6" s="420"/>
      <c r="R6" s="687"/>
      <c r="S6" s="687"/>
      <c r="T6" s="420"/>
      <c r="U6" s="420"/>
      <c r="V6" s="647"/>
      <c r="W6" s="647"/>
      <c r="X6" s="420"/>
      <c r="Y6" s="420"/>
      <c r="Z6" s="647"/>
      <c r="AA6" s="647"/>
      <c r="AB6" s="420"/>
      <c r="AC6" s="647"/>
      <c r="AD6" s="647"/>
      <c r="AE6" s="420"/>
      <c r="AF6" s="420"/>
      <c r="AG6" s="420"/>
      <c r="AH6" s="420"/>
      <c r="AJ6" s="424"/>
      <c r="AK6" s="424"/>
      <c r="AL6" s="424"/>
      <c r="AM6" s="424"/>
      <c r="AN6" s="424"/>
      <c r="AO6" s="424"/>
      <c r="AP6" s="424"/>
      <c r="AQ6" s="424"/>
      <c r="AR6" s="424"/>
      <c r="AS6" s="424"/>
      <c r="AT6" s="415">
        <v>11</v>
      </c>
    </row>
    <row r="7" spans="1:46" ht="14.65" customHeight="1">
      <c r="C7" s="385"/>
      <c r="D7" s="2154" t="s">
        <v>299</v>
      </c>
      <c r="E7" s="2155"/>
      <c r="F7" s="2155"/>
      <c r="G7" s="2155"/>
      <c r="H7" s="2155"/>
      <c r="I7" s="2155"/>
      <c r="J7" s="2155"/>
      <c r="K7" s="2155"/>
      <c r="L7" s="2155"/>
      <c r="M7" s="2155"/>
      <c r="N7" s="2155"/>
      <c r="O7" s="2155"/>
      <c r="P7" s="2155"/>
      <c r="Q7" s="2155"/>
      <c r="R7" s="2155"/>
      <c r="S7" s="2155"/>
      <c r="T7" s="2155"/>
      <c r="U7" s="2155"/>
      <c r="V7" s="2155"/>
      <c r="W7" s="2155"/>
      <c r="X7" s="2155"/>
      <c r="Y7" s="2155"/>
      <c r="Z7" s="2155"/>
      <c r="AA7" s="2155"/>
      <c r="AB7" s="2155"/>
      <c r="AC7" s="2155"/>
      <c r="AD7" s="2156"/>
      <c r="AE7" s="2094" t="s">
        <v>300</v>
      </c>
      <c r="AF7" s="2094" t="s">
        <v>300</v>
      </c>
      <c r="AG7" s="2094" t="s">
        <v>300</v>
      </c>
      <c r="AH7" s="2094" t="s">
        <v>300</v>
      </c>
      <c r="AT7" s="382">
        <v>14</v>
      </c>
    </row>
    <row r="8" spans="1:46" ht="27.4" customHeight="1">
      <c r="C8" s="385"/>
      <c r="D8" s="2066" t="s">
        <v>88</v>
      </c>
      <c r="E8" s="2094" t="str">
        <f>"Наименование "&amp;IF(TEMPLATE_SPHERE&lt;&gt;"HEAT","централизованной ","")&amp;"системы "&amp;TEMPLATE_SPHERE_RUS</f>
        <v>Наименование системы теплоснабжения</v>
      </c>
      <c r="F8" s="2094" t="str">
        <f>IF(TEMPLATE_SPHERE&lt;&gt;"HEAT","Регулируемый вид деятельности","Вид регулируемой деятельности")</f>
        <v>Вид регулируемой деятельности</v>
      </c>
      <c r="G8" s="757"/>
      <c r="H8" s="2159" t="s">
        <v>356</v>
      </c>
      <c r="I8" s="2161" t="s">
        <v>357</v>
      </c>
      <c r="J8" s="2094" t="s">
        <v>358</v>
      </c>
      <c r="K8" s="2094"/>
      <c r="L8" s="2094"/>
      <c r="M8" s="2154"/>
      <c r="N8" s="2094" t="s">
        <v>359</v>
      </c>
      <c r="O8" s="2094"/>
      <c r="P8" s="2094" t="s">
        <v>360</v>
      </c>
      <c r="Q8" s="2094"/>
      <c r="R8" s="2163" t="s">
        <v>361</v>
      </c>
      <c r="S8" s="753"/>
      <c r="T8" s="2159" t="s">
        <v>362</v>
      </c>
      <c r="U8" s="2159" t="s">
        <v>363</v>
      </c>
      <c r="V8" s="2159" t="s">
        <v>364</v>
      </c>
      <c r="W8" s="755"/>
      <c r="X8" s="2159" t="s">
        <v>365</v>
      </c>
      <c r="Y8" s="2159" t="s">
        <v>366</v>
      </c>
      <c r="Z8" s="2159" t="s">
        <v>367</v>
      </c>
      <c r="AA8" s="755"/>
      <c r="AB8" s="2159" t="s">
        <v>368</v>
      </c>
      <c r="AC8" s="2159" t="s">
        <v>361</v>
      </c>
      <c r="AD8" s="755"/>
      <c r="AE8" s="2094"/>
      <c r="AF8" s="2094"/>
      <c r="AG8" s="2094"/>
      <c r="AH8" s="2094"/>
      <c r="AT8" s="382">
        <v>26</v>
      </c>
    </row>
    <row r="9" spans="1:46" ht="46.15" customHeight="1">
      <c r="C9" s="385"/>
      <c r="D9" s="2066"/>
      <c r="E9" s="2094"/>
      <c r="F9" s="2094"/>
      <c r="G9" s="758"/>
      <c r="H9" s="2160"/>
      <c r="I9" s="2162"/>
      <c r="J9" s="360" t="s">
        <v>369</v>
      </c>
      <c r="K9" s="360" t="s">
        <v>370</v>
      </c>
      <c r="L9" s="360" t="s">
        <v>371</v>
      </c>
      <c r="M9" s="366" t="s">
        <v>372</v>
      </c>
      <c r="N9" s="360" t="s">
        <v>373</v>
      </c>
      <c r="O9" s="360" t="s">
        <v>372</v>
      </c>
      <c r="P9" s="360" t="s">
        <v>374</v>
      </c>
      <c r="Q9" s="360" t="s">
        <v>372</v>
      </c>
      <c r="R9" s="2164"/>
      <c r="S9" s="754"/>
      <c r="T9" s="2160"/>
      <c r="U9" s="2160"/>
      <c r="V9" s="2160"/>
      <c r="W9" s="756"/>
      <c r="X9" s="2160"/>
      <c r="Y9" s="2160"/>
      <c r="Z9" s="2160"/>
      <c r="AA9" s="756"/>
      <c r="AB9" s="2160"/>
      <c r="AC9" s="2160"/>
      <c r="AD9" s="756"/>
      <c r="AE9" s="2094"/>
      <c r="AF9" s="2094"/>
      <c r="AG9" s="2094"/>
      <c r="AH9" s="2094"/>
      <c r="AT9" s="382">
        <v>44</v>
      </c>
    </row>
    <row r="10" spans="1:46" ht="12" hidden="1" customHeight="1">
      <c r="C10" s="422"/>
      <c r="D10" s="383"/>
      <c r="E10" s="383"/>
      <c r="F10" s="383"/>
      <c r="G10" s="383"/>
      <c r="H10" s="383"/>
      <c r="I10" s="383"/>
      <c r="J10" s="383"/>
      <c r="K10" s="383"/>
      <c r="L10" s="383"/>
      <c r="M10" s="383"/>
      <c r="N10" s="383"/>
      <c r="O10" s="383"/>
      <c r="P10" s="383"/>
      <c r="Q10" s="383"/>
      <c r="R10" s="383"/>
      <c r="S10" s="383"/>
      <c r="T10" s="383"/>
      <c r="U10" s="383"/>
      <c r="V10" s="383"/>
      <c r="W10" s="383"/>
      <c r="X10" s="383"/>
      <c r="Y10" s="383"/>
      <c r="Z10" s="383"/>
      <c r="AA10" s="383"/>
      <c r="AB10" s="383"/>
      <c r="AC10" s="383"/>
      <c r="AD10" s="383"/>
      <c r="AE10" s="383"/>
      <c r="AF10" s="383"/>
      <c r="AG10" s="383"/>
      <c r="AH10" s="383"/>
      <c r="AI10" s="382"/>
      <c r="AP10" s="435"/>
      <c r="AQ10" s="435"/>
      <c r="AT10" s="382">
        <v>0</v>
      </c>
    </row>
    <row r="11" spans="1:46" s="1566" customFormat="1" ht="11.25" hidden="1" customHeight="1">
      <c r="C11" s="433"/>
      <c r="D11" s="434" t="s">
        <v>375</v>
      </c>
      <c r="E11" s="434"/>
      <c r="F11" s="434"/>
      <c r="G11" s="434"/>
      <c r="H11" s="432"/>
      <c r="I11" s="432"/>
      <c r="J11" s="432"/>
      <c r="K11" s="432"/>
      <c r="L11" s="432"/>
      <c r="M11" s="432"/>
      <c r="N11" s="432"/>
      <c r="O11" s="432"/>
      <c r="P11" s="432"/>
      <c r="Q11" s="432"/>
      <c r="R11" s="432"/>
      <c r="S11" s="432"/>
      <c r="T11" s="432"/>
      <c r="U11" s="432"/>
      <c r="V11" s="432"/>
      <c r="W11" s="432"/>
      <c r="X11" s="432"/>
      <c r="Y11" s="432"/>
      <c r="Z11" s="432"/>
      <c r="AA11" s="432"/>
      <c r="AB11" s="432"/>
      <c r="AC11" s="432"/>
      <c r="AD11" s="432"/>
      <c r="AE11" s="370"/>
      <c r="AF11" s="370"/>
      <c r="AG11" s="370"/>
      <c r="AH11" s="370"/>
      <c r="AJ11" s="424"/>
      <c r="AK11" s="424"/>
      <c r="AL11" s="424"/>
      <c r="AM11" s="424"/>
      <c r="AN11" s="424"/>
      <c r="AO11" s="424"/>
      <c r="AP11" s="424"/>
      <c r="AQ11" s="424"/>
      <c r="AR11" s="424"/>
      <c r="AS11" s="424"/>
      <c r="AT11" s="431">
        <v>0</v>
      </c>
    </row>
    <row r="12" spans="1:46" ht="14.65" customHeight="1">
      <c r="A12" s="382"/>
      <c r="C12" s="385"/>
      <c r="D12" s="369" t="s">
        <v>109</v>
      </c>
      <c r="E12" s="1702" t="s">
        <v>22</v>
      </c>
      <c r="F12" s="784"/>
      <c r="G12" s="785"/>
      <c r="H12" s="1703"/>
      <c r="I12" s="1703"/>
      <c r="J12" s="368"/>
      <c r="K12" s="1787"/>
      <c r="L12" s="367"/>
      <c r="M12" s="1787"/>
      <c r="N12" s="368"/>
      <c r="O12" s="1787"/>
      <c r="P12" s="368"/>
      <c r="Q12" s="1787"/>
      <c r="R12" s="368"/>
      <c r="S12" s="783"/>
      <c r="T12" s="1703"/>
      <c r="U12" s="368"/>
      <c r="V12" s="368"/>
      <c r="W12" s="756"/>
      <c r="X12" s="1703"/>
      <c r="Y12" s="368"/>
      <c r="Z12" s="368"/>
      <c r="AA12" s="756"/>
      <c r="AB12" s="1703"/>
      <c r="AC12" s="368"/>
      <c r="AD12" s="756"/>
      <c r="AE12" s="2157" t="s">
        <v>376</v>
      </c>
      <c r="AF12" s="2157" t="s">
        <v>377</v>
      </c>
      <c r="AG12" s="2157" t="s">
        <v>378</v>
      </c>
      <c r="AH12" s="2157" t="s">
        <v>379</v>
      </c>
      <c r="AI12" s="382"/>
      <c r="AM12" s="446"/>
      <c r="AP12" s="435" t="s">
        <v>380</v>
      </c>
      <c r="AQ12" s="435" t="s">
        <v>380</v>
      </c>
      <c r="AT12" s="382">
        <v>14</v>
      </c>
    </row>
    <row r="13" spans="1:46" ht="18" customHeight="1">
      <c r="A13" s="382"/>
      <c r="C13" s="385"/>
      <c r="D13" s="340"/>
      <c r="E13" s="798" t="str">
        <f>IF(TITLE_DIFFERENTIATION_TYPE="нет","","Добавить систему")</f>
        <v/>
      </c>
      <c r="F13" s="798" t="str">
        <f>IF(TITLE_DIFFERENTIATION_TYPE="нет","Добавить вид деятельности","")</f>
        <v>Добавить вид деятельности</v>
      </c>
      <c r="G13" s="249"/>
      <c r="H13" s="341"/>
      <c r="I13" s="341"/>
      <c r="J13" s="341"/>
      <c r="K13" s="341"/>
      <c r="L13" s="341"/>
      <c r="M13" s="341"/>
      <c r="N13" s="341"/>
      <c r="O13" s="341"/>
      <c r="P13" s="341"/>
      <c r="Q13" s="341"/>
      <c r="R13" s="341"/>
      <c r="S13" s="341"/>
      <c r="T13" s="341"/>
      <c r="U13" s="341"/>
      <c r="V13" s="341"/>
      <c r="W13" s="341"/>
      <c r="X13" s="341"/>
      <c r="Y13" s="341"/>
      <c r="Z13" s="341"/>
      <c r="AA13" s="341"/>
      <c r="AB13" s="341"/>
      <c r="AC13" s="341"/>
      <c r="AD13" s="786"/>
      <c r="AE13" s="2158"/>
      <c r="AF13" s="2158"/>
      <c r="AG13" s="2158"/>
      <c r="AH13" s="2158"/>
      <c r="AI13" s="382"/>
      <c r="AT13" s="382">
        <v>17</v>
      </c>
    </row>
    <row r="14" spans="1:46" ht="14.65" customHeight="1">
      <c r="AI14" s="382"/>
      <c r="AT14" s="382">
        <v>14</v>
      </c>
    </row>
    <row r="15" spans="1:46" ht="14.65" customHeight="1">
      <c r="E15" s="691"/>
      <c r="L15" s="691"/>
      <c r="AT15" s="382">
        <v>14</v>
      </c>
    </row>
    <row r="16" spans="1:46" ht="14.65" customHeight="1">
      <c r="L16" s="691"/>
      <c r="AT16" s="382">
        <v>14</v>
      </c>
    </row>
    <row r="17" spans="1:46" ht="14.65" customHeight="1">
      <c r="L17" s="691"/>
      <c r="AT17" s="382">
        <v>14</v>
      </c>
    </row>
    <row r="18" spans="1:46" ht="22.5" hidden="1" customHeight="1">
      <c r="A18" s="384" t="s">
        <v>82</v>
      </c>
      <c r="B18" s="382">
        <v>0</v>
      </c>
      <c r="C18" s="386">
        <v>3</v>
      </c>
      <c r="D18" s="382">
        <v>5</v>
      </c>
      <c r="E18" s="382">
        <v>48</v>
      </c>
      <c r="F18" s="382">
        <v>38</v>
      </c>
      <c r="G18" s="691">
        <v>0</v>
      </c>
      <c r="H18" s="382">
        <v>0</v>
      </c>
      <c r="I18" s="382">
        <v>0</v>
      </c>
      <c r="J18" s="382">
        <v>0</v>
      </c>
      <c r="K18" s="382">
        <v>0</v>
      </c>
      <c r="L18" s="382">
        <v>0</v>
      </c>
      <c r="M18" s="382">
        <v>0</v>
      </c>
      <c r="N18" s="382">
        <v>0</v>
      </c>
      <c r="O18" s="382">
        <v>0</v>
      </c>
      <c r="P18" s="382">
        <v>0</v>
      </c>
      <c r="Q18" s="382">
        <v>0</v>
      </c>
      <c r="R18" s="382">
        <v>0</v>
      </c>
      <c r="S18" s="691">
        <v>0</v>
      </c>
      <c r="T18" s="440">
        <v>0</v>
      </c>
      <c r="U18" s="440">
        <v>0</v>
      </c>
      <c r="V18" s="440">
        <v>0</v>
      </c>
      <c r="W18" s="691">
        <v>0</v>
      </c>
      <c r="X18" s="440">
        <v>0</v>
      </c>
      <c r="Y18" s="440">
        <v>0</v>
      </c>
      <c r="Z18" s="440">
        <v>0</v>
      </c>
      <c r="AA18" s="691">
        <v>0</v>
      </c>
      <c r="AB18" s="440">
        <v>0</v>
      </c>
      <c r="AC18" s="440">
        <v>0</v>
      </c>
      <c r="AD18" s="691">
        <v>0</v>
      </c>
      <c r="AE18" s="382">
        <v>0</v>
      </c>
      <c r="AF18" s="440">
        <v>0</v>
      </c>
      <c r="AG18" s="440">
        <v>0</v>
      </c>
      <c r="AH18" s="440">
        <v>0</v>
      </c>
      <c r="AI18" s="387">
        <v>3</v>
      </c>
      <c r="AJ18" s="424">
        <v>10</v>
      </c>
      <c r="AK18" s="424">
        <v>10</v>
      </c>
      <c r="AL18" s="424">
        <v>10</v>
      </c>
      <c r="AM18" s="424">
        <v>0</v>
      </c>
      <c r="AN18" s="424">
        <v>15</v>
      </c>
      <c r="AO18" s="424">
        <v>16</v>
      </c>
      <c r="AP18" s="424">
        <v>10</v>
      </c>
      <c r="AQ18" s="424">
        <v>10</v>
      </c>
      <c r="AR18" s="424">
        <v>10</v>
      </c>
      <c r="AS18" s="424">
        <v>10</v>
      </c>
      <c r="AT18" s="382">
        <v>23</v>
      </c>
    </row>
  </sheetData>
  <sheetProtection formatColumns="0" formatRows="0" insertRows="0" deleteColumns="0" deleteRows="0" sort="0" autoFilter="0"/>
  <mergeCells count="32">
    <mergeCell ref="J8:M8"/>
    <mergeCell ref="N8:O8"/>
    <mergeCell ref="AB8:AB9"/>
    <mergeCell ref="AC8:AC9"/>
    <mergeCell ref="T8:T9"/>
    <mergeCell ref="U8:U9"/>
    <mergeCell ref="V8:V9"/>
    <mergeCell ref="P8:Q8"/>
    <mergeCell ref="R8:R9"/>
    <mergeCell ref="X8:X9"/>
    <mergeCell ref="Y8:Y9"/>
    <mergeCell ref="Z8:Z9"/>
    <mergeCell ref="D8:D9"/>
    <mergeCell ref="E8:E9"/>
    <mergeCell ref="F8:F9"/>
    <mergeCell ref="H8:H9"/>
    <mergeCell ref="I8:I9"/>
    <mergeCell ref="AE12:AE13"/>
    <mergeCell ref="AG7:AG9"/>
    <mergeCell ref="AG12:AG13"/>
    <mergeCell ref="AH7:AH9"/>
    <mergeCell ref="AH12:AH13"/>
    <mergeCell ref="AF12:AF13"/>
    <mergeCell ref="AF7:AF9"/>
    <mergeCell ref="AE7:AE9"/>
    <mergeCell ref="D5:R5"/>
    <mergeCell ref="H1:R1"/>
    <mergeCell ref="D7:AD7"/>
    <mergeCell ref="X1:Z1"/>
    <mergeCell ref="T1:V1"/>
    <mergeCell ref="AB1:AC1"/>
    <mergeCell ref="D4:R4"/>
  </mergeCells>
  <dataValidations count="6">
    <dataValidation allowBlank="1" showErrorMessage="1" errorTitle="Ошибка" error="Допускается ввод только неотрицательных чисел!" sqref="E11:G11"/>
    <dataValidation type="decimal" allowBlank="1" showErrorMessage="1" errorTitle="Ошибка" error="Допускается ввод только неотрицательных чисел!" sqref="H11:AD11 T12 H12:I12 AB12 X12 K12 M12 O12 Q12">
      <formula1>0</formula1>
      <formula2>9.99999999999999E+23</formula2>
    </dataValidation>
    <dataValidation type="textLength" operator="lessThanOrEqual" allowBlank="1" showInputMessage="1" showErrorMessage="1" errorTitle="Ошибка" error="Допускается ввод не более 900 символов!" sqref="E12">
      <formula1>900</formula1>
    </dataValidation>
    <dataValidation allowBlank="1" showInputMessage="1" showErrorMessage="1" prompt="Выберите один или несколько одновременно видов деятельности, выполнив последовательно по одному щелчку на строке с видом деятельности" sqref="F12"/>
    <dataValidation type="whole" allowBlank="1" showErrorMessage="1" errorTitle="Ошибка" error="Допускается ввод только неотрицательных целых чисел!" sqref="N12 P12 U12:V12 Y12:Z12 J12 R12:S12 AC12">
      <formula1>0</formula1>
      <formula2>9.99999999999999E+23</formula2>
    </dataValidation>
    <dataValidation type="list" allowBlank="1" showInputMessage="1" showErrorMessage="1" errorTitle="Ошибка" error="Выберите значение из списка" prompt="Выберите значение из списка" sqref="L12">
      <formula1>kind_of_power_te_unit</formula1>
    </dataValidation>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3" tint="0.59999389629810485"/>
  </sheetPr>
  <dimension ref="A1:V18"/>
  <sheetViews>
    <sheetView showGridLines="0" zoomScale="90" workbookViewId="0">
      <pane xSplit="4" ySplit="13" topLeftCell="E14" activePane="bottomRight" state="frozen"/>
      <selection pane="topRight" activeCell="E1" sqref="E1"/>
      <selection pane="bottomLeft" activeCell="A14" sqref="A14"/>
      <selection pane="bottomRight"/>
    </sheetView>
  </sheetViews>
  <sheetFormatPr defaultColWidth="10.5703125" defaultRowHeight="14.25" customHeight="1"/>
  <cols>
    <col min="1" max="1" width="9.140625" style="1557" hidden="1" customWidth="1"/>
    <col min="2" max="2" width="9.140625" style="1560" hidden="1" customWidth="1"/>
    <col min="3" max="3" width="3" style="1766" customWidth="1"/>
    <col min="4" max="4" width="5" style="1560" customWidth="1"/>
    <col min="5" max="5" width="38" style="1560" customWidth="1"/>
    <col min="6" max="7" width="3" style="1560" customWidth="1"/>
    <col min="8" max="8" width="38" style="1560" customWidth="1"/>
    <col min="9" max="9" width="35" style="1560" customWidth="1"/>
    <col min="10" max="10" width="103" style="1560" customWidth="1"/>
    <col min="11" max="11" width="3" style="1744" customWidth="1"/>
    <col min="12" max="14" width="10" style="1567" customWidth="1"/>
    <col min="15" max="15" width="13" style="1567" customWidth="1"/>
    <col min="16" max="16" width="15" style="1567" customWidth="1"/>
    <col min="17" max="17" width="16" style="1567" customWidth="1"/>
    <col min="18" max="21" width="10" style="1567" customWidth="1"/>
    <col min="22" max="22" width="10.5703125" style="1560" hidden="1"/>
  </cols>
  <sheetData>
    <row r="1" spans="1:22" ht="22.5" hidden="1" customHeight="1">
      <c r="E1" s="347"/>
      <c r="F1" s="347"/>
      <c r="G1" s="347"/>
      <c r="H1" s="2153" t="s">
        <v>351</v>
      </c>
      <c r="I1" s="2153"/>
      <c r="V1" s="1532" t="s">
        <v>14</v>
      </c>
    </row>
    <row r="2" spans="1:22" s="1560" customFormat="1" ht="14.25" hidden="1" customHeight="1">
      <c r="C2" s="1544"/>
      <c r="D2" s="2166" t="s">
        <v>109</v>
      </c>
      <c r="E2" s="2168"/>
      <c r="F2" s="1550"/>
      <c r="G2" s="1545" t="s">
        <v>109</v>
      </c>
      <c r="H2" s="1548"/>
      <c r="I2" s="1546"/>
      <c r="L2" s="1547"/>
      <c r="M2" s="1547"/>
      <c r="N2" s="1547"/>
      <c r="O2" s="1547" t="s">
        <v>381</v>
      </c>
      <c r="P2" s="1547"/>
      <c r="Q2" s="1547"/>
      <c r="R2" s="1549" t="s">
        <v>380</v>
      </c>
      <c r="S2" s="1549" t="s">
        <v>380</v>
      </c>
      <c r="T2" s="1547"/>
      <c r="U2" s="1547"/>
      <c r="V2" s="1543">
        <v>0</v>
      </c>
    </row>
    <row r="3" spans="1:22" s="1560" customFormat="1" ht="14.25" hidden="1" customHeight="1">
      <c r="C3" s="1544"/>
      <c r="D3" s="2167"/>
      <c r="E3" s="2169"/>
      <c r="F3" s="340"/>
      <c r="G3" s="798"/>
      <c r="H3" s="798" t="s">
        <v>382</v>
      </c>
      <c r="I3" s="249"/>
      <c r="L3" s="1547"/>
      <c r="M3" s="1547"/>
      <c r="N3" s="1547"/>
      <c r="O3" s="1547"/>
      <c r="P3" s="1547"/>
      <c r="Q3" s="1547"/>
      <c r="R3" s="1549"/>
      <c r="S3" s="1549"/>
      <c r="T3" s="1547"/>
      <c r="U3" s="1547"/>
      <c r="V3" s="1543">
        <v>0</v>
      </c>
    </row>
    <row r="4" spans="1:22" ht="14.25" hidden="1" customHeight="1">
      <c r="V4" s="1532">
        <v>0</v>
      </c>
    </row>
    <row r="5" spans="1:22" s="1538" customFormat="1" ht="5.25" customHeight="1">
      <c r="C5" s="636"/>
      <c r="D5" s="637"/>
      <c r="E5" s="637"/>
      <c r="F5" s="637"/>
      <c r="G5" s="637"/>
      <c r="H5" s="637" t="s">
        <v>355</v>
      </c>
      <c r="I5" s="637"/>
      <c r="J5" s="637"/>
      <c r="L5" s="1539"/>
      <c r="M5" s="1539"/>
      <c r="N5" s="1539"/>
      <c r="O5" s="1539"/>
      <c r="P5" s="1539"/>
      <c r="Q5" s="1539"/>
      <c r="R5" s="1539"/>
      <c r="S5" s="1539"/>
      <c r="T5" s="1539"/>
      <c r="U5" s="1539"/>
      <c r="V5" s="1538">
        <v>5</v>
      </c>
    </row>
    <row r="6" spans="1:22" ht="29.25" customHeight="1">
      <c r="C6" s="1441"/>
      <c r="D6" s="2170" t="s">
        <v>383</v>
      </c>
      <c r="E6" s="2170"/>
      <c r="F6" s="2170"/>
      <c r="G6" s="2170"/>
      <c r="H6" s="2170"/>
      <c r="I6" s="2170"/>
      <c r="J6" s="426"/>
      <c r="K6" s="1540"/>
      <c r="V6" s="1532">
        <v>28</v>
      </c>
    </row>
    <row r="7" spans="1:22" ht="18" customHeight="1">
      <c r="C7" s="1441"/>
      <c r="D7" s="2115" t="str">
        <f>IF(org=0,"Не определено",org)</f>
        <v>ООО "ЗЕНИТ ЭНЕРГО"</v>
      </c>
      <c r="E7" s="2115"/>
      <c r="F7" s="2115"/>
      <c r="G7" s="2115"/>
      <c r="H7" s="2115"/>
      <c r="I7" s="2115"/>
      <c r="J7" s="426"/>
      <c r="K7" s="1540"/>
      <c r="V7" s="1532">
        <v>17</v>
      </c>
    </row>
    <row r="8" spans="1:22" s="1537" customFormat="1" ht="5.25" customHeight="1">
      <c r="A8" s="1536"/>
      <c r="C8" s="421"/>
      <c r="D8" s="420"/>
      <c r="E8" s="420"/>
      <c r="F8" s="420"/>
      <c r="G8" s="420"/>
      <c r="H8" s="420"/>
      <c r="I8" s="420"/>
      <c r="J8" s="420"/>
      <c r="L8" s="1539"/>
      <c r="M8" s="1539"/>
      <c r="N8" s="1539"/>
      <c r="O8" s="1539"/>
      <c r="P8" s="1539"/>
      <c r="Q8" s="1539"/>
      <c r="R8" s="1539"/>
      <c r="S8" s="1539"/>
      <c r="T8" s="1539"/>
      <c r="U8" s="1539"/>
      <c r="V8" s="1537">
        <v>5</v>
      </c>
    </row>
    <row r="9" spans="1:22" s="1537" customFormat="1" ht="5.25" customHeight="1">
      <c r="A9" s="1536"/>
      <c r="C9" s="421"/>
      <c r="D9" s="420"/>
      <c r="E9" s="420"/>
      <c r="F9" s="420"/>
      <c r="G9" s="420"/>
      <c r="H9" s="420"/>
      <c r="I9" s="420"/>
      <c r="J9" s="420"/>
      <c r="L9" s="1547"/>
      <c r="M9" s="1547"/>
      <c r="N9" s="1547"/>
      <c r="O9" s="1547"/>
      <c r="P9" s="1547"/>
      <c r="Q9" s="1547"/>
      <c r="R9" s="1547"/>
      <c r="S9" s="1547"/>
      <c r="T9" s="1547"/>
      <c r="U9" s="1547"/>
      <c r="V9" s="1537">
        <v>5</v>
      </c>
    </row>
    <row r="10" spans="1:22" ht="14.65" customHeight="1">
      <c r="C10" s="1441"/>
      <c r="D10" s="2154" t="s">
        <v>299</v>
      </c>
      <c r="E10" s="2155"/>
      <c r="F10" s="2155"/>
      <c r="G10" s="2155"/>
      <c r="H10" s="2155"/>
      <c r="I10" s="2155"/>
      <c r="J10" s="2094" t="s">
        <v>300</v>
      </c>
      <c r="V10" s="1532">
        <v>14</v>
      </c>
    </row>
    <row r="11" spans="1:22" ht="27.4" customHeight="1">
      <c r="C11" s="1441"/>
      <c r="D11" s="2066" t="s">
        <v>88</v>
      </c>
      <c r="E11" s="2094" t="s">
        <v>105</v>
      </c>
      <c r="F11" s="2131" t="s">
        <v>88</v>
      </c>
      <c r="G11" s="2132"/>
      <c r="H11" s="2114" t="s">
        <v>384</v>
      </c>
      <c r="I11" s="2114" t="s">
        <v>385</v>
      </c>
      <c r="J11" s="2094"/>
      <c r="V11" s="1532">
        <v>26</v>
      </c>
    </row>
    <row r="12" spans="1:22" ht="14.65" customHeight="1">
      <c r="C12" s="1441"/>
      <c r="D12" s="2066"/>
      <c r="E12" s="2094"/>
      <c r="F12" s="2136"/>
      <c r="G12" s="2137"/>
      <c r="H12" s="2165"/>
      <c r="I12" s="2165"/>
      <c r="J12" s="2094"/>
      <c r="V12" s="1532">
        <v>14</v>
      </c>
    </row>
    <row r="13" spans="1:22" s="1566" customFormat="1" ht="11.25" hidden="1" customHeight="1">
      <c r="C13" s="433"/>
      <c r="D13" s="434" t="s">
        <v>375</v>
      </c>
      <c r="E13" s="434"/>
      <c r="F13" s="434"/>
      <c r="G13" s="434"/>
      <c r="H13" s="432"/>
      <c r="I13" s="432"/>
      <c r="J13" s="370"/>
      <c r="L13" s="1539"/>
      <c r="M13" s="1539"/>
      <c r="N13" s="1539"/>
      <c r="O13" s="1539"/>
      <c r="P13" s="1539"/>
      <c r="Q13" s="1539"/>
      <c r="R13" s="1539"/>
      <c r="S13" s="1539"/>
      <c r="T13" s="1539"/>
      <c r="U13" s="1539"/>
      <c r="V13" s="431">
        <v>0</v>
      </c>
    </row>
    <row r="14" spans="1:22" ht="14.65" customHeight="1">
      <c r="A14" s="1532"/>
      <c r="C14" s="1441"/>
      <c r="D14" s="2166" t="s">
        <v>109</v>
      </c>
      <c r="E14" s="2168"/>
      <c r="F14" s="1542"/>
      <c r="G14" s="1541" t="s">
        <v>109</v>
      </c>
      <c r="H14" s="1548"/>
      <c r="I14" s="1546"/>
      <c r="J14" s="2108" t="s">
        <v>386</v>
      </c>
      <c r="K14" s="1532"/>
      <c r="R14" s="435" t="s">
        <v>380</v>
      </c>
      <c r="S14" s="435" t="s">
        <v>380</v>
      </c>
      <c r="V14" s="1532">
        <v>14</v>
      </c>
    </row>
    <row r="15" spans="1:22" ht="14.65" customHeight="1">
      <c r="A15" s="1532"/>
      <c r="C15" s="1441"/>
      <c r="D15" s="2167"/>
      <c r="E15" s="2169"/>
      <c r="F15" s="340"/>
      <c r="G15" s="798"/>
      <c r="H15" s="798" t="s">
        <v>382</v>
      </c>
      <c r="I15" s="249"/>
      <c r="J15" s="2109"/>
      <c r="K15" s="1532"/>
      <c r="R15" s="435"/>
      <c r="S15" s="435"/>
      <c r="V15" s="1532">
        <v>14</v>
      </c>
    </row>
    <row r="16" spans="1:22" ht="14.65" customHeight="1">
      <c r="A16" s="1532"/>
      <c r="C16" s="1441"/>
      <c r="D16" s="340"/>
      <c r="E16" s="798" t="s">
        <v>122</v>
      </c>
      <c r="F16" s="249"/>
      <c r="G16" s="249"/>
      <c r="H16" s="341"/>
      <c r="I16" s="341"/>
      <c r="J16" s="2110"/>
      <c r="K16" s="1532"/>
      <c r="V16" s="1532">
        <v>14</v>
      </c>
    </row>
    <row r="17" spans="1:22" ht="14.65" customHeight="1">
      <c r="K17" s="1532"/>
      <c r="V17" s="1532">
        <v>14</v>
      </c>
    </row>
    <row r="18" spans="1:22" ht="22.5" hidden="1" customHeight="1">
      <c r="A18" s="1533" t="s">
        <v>82</v>
      </c>
      <c r="B18" s="1532">
        <v>0</v>
      </c>
      <c r="C18" s="386">
        <v>3</v>
      </c>
      <c r="D18" s="1532">
        <v>5</v>
      </c>
      <c r="E18" s="1532">
        <v>38</v>
      </c>
      <c r="F18" s="1532">
        <v>3</v>
      </c>
      <c r="G18" s="1532">
        <v>3</v>
      </c>
      <c r="H18" s="1532">
        <v>38</v>
      </c>
      <c r="I18" s="1532">
        <v>35</v>
      </c>
      <c r="J18" s="1532">
        <v>103</v>
      </c>
      <c r="K18" s="1534">
        <v>3</v>
      </c>
      <c r="L18" s="1539">
        <v>10</v>
      </c>
      <c r="M18" s="1539">
        <v>10</v>
      </c>
      <c r="N18" s="1539">
        <v>10</v>
      </c>
      <c r="O18" s="1539">
        <v>13</v>
      </c>
      <c r="P18" s="1539">
        <v>15</v>
      </c>
      <c r="Q18" s="1539">
        <v>16</v>
      </c>
      <c r="R18" s="1539">
        <v>10</v>
      </c>
      <c r="S18" s="1539">
        <v>10</v>
      </c>
      <c r="T18" s="1539">
        <v>10</v>
      </c>
      <c r="U18" s="1539">
        <v>10</v>
      </c>
      <c r="V18" s="1532">
        <v>23</v>
      </c>
    </row>
  </sheetData>
  <sheetProtection formatColumns="0" formatRows="0" insertRows="0" deleteColumns="0" deleteRows="0" sort="0" autoFilter="0"/>
  <mergeCells count="15">
    <mergeCell ref="H1:I1"/>
    <mergeCell ref="D6:I6"/>
    <mergeCell ref="D7:I7"/>
    <mergeCell ref="D2:D3"/>
    <mergeCell ref="E2:E3"/>
    <mergeCell ref="J14:J16"/>
    <mergeCell ref="D10:I10"/>
    <mergeCell ref="J10:J12"/>
    <mergeCell ref="D11:D12"/>
    <mergeCell ref="E11:E12"/>
    <mergeCell ref="F11:G12"/>
    <mergeCell ref="H11:H12"/>
    <mergeCell ref="I11:I12"/>
    <mergeCell ref="D14:D15"/>
    <mergeCell ref="E14:E15"/>
  </mergeCells>
  <dataValidations count="5">
    <dataValidation type="whole" allowBlank="1" showErrorMessage="1" errorTitle="Ошибка" error="Допускается ввод только неотрицательных целых чисел!" sqref="I14 I2">
      <formula1>0</formula1>
      <formula2>9.99999999999999E+23</formula2>
    </dataValidation>
    <dataValidation allowBlank="1" showInputMessage="1" showErrorMessage="1" prompt="Выберите один или несколько одновременно видов деятельности, выполнив последовательно по одному щелчку на строке с видом деятельности" sqref="E14 E2"/>
    <dataValidation type="decimal" allowBlank="1" showErrorMessage="1" errorTitle="Ошибка" error="Допускается ввод только неотрицательных чисел!" sqref="H13:I13">
      <formula1>0</formula1>
      <formula2>9.99999999999999E+23</formula2>
    </dataValidation>
    <dataValidation allowBlank="1" showErrorMessage="1" errorTitle="Ошибка" error="Допускается ввод только неотрицательных чисел!" sqref="E13:G13"/>
    <dataValidation type="textLength" operator="lessThanOrEqual" allowBlank="1" showInputMessage="1" showErrorMessage="1" errorTitle="Ошибка" error="Допускается ввод не более 900 символов!" sqref="H14 H2">
      <formula1>900</formula1>
    </dataValidation>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3" tint="0.59999389629810485"/>
  </sheetPr>
  <dimension ref="A1:W19"/>
  <sheetViews>
    <sheetView showGridLines="0" zoomScale="90" workbookViewId="0">
      <pane xSplit="6" ySplit="11" topLeftCell="G12" activePane="bottomRight" state="frozen"/>
      <selection pane="topRight" activeCell="G1" sqref="G1"/>
      <selection pane="bottomLeft" activeCell="A12" sqref="A12"/>
      <selection pane="bottomRight"/>
    </sheetView>
  </sheetViews>
  <sheetFormatPr defaultColWidth="10.5703125" defaultRowHeight="14.25" customHeight="1"/>
  <cols>
    <col min="1" max="1" width="9.140625" style="1557" hidden="1" customWidth="1"/>
    <col min="2" max="3" width="9.140625" style="1560" hidden="1" customWidth="1"/>
    <col min="4" max="4" width="3" style="1766" customWidth="1"/>
    <col min="5" max="5" width="6" style="1560" customWidth="1"/>
    <col min="6" max="6" width="1.7109375" style="1560" hidden="1" customWidth="1"/>
    <col min="7" max="8" width="30" style="1560" customWidth="1"/>
    <col min="9" max="9" width="8" style="1560" customWidth="1"/>
    <col min="10" max="10" width="12.140625" style="1560" customWidth="1"/>
    <col min="11" max="11" width="46" style="1560" customWidth="1"/>
    <col min="12" max="12" width="100" style="1560" customWidth="1"/>
    <col min="13" max="13" width="7" style="1744" customWidth="1"/>
    <col min="14" max="22" width="10" style="1560" customWidth="1"/>
    <col min="23" max="23" width="10.5703125" style="1560" hidden="1"/>
  </cols>
  <sheetData>
    <row r="1" spans="1:23" s="1567" customFormat="1" ht="5.25" hidden="1" customHeight="1">
      <c r="C1" s="446"/>
      <c r="D1" s="429"/>
      <c r="F1" s="446"/>
      <c r="G1" s="424" t="s">
        <v>83</v>
      </c>
      <c r="H1" s="424" t="s">
        <v>84</v>
      </c>
      <c r="I1" s="424" t="s">
        <v>85</v>
      </c>
      <c r="P1" s="424" t="s">
        <v>83</v>
      </c>
      <c r="Q1" s="424" t="s">
        <v>84</v>
      </c>
      <c r="R1" s="424" t="s">
        <v>85</v>
      </c>
      <c r="W1" s="424" t="s">
        <v>14</v>
      </c>
    </row>
    <row r="2" spans="1:23" s="1567" customFormat="1" ht="5.25" hidden="1" customHeight="1">
      <c r="C2" s="446"/>
      <c r="D2" s="429"/>
      <c r="F2" s="446"/>
      <c r="W2" s="424">
        <v>0</v>
      </c>
    </row>
    <row r="3" spans="1:23" s="1537" customFormat="1" ht="5.25" customHeight="1">
      <c r="A3" s="414"/>
      <c r="D3" s="421"/>
      <c r="E3" s="416"/>
      <c r="F3" s="416"/>
      <c r="G3" s="416"/>
      <c r="H3" s="416"/>
      <c r="I3" s="417"/>
      <c r="J3" s="418"/>
      <c r="K3" s="418"/>
      <c r="L3" s="418"/>
      <c r="W3" s="415">
        <v>5</v>
      </c>
    </row>
    <row r="4" spans="1:23" ht="23.25" customHeight="1">
      <c r="D4" s="385"/>
      <c r="E4" s="2059" t="s">
        <v>387</v>
      </c>
      <c r="F4" s="2059"/>
      <c r="G4" s="2060"/>
      <c r="H4" s="2060"/>
      <c r="I4" s="2061"/>
      <c r="J4" s="426"/>
      <c r="K4" s="388"/>
      <c r="L4" s="388"/>
      <c r="W4" s="382">
        <v>22</v>
      </c>
    </row>
    <row r="5" spans="1:23" s="1560" customFormat="1" ht="18" customHeight="1">
      <c r="A5" s="692"/>
      <c r="D5" s="751"/>
      <c r="E5" s="2150" t="str">
        <f>IF(org=0,"Не определено",org)</f>
        <v>ООО "ЗЕНИТ ЭНЕРГО"</v>
      </c>
      <c r="F5" s="2150"/>
      <c r="G5" s="2151"/>
      <c r="H5" s="2151"/>
      <c r="I5" s="2152"/>
      <c r="J5" s="426"/>
      <c r="K5" s="388"/>
      <c r="L5" s="388"/>
      <c r="M5" s="442"/>
      <c r="W5" s="691">
        <v>17</v>
      </c>
    </row>
    <row r="6" spans="1:23" s="1537" customFormat="1" ht="11.45" customHeight="1">
      <c r="A6" s="414"/>
      <c r="D6" s="421"/>
      <c r="E6" s="416"/>
      <c r="F6" s="416"/>
      <c r="G6" s="419"/>
      <c r="H6" s="419"/>
      <c r="I6" s="420"/>
      <c r="J6" s="420"/>
      <c r="K6" s="687"/>
      <c r="L6" s="420"/>
      <c r="W6" s="415">
        <v>11</v>
      </c>
    </row>
    <row r="7" spans="1:23" ht="14.65" customHeight="1">
      <c r="D7" s="385"/>
      <c r="E7" s="2144" t="s">
        <v>299</v>
      </c>
      <c r="F7" s="2144"/>
      <c r="G7" s="2145"/>
      <c r="H7" s="2145"/>
      <c r="I7" s="2145"/>
      <c r="J7" s="2145"/>
      <c r="K7" s="2145"/>
      <c r="L7" s="2094" t="s">
        <v>300</v>
      </c>
      <c r="W7" s="382">
        <v>14</v>
      </c>
    </row>
    <row r="8" spans="1:23" ht="48.2" customHeight="1">
      <c r="D8" s="385"/>
      <c r="E8" s="408" t="s">
        <v>88</v>
      </c>
      <c r="F8" s="752"/>
      <c r="G8" s="400" t="s">
        <v>86</v>
      </c>
      <c r="H8" s="400" t="s">
        <v>87</v>
      </c>
      <c r="I8" s="349" t="s">
        <v>85</v>
      </c>
      <c r="J8" s="349" t="s">
        <v>388</v>
      </c>
      <c r="K8" s="349" t="s">
        <v>389</v>
      </c>
      <c r="L8" s="2094"/>
      <c r="W8" s="382">
        <v>46</v>
      </c>
    </row>
    <row r="9" spans="1:23" ht="12" hidden="1" customHeight="1">
      <c r="D9" s="422"/>
      <c r="E9" s="428"/>
      <c r="F9" s="759"/>
      <c r="G9" s="428"/>
      <c r="H9" s="428"/>
      <c r="I9" s="428"/>
      <c r="J9" s="428"/>
      <c r="K9" s="428"/>
      <c r="L9" s="428"/>
      <c r="M9" s="382"/>
      <c r="W9" s="382">
        <v>0</v>
      </c>
    </row>
    <row r="10" spans="1:23" ht="14.25" hidden="1" customHeight="1">
      <c r="A10" s="440"/>
      <c r="B10" s="440"/>
      <c r="D10" s="441"/>
      <c r="E10" s="447">
        <v>0</v>
      </c>
      <c r="F10" s="750"/>
      <c r="G10" s="443"/>
      <c r="H10" s="443"/>
      <c r="I10" s="443"/>
      <c r="J10" s="443"/>
      <c r="K10" s="443"/>
      <c r="L10" s="2157" t="s">
        <v>390</v>
      </c>
      <c r="M10" s="442"/>
      <c r="N10" s="440"/>
      <c r="O10" s="440"/>
      <c r="P10" s="440"/>
      <c r="Q10" s="440"/>
      <c r="R10" s="440"/>
      <c r="S10" s="440"/>
      <c r="T10" s="440"/>
      <c r="U10" s="440"/>
      <c r="V10" s="440"/>
      <c r="W10" s="382">
        <v>0</v>
      </c>
    </row>
    <row r="11" spans="1:23" ht="15" hidden="1" customHeight="1">
      <c r="A11" s="2041"/>
      <c r="B11" s="439"/>
      <c r="C11" s="439"/>
      <c r="D11" s="794"/>
      <c r="E11" s="448"/>
      <c r="F11" s="448"/>
      <c r="G11" s="448"/>
      <c r="H11" s="448"/>
      <c r="I11" s="449"/>
      <c r="J11" s="450"/>
      <c r="K11" s="648"/>
      <c r="L11" s="2171"/>
      <c r="M11" s="446"/>
      <c r="N11" s="446"/>
      <c r="O11" s="446"/>
      <c r="P11" s="451"/>
      <c r="Q11" s="451"/>
      <c r="R11" s="452"/>
      <c r="S11" s="446"/>
      <c r="T11" s="446"/>
      <c r="U11" s="446"/>
      <c r="V11" s="446"/>
      <c r="W11" s="382">
        <v>0</v>
      </c>
    </row>
    <row r="12" spans="1:23" s="1537" customFormat="1" ht="15" customHeight="1">
      <c r="A12" s="2041"/>
      <c r="B12" s="439"/>
      <c r="C12" s="439"/>
      <c r="D12" s="795"/>
      <c r="E12" s="752">
        <v>1</v>
      </c>
      <c r="F12" s="793">
        <v>23</v>
      </c>
      <c r="G12" s="792"/>
      <c r="H12" s="722"/>
      <c r="I12" s="720"/>
      <c r="J12" s="455" t="s">
        <v>66</v>
      </c>
      <c r="K12" s="1089" t="s">
        <v>22</v>
      </c>
      <c r="L12" s="2171"/>
      <c r="M12" s="446"/>
      <c r="N12" s="446"/>
      <c r="O12" s="446"/>
      <c r="P12" s="451" t="s">
        <v>391</v>
      </c>
      <c r="Q12" s="451" t="s">
        <v>392</v>
      </c>
      <c r="R12" s="452" t="s">
        <v>393</v>
      </c>
      <c r="S12" s="446" t="s">
        <v>394</v>
      </c>
      <c r="T12" s="446"/>
      <c r="U12" s="446"/>
      <c r="V12" s="446"/>
      <c r="W12" s="415">
        <v>14</v>
      </c>
    </row>
    <row r="13" spans="1:23" ht="15.75" customHeight="1">
      <c r="A13" s="2041"/>
      <c r="B13" s="440"/>
      <c r="D13" s="441"/>
      <c r="E13" s="340"/>
      <c r="F13" s="464"/>
      <c r="G13" s="351" t="s">
        <v>102</v>
      </c>
      <c r="H13" s="339"/>
      <c r="I13" s="339"/>
      <c r="J13" s="339"/>
      <c r="K13" s="338"/>
      <c r="L13" s="2158"/>
      <c r="M13" s="444"/>
      <c r="N13" s="440"/>
      <c r="O13" s="440"/>
      <c r="P13" s="440"/>
      <c r="Q13" s="440"/>
      <c r="R13" s="440"/>
      <c r="S13" s="440"/>
      <c r="T13" s="440"/>
      <c r="U13" s="440"/>
      <c r="V13" s="440"/>
      <c r="W13" s="382">
        <v>15</v>
      </c>
    </row>
    <row r="14" spans="1:23" ht="11.45" customHeight="1">
      <c r="A14" s="414"/>
      <c r="B14" s="415"/>
      <c r="C14" s="415"/>
      <c r="D14" s="430"/>
      <c r="E14" s="415"/>
      <c r="F14" s="415"/>
      <c r="G14" s="415"/>
      <c r="H14" s="415"/>
      <c r="I14" s="415"/>
      <c r="J14" s="415"/>
      <c r="K14" s="415"/>
      <c r="L14" s="415"/>
      <c r="M14" s="415"/>
      <c r="N14" s="415"/>
      <c r="O14" s="415"/>
      <c r="P14" s="415"/>
      <c r="Q14" s="415"/>
      <c r="R14" s="415"/>
      <c r="S14" s="415"/>
      <c r="T14" s="415"/>
      <c r="U14" s="415"/>
      <c r="V14" s="415"/>
      <c r="W14" s="382">
        <v>11</v>
      </c>
    </row>
    <row r="15" spans="1:23" ht="14.65" customHeight="1">
      <c r="D15" s="401"/>
      <c r="E15" s="272"/>
      <c r="F15" s="272"/>
      <c r="G15" s="599" t="str">
        <f>"&lt;1&gt; Указывается информация по муниципальным районам и муниципальным образованиям, на территории которых регулируемая организация осуществляет "&amp;IF(TEMPLATE_SPHERE&lt;&gt;"TKO","регулируемый вид деятельности в сфере "&amp;TEMPLATE_SPHERE_RUS&amp;".","деятельность в области обращения с "&amp;TEMPLATE_SPHERE_RUS_2&amp;".")</f>
        <v>&lt;1&gt; Указывается информация по муниципальным районам и муниципальным образованиям, на территории которых регулируемая организация осуществляет регулируемый вид деятельности в сфере теплоснабжения.</v>
      </c>
      <c r="H15" s="401"/>
      <c r="I15" s="401"/>
      <c r="J15" s="401"/>
      <c r="K15" s="401"/>
      <c r="L15" s="401"/>
      <c r="W15" s="382">
        <v>14</v>
      </c>
    </row>
    <row r="16" spans="1:23" ht="14.65" customHeight="1">
      <c r="W16" s="382">
        <v>14</v>
      </c>
    </row>
    <row r="17" spans="1:23" ht="14.65" customHeight="1">
      <c r="W17" s="382">
        <v>14</v>
      </c>
    </row>
    <row r="18" spans="1:23" ht="14.65" customHeight="1">
      <c r="G18" s="440"/>
      <c r="W18" s="382">
        <v>14</v>
      </c>
    </row>
    <row r="19" spans="1:23" ht="22.5" hidden="1" customHeight="1">
      <c r="A19" s="384" t="s">
        <v>82</v>
      </c>
      <c r="B19" s="382">
        <v>0</v>
      </c>
      <c r="C19" s="691">
        <v>0</v>
      </c>
      <c r="D19" s="386">
        <v>3</v>
      </c>
      <c r="E19" s="382">
        <v>6</v>
      </c>
      <c r="F19" s="691">
        <v>0</v>
      </c>
      <c r="G19" s="382">
        <v>30</v>
      </c>
      <c r="H19" s="382">
        <v>30</v>
      </c>
      <c r="I19" s="382">
        <v>8</v>
      </c>
      <c r="J19" s="382">
        <v>12</v>
      </c>
      <c r="K19" s="382">
        <v>46</v>
      </c>
      <c r="L19" s="382">
        <v>100</v>
      </c>
      <c r="M19" s="387">
        <v>7</v>
      </c>
      <c r="N19" s="382">
        <v>10</v>
      </c>
      <c r="O19" s="382">
        <v>10</v>
      </c>
      <c r="P19" s="382">
        <v>10</v>
      </c>
      <c r="Q19" s="382">
        <v>10</v>
      </c>
      <c r="R19" s="382">
        <v>10</v>
      </c>
      <c r="S19" s="382">
        <v>10</v>
      </c>
      <c r="T19" s="382">
        <v>10</v>
      </c>
      <c r="U19" s="382">
        <v>10</v>
      </c>
      <c r="V19" s="382">
        <v>10</v>
      </c>
      <c r="W19" s="382">
        <v>23</v>
      </c>
    </row>
  </sheetData>
  <sheetProtection formatColumns="0" formatRows="0" insertRows="0" deleteColumns="0" deleteRows="0" sort="0" autoFilter="0"/>
  <mergeCells count="6">
    <mergeCell ref="A11:A13"/>
    <mergeCell ref="E4:I4"/>
    <mergeCell ref="E7:K7"/>
    <mergeCell ref="L7:L8"/>
    <mergeCell ref="L10:L13"/>
    <mergeCell ref="E5:I5"/>
  </mergeCells>
  <dataValidations count="3">
    <dataValidation type="decimal" allowBlank="1" showErrorMessage="1" errorTitle="Ошибка" error="Допускается ввод только неотрицательных чисел!" sqref="G10:K10">
      <formula1>0</formula1>
      <formula2>9.99999999999999E+23</formula2>
    </dataValidation>
    <dataValidation allowBlank="1" showInputMessage="1" showErrorMessage="1" prompt="Изменение значения по двойному щелчоку левой кнопки мыши" sqref="J12"/>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K12">
      <formula1>900</formula1>
    </dataValidation>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6" tint="0.39997558519241921"/>
  </sheetPr>
  <dimension ref="A1:AS65"/>
  <sheetViews>
    <sheetView showGridLines="0" zoomScale="90" workbookViewId="0">
      <pane xSplit="29" ySplit="42" topLeftCell="AD43" activePane="bottomRight" state="frozen"/>
      <selection pane="topRight" activeCell="AD1" sqref="AD1"/>
      <selection pane="bottomLeft" activeCell="A43" sqref="A43"/>
      <selection pane="bottomRight"/>
    </sheetView>
  </sheetViews>
  <sheetFormatPr defaultColWidth="10.5703125" defaultRowHeight="14.25" customHeight="1"/>
  <cols>
    <col min="1" max="1" width="10.5703125" style="1291" hidden="1"/>
    <col min="2" max="2" width="11" style="1291" hidden="1" customWidth="1"/>
    <col min="3" max="3" width="10.5703125" style="1291" hidden="1"/>
    <col min="4" max="4" width="11.85546875" style="1291" hidden="1" customWidth="1"/>
    <col min="5" max="5" width="10" style="1291" hidden="1" customWidth="1"/>
    <col min="6" max="6" width="8.7109375" style="1291" hidden="1" customWidth="1"/>
    <col min="7" max="7" width="7.5703125" style="1291" hidden="1" customWidth="1"/>
    <col min="8" max="8" width="11.42578125" style="1291" hidden="1" customWidth="1"/>
    <col min="9" max="9" width="12" style="1291" hidden="1" customWidth="1"/>
    <col min="10" max="10" width="9.85546875" style="1291" hidden="1" customWidth="1"/>
    <col min="11" max="11" width="11.42578125" style="1291" hidden="1" customWidth="1"/>
    <col min="12" max="12" width="19.140625" style="2002" hidden="1" customWidth="1"/>
    <col min="13" max="14" width="12.28515625" style="1701" hidden="1" customWidth="1"/>
    <col min="15" max="15" width="23.42578125" style="1701" hidden="1" customWidth="1"/>
    <col min="16" max="16" width="3" style="2000" customWidth="1"/>
    <col min="17" max="18" width="3" style="280" customWidth="1"/>
    <col min="19" max="19" width="12" style="2001" customWidth="1"/>
    <col min="20" max="20" width="35" style="1560" customWidth="1"/>
    <col min="21" max="21" width="0.140625" style="1560" customWidth="1"/>
    <col min="22" max="22" width="24.7109375" style="1560" hidden="1" customWidth="1"/>
    <col min="23" max="23" width="0.140625" style="1560" hidden="1" customWidth="1"/>
    <col min="24" max="25" width="24.7109375" style="1560" hidden="1" customWidth="1"/>
    <col min="26" max="26" width="11.7109375" style="1560" hidden="1" customWidth="1"/>
    <col min="27" max="27" width="3.7109375" style="1560" hidden="1" customWidth="1"/>
    <col min="28" max="28" width="11.7109375" style="1560" hidden="1" customWidth="1"/>
    <col min="29" max="29" width="8.5703125" style="1560" hidden="1" customWidth="1"/>
    <col min="30" max="30" width="24.7109375" style="1560" customWidth="1"/>
    <col min="31" max="31" width="0.140625" style="1560" customWidth="1"/>
    <col min="32" max="33" width="24" style="1560" customWidth="1"/>
    <col min="34" max="34" width="11" style="1560" customWidth="1"/>
    <col min="35" max="35" width="3.7109375" style="1560" customWidth="1"/>
    <col min="36" max="36" width="11" style="1560" customWidth="1"/>
    <col min="37" max="37" width="8.5703125" style="1560" hidden="1" customWidth="1"/>
    <col min="38" max="38" width="4" style="1560" customWidth="1"/>
    <col min="39" max="39" width="115" style="1560" customWidth="1"/>
    <col min="40" max="44" width="10" style="1567" customWidth="1"/>
    <col min="45" max="45" width="10.5703125" style="1560" hidden="1"/>
  </cols>
  <sheetData>
    <row r="1" spans="1:45" ht="22.5" hidden="1" customHeight="1">
      <c r="Y1" s="263"/>
      <c r="Z1" s="263"/>
      <c r="AG1" s="263"/>
      <c r="AH1" s="263"/>
      <c r="AS1" s="1080" t="s">
        <v>14</v>
      </c>
    </row>
    <row r="2" spans="1:45" ht="21" hidden="1" customHeight="1">
      <c r="A2" s="1288"/>
      <c r="B2" s="1288"/>
      <c r="C2" s="1288"/>
      <c r="D2" s="1288"/>
      <c r="E2" s="2186">
        <v>1</v>
      </c>
      <c r="F2" s="1288"/>
      <c r="G2" s="1288"/>
      <c r="H2" s="1288"/>
      <c r="I2" s="1288"/>
      <c r="J2" s="1288"/>
      <c r="K2" s="1288"/>
      <c r="L2" s="1289"/>
      <c r="M2" s="1290"/>
      <c r="N2" s="1290"/>
      <c r="O2" s="1290"/>
      <c r="P2" s="296"/>
      <c r="Q2" s="295"/>
      <c r="R2" s="290"/>
      <c r="S2" s="1234" t="e">
        <f>INDEX(PT_DIFFERENTIATION_NUM_NTAR,MATCH(A2,PT_DIFFERENTIATION_NTAR_ID,0))</f>
        <v>#N/A</v>
      </c>
      <c r="T2" s="234" t="s">
        <v>124</v>
      </c>
      <c r="U2" s="236"/>
      <c r="V2" s="2172"/>
      <c r="W2" s="2173"/>
      <c r="X2" s="2173"/>
      <c r="Y2" s="2173"/>
      <c r="Z2" s="2173"/>
      <c r="AA2" s="2173"/>
      <c r="AB2" s="2173"/>
      <c r="AC2" s="2174"/>
      <c r="AD2" s="2172" t="e">
        <f>INDEX(PT_DIFFERENTIATION_NTAR,MATCH(A2,PT_DIFFERENTIATION_NTAR_ID,0))</f>
        <v>#N/A</v>
      </c>
      <c r="AE2" s="2173"/>
      <c r="AF2" s="2173"/>
      <c r="AG2" s="2173"/>
      <c r="AH2" s="2173"/>
      <c r="AI2" s="2173"/>
      <c r="AJ2" s="2173"/>
      <c r="AK2" s="2173"/>
      <c r="AL2" s="2174"/>
      <c r="AM2" s="1183" t="s">
        <v>395</v>
      </c>
      <c r="AO2" s="435"/>
      <c r="AP2" s="435" t="str">
        <f t="shared" ref="AP2:AP15" si="0">IF(T2="","",T2)</f>
        <v>Наименование тарифа</v>
      </c>
      <c r="AQ2" s="435"/>
      <c r="AR2" s="435"/>
      <c r="AS2" s="1080">
        <v>0</v>
      </c>
    </row>
    <row r="3" spans="1:45" ht="21" hidden="1" customHeight="1">
      <c r="A3" s="1288"/>
      <c r="B3" s="1288"/>
      <c r="C3" s="1288"/>
      <c r="D3" s="1288"/>
      <c r="E3" s="2187"/>
      <c r="F3" s="2186">
        <v>1</v>
      </c>
      <c r="G3" s="1288"/>
      <c r="H3" s="1288"/>
      <c r="I3" s="1288"/>
      <c r="J3" s="1288"/>
      <c r="K3" s="1288"/>
      <c r="L3" s="1289"/>
      <c r="M3" s="1290"/>
      <c r="N3" s="1290"/>
      <c r="O3" s="1290"/>
      <c r="P3" s="1229"/>
      <c r="Q3" s="287"/>
      <c r="R3" s="288"/>
      <c r="S3" s="1234" t="e">
        <f>INDEX(PT_DIFFERENTIATION_NUM_TER,MATCH(B3,PT_DIFFERENTIATION_TER_ID,0))</f>
        <v>#N/A</v>
      </c>
      <c r="T3" s="244" t="s">
        <v>396</v>
      </c>
      <c r="U3" s="236"/>
      <c r="V3" s="2172"/>
      <c r="W3" s="2173"/>
      <c r="X3" s="2173"/>
      <c r="Y3" s="2173"/>
      <c r="Z3" s="2173"/>
      <c r="AA3" s="2173"/>
      <c r="AB3" s="2173"/>
      <c r="AC3" s="2174"/>
      <c r="AD3" s="2172" t="e">
        <f>INDEX(PT_DIFFERENTIATION_TER,MATCH(B3,PT_DIFFERENTIATION_TER_ID,0))</f>
        <v>#N/A</v>
      </c>
      <c r="AE3" s="2173"/>
      <c r="AF3" s="2173"/>
      <c r="AG3" s="2173"/>
      <c r="AH3" s="2173"/>
      <c r="AI3" s="2173"/>
      <c r="AJ3" s="2173"/>
      <c r="AK3" s="2173"/>
      <c r="AL3" s="2174"/>
      <c r="AM3" s="1183" t="s">
        <v>397</v>
      </c>
      <c r="AO3" s="435"/>
      <c r="AP3" s="435" t="str">
        <f t="shared" si="0"/>
        <v>Территория действия тарифа</v>
      </c>
      <c r="AQ3" s="435"/>
      <c r="AR3" s="435"/>
      <c r="AS3" s="1080">
        <v>0</v>
      </c>
    </row>
    <row r="4" spans="1:45" ht="23.25" hidden="1" customHeight="1">
      <c r="A4" s="1288"/>
      <c r="B4" s="1288"/>
      <c r="C4" s="1288"/>
      <c r="D4" s="1288"/>
      <c r="E4" s="2187"/>
      <c r="F4" s="2187"/>
      <c r="G4" s="2186">
        <v>1</v>
      </c>
      <c r="H4" s="1288"/>
      <c r="I4" s="1288"/>
      <c r="J4" s="1288"/>
      <c r="K4" s="1288"/>
      <c r="L4" s="1289"/>
      <c r="M4" s="1290"/>
      <c r="N4" s="1290"/>
      <c r="O4" s="1290"/>
      <c r="P4" s="289"/>
      <c r="Q4" s="287"/>
      <c r="R4" s="288"/>
      <c r="S4" s="1234" t="e">
        <f>INDEX(PT_DIFFERENTIATION_NUM_CS,MATCH(C4,PT_DIFFERENTIATION_CS_ID,0))</f>
        <v>#N/A</v>
      </c>
      <c r="T4" s="245" t="s">
        <v>398</v>
      </c>
      <c r="U4" s="236"/>
      <c r="V4" s="2172"/>
      <c r="W4" s="2173"/>
      <c r="X4" s="2173"/>
      <c r="Y4" s="2173"/>
      <c r="Z4" s="2173"/>
      <c r="AA4" s="2173"/>
      <c r="AB4" s="2173"/>
      <c r="AC4" s="2174"/>
      <c r="AD4" s="2172" t="e">
        <f>INDEX(PT_DIFFERENTIATION_CS,MATCH(C4,PT_DIFFERENTIATION_CS_ID,0))</f>
        <v>#N/A</v>
      </c>
      <c r="AE4" s="2173"/>
      <c r="AF4" s="2173"/>
      <c r="AG4" s="2173"/>
      <c r="AH4" s="2173"/>
      <c r="AI4" s="2173"/>
      <c r="AJ4" s="2173"/>
      <c r="AK4" s="2173"/>
      <c r="AL4" s="2174"/>
      <c r="AM4" s="1183" t="s">
        <v>399</v>
      </c>
      <c r="AO4" s="435"/>
      <c r="AP4" s="435" t="str">
        <f t="shared" si="0"/>
        <v xml:space="preserve">Наименование системы теплоснабжения </v>
      </c>
      <c r="AQ4" s="435"/>
      <c r="AR4" s="435"/>
      <c r="AS4" s="1080">
        <v>0</v>
      </c>
    </row>
    <row r="5" spans="1:45" ht="21" hidden="1" customHeight="1">
      <c r="A5" s="1288"/>
      <c r="B5" s="1288"/>
      <c r="C5" s="1288"/>
      <c r="D5" s="1288"/>
      <c r="E5" s="2187"/>
      <c r="F5" s="2187"/>
      <c r="G5" s="2187"/>
      <c r="H5" s="2186">
        <v>1</v>
      </c>
      <c r="I5" s="1288"/>
      <c r="J5" s="1288"/>
      <c r="K5" s="1288"/>
      <c r="L5" s="1289"/>
      <c r="M5" s="1290"/>
      <c r="N5" s="1290"/>
      <c r="O5" s="1290"/>
      <c r="P5" s="289"/>
      <c r="Q5" s="287"/>
      <c r="R5" s="288"/>
      <c r="S5" s="1234" t="e">
        <f>INDEX(PT_DIFFERENTIATION_NUM_IST_TE,MATCH(D5,PT_DIFFERENTIATION_IST_TE_ID,0))</f>
        <v>#N/A</v>
      </c>
      <c r="T5" s="246" t="s">
        <v>400</v>
      </c>
      <c r="U5" s="236"/>
      <c r="V5" s="2172"/>
      <c r="W5" s="2173"/>
      <c r="X5" s="2173"/>
      <c r="Y5" s="2173"/>
      <c r="Z5" s="2173"/>
      <c r="AA5" s="2173"/>
      <c r="AB5" s="2173"/>
      <c r="AC5" s="2174"/>
      <c r="AD5" s="2172" t="e">
        <f>INDEX(PT_DIFFERENTIATION_IST_TE,MATCH(D5,PT_DIFFERENTIATION_IST_TE_ID,0))</f>
        <v>#N/A</v>
      </c>
      <c r="AE5" s="2173"/>
      <c r="AF5" s="2173"/>
      <c r="AG5" s="2173"/>
      <c r="AH5" s="2173"/>
      <c r="AI5" s="2173"/>
      <c r="AJ5" s="2173"/>
      <c r="AK5" s="2173"/>
      <c r="AL5" s="2174"/>
      <c r="AM5" s="1183" t="s">
        <v>401</v>
      </c>
      <c r="AO5" s="435"/>
      <c r="AP5" s="435" t="str">
        <f t="shared" si="0"/>
        <v xml:space="preserve">Источник тепловой энергии  </v>
      </c>
      <c r="AQ5" s="435"/>
      <c r="AR5" s="435"/>
      <c r="AS5" s="1080">
        <v>0</v>
      </c>
    </row>
    <row r="6" spans="1:45" ht="47.25" hidden="1" customHeight="1">
      <c r="A6" s="1288"/>
      <c r="B6" s="1288"/>
      <c r="C6" s="1288"/>
      <c r="D6" s="1288"/>
      <c r="E6" s="2187"/>
      <c r="F6" s="2187"/>
      <c r="G6" s="2187"/>
      <c r="H6" s="2187"/>
      <c r="I6" s="2184" t="e">
        <f>S5&amp;".1"</f>
        <v>#N/A</v>
      </c>
      <c r="J6" s="1288"/>
      <c r="K6" s="1288"/>
      <c r="L6" s="1289" t="s">
        <v>402</v>
      </c>
      <c r="M6" s="472"/>
      <c r="P6" s="2185">
        <v>1</v>
      </c>
      <c r="Q6" s="1230"/>
      <c r="R6" s="291"/>
      <c r="S6" s="1234" t="e">
        <f>$I6</f>
        <v>#N/A</v>
      </c>
      <c r="T6" s="221" t="s">
        <v>403</v>
      </c>
      <c r="U6" s="236"/>
      <c r="V6" s="2175"/>
      <c r="W6" s="2176"/>
      <c r="X6" s="2176"/>
      <c r="Y6" s="2176"/>
      <c r="Z6" s="2176"/>
      <c r="AA6" s="2176"/>
      <c r="AB6" s="2176"/>
      <c r="AC6" s="2177"/>
      <c r="AD6" s="2175"/>
      <c r="AE6" s="2176"/>
      <c r="AF6" s="2176"/>
      <c r="AG6" s="2176"/>
      <c r="AH6" s="2176"/>
      <c r="AI6" s="2176"/>
      <c r="AJ6" s="2176"/>
      <c r="AK6" s="2176"/>
      <c r="AL6" s="2177"/>
      <c r="AM6" s="1183" t="s">
        <v>404</v>
      </c>
      <c r="AO6" s="435"/>
      <c r="AP6" s="435" t="str">
        <f t="shared" si="0"/>
        <v>Схема подключения теплопотребляющей установки к коллектору источника тепловой энергии</v>
      </c>
      <c r="AQ6" s="435"/>
      <c r="AR6" s="435"/>
      <c r="AS6" s="1080">
        <v>0</v>
      </c>
    </row>
    <row r="7" spans="1:45" ht="21" hidden="1" customHeight="1">
      <c r="A7" s="1288"/>
      <c r="B7" s="1288"/>
      <c r="C7" s="1288"/>
      <c r="D7" s="1288"/>
      <c r="E7" s="2187"/>
      <c r="F7" s="2187"/>
      <c r="G7" s="2187"/>
      <c r="H7" s="2187"/>
      <c r="I7" s="2207"/>
      <c r="J7" s="2184" t="e">
        <f>I6&amp;".1"</f>
        <v>#N/A</v>
      </c>
      <c r="K7" s="1288"/>
      <c r="L7" s="1289" t="s">
        <v>405</v>
      </c>
      <c r="M7" s="472"/>
      <c r="N7" s="1291"/>
      <c r="P7" s="2185"/>
      <c r="Q7" s="2185">
        <v>1</v>
      </c>
      <c r="R7" s="292"/>
      <c r="S7" s="1234" t="e">
        <f>$J7</f>
        <v>#N/A</v>
      </c>
      <c r="T7" s="222" t="s">
        <v>406</v>
      </c>
      <c r="U7" s="236"/>
      <c r="V7" s="2175"/>
      <c r="W7" s="2176"/>
      <c r="X7" s="2176"/>
      <c r="Y7" s="2176"/>
      <c r="Z7" s="2176"/>
      <c r="AA7" s="2176"/>
      <c r="AB7" s="2176"/>
      <c r="AC7" s="2177"/>
      <c r="AD7" s="2175"/>
      <c r="AE7" s="2176"/>
      <c r="AF7" s="2176"/>
      <c r="AG7" s="2176"/>
      <c r="AH7" s="2176"/>
      <c r="AI7" s="2176"/>
      <c r="AJ7" s="2176"/>
      <c r="AK7" s="2176"/>
      <c r="AL7" s="2177"/>
      <c r="AM7" s="1183" t="s">
        <v>407</v>
      </c>
      <c r="AO7" s="435"/>
      <c r="AP7" s="435" t="str">
        <f t="shared" si="0"/>
        <v>Группа потребителей</v>
      </c>
      <c r="AQ7" s="435"/>
      <c r="AR7" s="435"/>
      <c r="AS7" s="1080">
        <v>0</v>
      </c>
    </row>
    <row r="8" spans="1:45" ht="21" hidden="1" customHeight="1">
      <c r="A8" s="1288"/>
      <c r="B8" s="1288"/>
      <c r="C8" s="1288"/>
      <c r="D8" s="1288"/>
      <c r="E8" s="2187"/>
      <c r="F8" s="2187"/>
      <c r="G8" s="2187"/>
      <c r="H8" s="2187"/>
      <c r="I8" s="2207"/>
      <c r="J8" s="2207"/>
      <c r="K8" s="2184" t="e">
        <f>J7&amp;".1"</f>
        <v>#N/A</v>
      </c>
      <c r="L8" s="1289" t="s">
        <v>408</v>
      </c>
      <c r="M8" s="472"/>
      <c r="N8" s="1291"/>
      <c r="O8" s="1291"/>
      <c r="P8" s="2185"/>
      <c r="Q8" s="2185"/>
      <c r="R8" s="292">
        <v>1</v>
      </c>
      <c r="S8" s="1234" t="e">
        <f>$K8</f>
        <v>#N/A</v>
      </c>
      <c r="T8" s="1272"/>
      <c r="U8" s="236"/>
      <c r="V8" s="686"/>
      <c r="W8" s="261"/>
      <c r="X8" s="686"/>
      <c r="Y8" s="1182"/>
      <c r="Z8" s="2189"/>
      <c r="AA8" s="2047" t="s">
        <v>66</v>
      </c>
      <c r="AB8" s="2189"/>
      <c r="AC8" s="2047" t="s">
        <v>66</v>
      </c>
      <c r="AD8" s="686"/>
      <c r="AE8" s="261"/>
      <c r="AF8" s="686"/>
      <c r="AG8" s="1182"/>
      <c r="AH8" s="2189"/>
      <c r="AI8" s="2047" t="s">
        <v>66</v>
      </c>
      <c r="AJ8" s="2189"/>
      <c r="AK8" s="2047" t="s">
        <v>66</v>
      </c>
      <c r="AL8" s="261"/>
      <c r="AM8" s="2181" t="s">
        <v>409</v>
      </c>
      <c r="AN8" s="446" t="e">
        <f ca="1">STRCHECKDATE(V9:AL9)</f>
        <v>#NAME?</v>
      </c>
      <c r="AO8" s="435"/>
      <c r="AP8" s="435" t="str">
        <f t="shared" si="0"/>
        <v/>
      </c>
      <c r="AQ8" s="435"/>
      <c r="AR8" s="435"/>
      <c r="AS8" s="1080">
        <v>0</v>
      </c>
    </row>
    <row r="9" spans="1:45" ht="0.75" hidden="1" customHeight="1">
      <c r="A9" s="1288"/>
      <c r="B9" s="1288"/>
      <c r="C9" s="1288"/>
      <c r="D9" s="1288"/>
      <c r="E9" s="2187"/>
      <c r="F9" s="2187"/>
      <c r="G9" s="2187"/>
      <c r="H9" s="2187"/>
      <c r="I9" s="2207"/>
      <c r="J9" s="2207"/>
      <c r="K9" s="2184"/>
      <c r="L9" s="1289"/>
      <c r="M9" s="472"/>
      <c r="N9" s="1291"/>
      <c r="O9" s="1291"/>
      <c r="P9" s="2185"/>
      <c r="Q9" s="2185"/>
      <c r="R9" s="292"/>
      <c r="S9" s="1231"/>
      <c r="T9" s="236"/>
      <c r="U9" s="236"/>
      <c r="V9" s="261"/>
      <c r="W9" s="261"/>
      <c r="X9" s="261"/>
      <c r="Y9" s="264" t="str">
        <f>Z8&amp;"-"&amp;AB8</f>
        <v>-</v>
      </c>
      <c r="Z9" s="2190"/>
      <c r="AA9" s="2047"/>
      <c r="AB9" s="2190"/>
      <c r="AC9" s="2047"/>
      <c r="AD9" s="261"/>
      <c r="AE9" s="261"/>
      <c r="AF9" s="261"/>
      <c r="AG9" s="264" t="str">
        <f>AH8&amp;"-"&amp;AJ8</f>
        <v>-</v>
      </c>
      <c r="AH9" s="2190"/>
      <c r="AI9" s="2047"/>
      <c r="AJ9" s="2190"/>
      <c r="AK9" s="2047"/>
      <c r="AL9" s="261"/>
      <c r="AM9" s="2182"/>
      <c r="AO9" s="435"/>
      <c r="AP9" s="435" t="str">
        <f t="shared" si="0"/>
        <v/>
      </c>
      <c r="AQ9" s="435"/>
      <c r="AR9" s="435"/>
      <c r="AS9" s="1080">
        <v>0</v>
      </c>
    </row>
    <row r="10" spans="1:45" ht="15" hidden="1" customHeight="1">
      <c r="A10" s="1288"/>
      <c r="B10" s="1288"/>
      <c r="C10" s="1288"/>
      <c r="D10" s="1288"/>
      <c r="E10" s="2187"/>
      <c r="F10" s="2187"/>
      <c r="G10" s="2187"/>
      <c r="H10" s="2187"/>
      <c r="I10" s="2207"/>
      <c r="J10" s="2184"/>
      <c r="K10" s="1288"/>
      <c r="L10" s="1289"/>
      <c r="M10" s="472"/>
      <c r="N10" s="1291"/>
      <c r="P10" s="2185"/>
      <c r="Q10" s="2185"/>
      <c r="R10" s="291"/>
      <c r="S10" s="1203"/>
      <c r="T10" s="224" t="s">
        <v>410</v>
      </c>
      <c r="U10" s="302"/>
      <c r="V10" s="302"/>
      <c r="W10" s="302"/>
      <c r="X10" s="302"/>
      <c r="Y10" s="302"/>
      <c r="Z10" s="302"/>
      <c r="AA10" s="302"/>
      <c r="AB10" s="302"/>
      <c r="AC10" s="302"/>
      <c r="AD10" s="302"/>
      <c r="AE10" s="302"/>
      <c r="AF10" s="302"/>
      <c r="AG10" s="302"/>
      <c r="AH10" s="302"/>
      <c r="AI10" s="302"/>
      <c r="AJ10" s="302"/>
      <c r="AK10" s="302"/>
      <c r="AL10" s="260"/>
      <c r="AM10" s="2183"/>
      <c r="AO10" s="435"/>
      <c r="AP10" s="435" t="str">
        <f t="shared" si="0"/>
        <v>Добавить вид теплоносителя (параметры теплоносителя)</v>
      </c>
      <c r="AQ10" s="435"/>
      <c r="AR10" s="435"/>
      <c r="AS10" s="1080">
        <v>0</v>
      </c>
    </row>
    <row r="11" spans="1:45" ht="15" hidden="1" customHeight="1">
      <c r="A11" s="1288"/>
      <c r="B11" s="1288"/>
      <c r="C11" s="1288"/>
      <c r="D11" s="1288"/>
      <c r="E11" s="2187"/>
      <c r="F11" s="2187"/>
      <c r="G11" s="2187"/>
      <c r="H11" s="2187"/>
      <c r="I11" s="2184"/>
      <c r="J11" s="1288"/>
      <c r="K11" s="1288"/>
      <c r="L11" s="1289"/>
      <c r="M11" s="472"/>
      <c r="P11" s="2185"/>
      <c r="Q11" s="1230"/>
      <c r="R11" s="291"/>
      <c r="S11" s="1203"/>
      <c r="T11" s="223" t="s">
        <v>411</v>
      </c>
      <c r="U11" s="302"/>
      <c r="V11" s="302"/>
      <c r="W11" s="302"/>
      <c r="X11" s="302"/>
      <c r="Y11" s="302"/>
      <c r="Z11" s="302"/>
      <c r="AA11" s="302"/>
      <c r="AB11" s="302"/>
      <c r="AC11" s="301"/>
      <c r="AD11" s="302"/>
      <c r="AE11" s="302"/>
      <c r="AF11" s="302"/>
      <c r="AG11" s="302"/>
      <c r="AH11" s="302"/>
      <c r="AI11" s="302"/>
      <c r="AJ11" s="302"/>
      <c r="AK11" s="301"/>
      <c r="AL11" s="302"/>
      <c r="AM11" s="239"/>
      <c r="AO11" s="435"/>
      <c r="AP11" s="435" t="str">
        <f t="shared" si="0"/>
        <v>Добавить группу потребителей</v>
      </c>
      <c r="AQ11" s="435"/>
      <c r="AR11" s="435"/>
      <c r="AS11" s="1080">
        <v>0</v>
      </c>
    </row>
    <row r="12" spans="1:45" ht="14.25" hidden="1" customHeight="1">
      <c r="A12" s="1288"/>
      <c r="B12" s="1288"/>
      <c r="C12" s="1288"/>
      <c r="D12" s="1288"/>
      <c r="E12" s="2187"/>
      <c r="F12" s="2187"/>
      <c r="G12" s="2187"/>
      <c r="H12" s="2186"/>
      <c r="I12" s="1288"/>
      <c r="J12" s="1288"/>
      <c r="K12" s="1288"/>
      <c r="L12" s="1289"/>
      <c r="M12" s="1290"/>
      <c r="N12" s="1290"/>
      <c r="O12" s="472"/>
      <c r="P12" s="295"/>
      <c r="Q12" s="310"/>
      <c r="R12" s="290"/>
      <c r="S12" s="1203"/>
      <c r="T12" s="300" t="s">
        <v>412</v>
      </c>
      <c r="U12" s="302"/>
      <c r="V12" s="302"/>
      <c r="W12" s="302"/>
      <c r="X12" s="302"/>
      <c r="Y12" s="302"/>
      <c r="Z12" s="302"/>
      <c r="AA12" s="302"/>
      <c r="AB12" s="302"/>
      <c r="AC12" s="301"/>
      <c r="AD12" s="302"/>
      <c r="AE12" s="302"/>
      <c r="AF12" s="302"/>
      <c r="AG12" s="302"/>
      <c r="AH12" s="302"/>
      <c r="AI12" s="302"/>
      <c r="AJ12" s="302"/>
      <c r="AK12" s="301"/>
      <c r="AL12" s="302"/>
      <c r="AM12" s="239"/>
      <c r="AO12" s="435"/>
      <c r="AP12" s="435" t="str">
        <f t="shared" si="0"/>
        <v>Добавить схему подключения</v>
      </c>
      <c r="AQ12" s="435"/>
      <c r="AR12" s="435"/>
      <c r="AS12" s="1080">
        <v>0</v>
      </c>
    </row>
    <row r="13" spans="1:45" s="1567" customFormat="1" ht="0.75" hidden="1" customHeight="1">
      <c r="A13" s="1239"/>
      <c r="B13" s="1239"/>
      <c r="C13" s="1239"/>
      <c r="D13" s="1239"/>
      <c r="E13" s="2187"/>
      <c r="F13" s="2187"/>
      <c r="G13" s="2186"/>
      <c r="H13" s="1239"/>
      <c r="I13" s="1239"/>
      <c r="J13" s="1239"/>
      <c r="K13" s="1239"/>
      <c r="L13" s="1264"/>
      <c r="M13" s="1240"/>
      <c r="N13" s="1240"/>
      <c r="P13" s="1241"/>
      <c r="Q13" s="1242"/>
      <c r="R13" s="1241"/>
      <c r="S13" s="1243"/>
      <c r="T13" s="1244" t="s">
        <v>413</v>
      </c>
      <c r="U13" s="1245"/>
      <c r="V13" s="1245"/>
      <c r="W13" s="1245"/>
      <c r="X13" s="1245"/>
      <c r="Y13" s="1245"/>
      <c r="Z13" s="1245"/>
      <c r="AA13" s="1245"/>
      <c r="AB13" s="1245"/>
      <c r="AC13" s="1245"/>
      <c r="AD13" s="1245"/>
      <c r="AE13" s="1245"/>
      <c r="AF13" s="1245"/>
      <c r="AG13" s="1245"/>
      <c r="AH13" s="1245"/>
      <c r="AI13" s="1245"/>
      <c r="AJ13" s="1245"/>
      <c r="AK13" s="1245"/>
      <c r="AL13" s="1245"/>
      <c r="AM13" s="1245"/>
      <c r="AO13" s="718"/>
      <c r="AP13" s="718" t="str">
        <f t="shared" si="0"/>
        <v>Добавить источник для дифференциации</v>
      </c>
      <c r="AQ13" s="718"/>
      <c r="AR13" s="718"/>
      <c r="AS13" s="453">
        <v>0</v>
      </c>
    </row>
    <row r="14" spans="1:45" s="1567" customFormat="1" ht="0.75" hidden="1" customHeight="1">
      <c r="A14" s="1239"/>
      <c r="B14" s="1239"/>
      <c r="C14" s="1239"/>
      <c r="D14" s="1239"/>
      <c r="E14" s="2187"/>
      <c r="F14" s="2186"/>
      <c r="G14" s="1239"/>
      <c r="H14" s="1239"/>
      <c r="I14" s="1239"/>
      <c r="J14" s="1239"/>
      <c r="K14" s="1239"/>
      <c r="L14" s="1264"/>
      <c r="M14" s="1246"/>
      <c r="N14" s="1246"/>
      <c r="P14" s="1241"/>
      <c r="Q14" s="1242"/>
      <c r="R14" s="1241"/>
      <c r="S14" s="1247"/>
      <c r="T14" s="1248" t="s">
        <v>414</v>
      </c>
      <c r="U14" s="1249"/>
      <c r="V14" s="1249"/>
      <c r="W14" s="1249"/>
      <c r="X14" s="1249"/>
      <c r="Y14" s="1249"/>
      <c r="Z14" s="1249"/>
      <c r="AA14" s="1249"/>
      <c r="AB14" s="1249"/>
      <c r="AC14" s="1249"/>
      <c r="AD14" s="1249"/>
      <c r="AE14" s="1249"/>
      <c r="AF14" s="1249"/>
      <c r="AG14" s="1249"/>
      <c r="AH14" s="1249"/>
      <c r="AI14" s="1249"/>
      <c r="AJ14" s="1249"/>
      <c r="AK14" s="1249"/>
      <c r="AL14" s="1249"/>
      <c r="AM14" s="1249"/>
      <c r="AO14" s="718"/>
      <c r="AP14" s="718" t="str">
        <f t="shared" si="0"/>
        <v>Добавить централизованную систему для дифференциации</v>
      </c>
      <c r="AQ14" s="718"/>
      <c r="AR14" s="718"/>
      <c r="AS14" s="453">
        <v>0</v>
      </c>
    </row>
    <row r="15" spans="1:45" s="1567" customFormat="1" ht="0.75" hidden="1" customHeight="1">
      <c r="A15" s="1239"/>
      <c r="B15" s="1239"/>
      <c r="C15" s="1239"/>
      <c r="D15" s="1239"/>
      <c r="E15" s="2186"/>
      <c r="F15" s="1239"/>
      <c r="G15" s="1239"/>
      <c r="H15" s="1239"/>
      <c r="I15" s="1239"/>
      <c r="J15" s="1239"/>
      <c r="K15" s="1239"/>
      <c r="L15" s="1264"/>
      <c r="M15" s="1246"/>
      <c r="N15" s="1246"/>
      <c r="P15" s="1241"/>
      <c r="Q15" s="1242"/>
      <c r="R15" s="1241"/>
      <c r="S15" s="1247"/>
      <c r="T15" s="1250" t="s">
        <v>415</v>
      </c>
      <c r="U15" s="1249"/>
      <c r="V15" s="1249"/>
      <c r="W15" s="1249"/>
      <c r="X15" s="1249"/>
      <c r="Y15" s="1249"/>
      <c r="Z15" s="1249"/>
      <c r="AA15" s="1249"/>
      <c r="AB15" s="1249"/>
      <c r="AC15" s="1249"/>
      <c r="AD15" s="1249"/>
      <c r="AE15" s="1249"/>
      <c r="AF15" s="1249"/>
      <c r="AG15" s="1249"/>
      <c r="AH15" s="1249"/>
      <c r="AI15" s="1249"/>
      <c r="AJ15" s="1249"/>
      <c r="AK15" s="1249"/>
      <c r="AL15" s="1249"/>
      <c r="AM15" s="1249"/>
      <c r="AO15" s="718"/>
      <c r="AP15" s="718" t="str">
        <f t="shared" si="0"/>
        <v>Добавить территорию для дифференциации</v>
      </c>
      <c r="AQ15" s="718"/>
      <c r="AR15" s="718"/>
      <c r="AS15" s="453">
        <v>0</v>
      </c>
    </row>
    <row r="16" spans="1:45" ht="14.25" hidden="1" customHeight="1">
      <c r="AC16" s="263"/>
      <c r="AK16" s="263"/>
      <c r="AS16" s="1080">
        <v>0</v>
      </c>
    </row>
    <row r="17" spans="1:45" ht="14.25" hidden="1" customHeight="1">
      <c r="P17" s="1236"/>
      <c r="AD17" s="1285"/>
      <c r="AE17" s="1285"/>
      <c r="AF17" s="1285"/>
      <c r="AG17" s="1286"/>
      <c r="AH17" s="2191"/>
      <c r="AI17" s="2192" t="s">
        <v>66</v>
      </c>
      <c r="AJ17" s="2191"/>
      <c r="AK17" s="2192" t="s">
        <v>66</v>
      </c>
      <c r="AS17" s="1080">
        <v>0</v>
      </c>
    </row>
    <row r="18" spans="1:45" ht="14.25" hidden="1" customHeight="1">
      <c r="P18" s="1236"/>
      <c r="AD18" s="1285"/>
      <c r="AE18" s="1285"/>
      <c r="AF18" s="1285"/>
      <c r="AG18" s="264" t="str">
        <f>AH17&amp;"-"&amp;AJ17</f>
        <v>-</v>
      </c>
      <c r="AH18" s="2192"/>
      <c r="AI18" s="2192"/>
      <c r="AJ18" s="2192"/>
      <c r="AK18" s="2192"/>
      <c r="AS18" s="1080">
        <v>0</v>
      </c>
    </row>
    <row r="19" spans="1:45" ht="14.25" hidden="1" customHeight="1">
      <c r="P19" s="1236"/>
      <c r="AK19" s="263"/>
      <c r="AS19" s="1080">
        <v>0</v>
      </c>
    </row>
    <row r="20" spans="1:45" s="1291" customFormat="1" ht="22.5" hidden="1" customHeight="1">
      <c r="L20" s="1254"/>
      <c r="M20" s="1287"/>
      <c r="N20" s="1287"/>
      <c r="O20" s="1292" t="s">
        <v>416</v>
      </c>
      <c r="P20" s="1287"/>
      <c r="Q20" s="1296"/>
      <c r="R20" s="1296"/>
      <c r="S20" s="664"/>
      <c r="Z20" s="1292"/>
      <c r="AB20" s="1292"/>
      <c r="AH20" s="1292"/>
      <c r="AJ20" s="1292"/>
      <c r="AN20" s="446"/>
      <c r="AO20" s="446"/>
      <c r="AP20" s="446"/>
      <c r="AQ20" s="446"/>
      <c r="AR20" s="446"/>
      <c r="AS20" s="1085">
        <v>0</v>
      </c>
    </row>
    <row r="21" spans="1:45" s="1291" customFormat="1" ht="14.25" hidden="1" customHeight="1">
      <c r="L21" s="1254"/>
      <c r="M21" s="1287"/>
      <c r="N21" s="1287"/>
      <c r="O21" s="1287"/>
      <c r="P21" s="1287"/>
      <c r="Q21" s="1296"/>
      <c r="R21" s="1296"/>
      <c r="S21" s="664"/>
      <c r="AN21" s="446"/>
      <c r="AO21" s="446"/>
      <c r="AP21" s="446"/>
      <c r="AQ21" s="446"/>
      <c r="AR21" s="446"/>
      <c r="AS21" s="1085">
        <v>0</v>
      </c>
    </row>
    <row r="22" spans="1:45" s="1291" customFormat="1" ht="14.25" hidden="1" customHeight="1">
      <c r="L22" s="1254"/>
      <c r="M22" s="1287"/>
      <c r="N22" s="1287"/>
      <c r="O22" s="1289" t="s">
        <v>417</v>
      </c>
      <c r="P22" s="1287"/>
      <c r="Q22" s="1296"/>
      <c r="R22" s="1296"/>
      <c r="S22" s="664"/>
      <c r="T22" s="1085" t="s">
        <v>418</v>
      </c>
      <c r="AA22" s="122" t="s">
        <v>419</v>
      </c>
      <c r="AC22" s="122" t="s">
        <v>420</v>
      </c>
      <c r="AD22" s="1085" t="s">
        <v>418</v>
      </c>
      <c r="AI22" s="122" t="s">
        <v>421</v>
      </c>
      <c r="AK22" s="122" t="s">
        <v>420</v>
      </c>
      <c r="AN22" s="446"/>
      <c r="AO22" s="446"/>
      <c r="AP22" s="446"/>
      <c r="AQ22" s="446"/>
      <c r="AR22" s="446"/>
      <c r="AS22" s="1085">
        <v>0</v>
      </c>
    </row>
    <row r="23" spans="1:45" ht="14.25" hidden="1" customHeight="1">
      <c r="O23" s="1289"/>
      <c r="P23" s="1236"/>
      <c r="AS23" s="1080">
        <v>0</v>
      </c>
    </row>
    <row r="24" spans="1:45" ht="14.25" hidden="1" customHeight="1">
      <c r="O24" s="1289"/>
      <c r="P24" s="1236"/>
      <c r="AS24" s="1080">
        <v>0</v>
      </c>
    </row>
    <row r="25" spans="1:45" ht="14.65" customHeight="1">
      <c r="Q25" s="311"/>
      <c r="R25" s="311"/>
      <c r="S25" s="1200"/>
      <c r="T25" s="298"/>
      <c r="U25" s="298"/>
      <c r="V25" s="444"/>
      <c r="W25" s="444"/>
      <c r="X25" s="444"/>
      <c r="Y25" s="444"/>
      <c r="Z25" s="444"/>
      <c r="AA25" s="444"/>
      <c r="AB25" s="444"/>
      <c r="AC25" s="444"/>
      <c r="AD25" s="444"/>
      <c r="AE25" s="444"/>
      <c r="AF25" s="444"/>
      <c r="AG25" s="444"/>
      <c r="AH25" s="444"/>
      <c r="AI25" s="444"/>
      <c r="AJ25" s="444"/>
      <c r="AK25" s="444"/>
      <c r="AS25" s="1080">
        <v>14</v>
      </c>
    </row>
    <row r="26" spans="1:45" ht="14.65" customHeight="1">
      <c r="Q26" s="311"/>
      <c r="R26" s="311"/>
      <c r="S26" s="2170" t="str">
        <f>IF(TEMPLATE_GROUP="P",PT_P_FORM_HEAT_4_NAME_FORM,PT_R_FORM_HEAT_21_NAME_FORM)</f>
        <v>Форма 19. Информация о предложении регулируемой организации о расчетной величине тарифов в сфере теплоснабжения на очередной расчетный период регулирования</v>
      </c>
      <c r="T26" s="2170"/>
      <c r="U26" s="2170"/>
      <c r="V26" s="2170"/>
      <c r="W26" s="2170"/>
      <c r="X26" s="2170"/>
      <c r="Y26" s="2170"/>
      <c r="Z26" s="2170"/>
      <c r="AA26" s="2170"/>
      <c r="AB26" s="2170"/>
      <c r="AC26" s="2170"/>
      <c r="AD26" s="2170"/>
      <c r="AE26" s="2170"/>
      <c r="AF26" s="2170"/>
      <c r="AG26" s="2170"/>
      <c r="AH26" s="2170"/>
      <c r="AI26" s="2170"/>
      <c r="AJ26" s="2170"/>
      <c r="AK26" s="1168"/>
      <c r="AS26" s="1080">
        <v>14</v>
      </c>
    </row>
    <row r="27" spans="1:45" ht="14.65" customHeight="1">
      <c r="Q27" s="311"/>
      <c r="R27" s="311"/>
      <c r="S27" s="2115" t="str">
        <f>IF(org=0,"Не определено",org)</f>
        <v>ООО "ЗЕНИТ ЭНЕРГО"</v>
      </c>
      <c r="T27" s="2115"/>
      <c r="U27" s="2115"/>
      <c r="V27" s="2115"/>
      <c r="W27" s="2115"/>
      <c r="X27" s="2115"/>
      <c r="Y27" s="2115"/>
      <c r="Z27" s="2115"/>
      <c r="AA27" s="2115"/>
      <c r="AB27" s="2115"/>
      <c r="AC27" s="2115"/>
      <c r="AD27" s="2115"/>
      <c r="AE27" s="2115"/>
      <c r="AF27" s="2115"/>
      <c r="AG27" s="2115"/>
      <c r="AH27" s="2115"/>
      <c r="AI27" s="2115"/>
      <c r="AJ27" s="2115"/>
      <c r="AK27" s="1168"/>
      <c r="AS27" s="1080">
        <v>14</v>
      </c>
    </row>
    <row r="28" spans="1:45" ht="14.25" hidden="1" customHeight="1">
      <c r="Q28" s="311"/>
      <c r="R28" s="311"/>
      <c r="S28" s="1200"/>
      <c r="T28" s="298"/>
      <c r="U28" s="298"/>
      <c r="V28" s="258"/>
      <c r="W28" s="258"/>
      <c r="X28" s="258"/>
      <c r="Y28" s="258"/>
      <c r="Z28" s="258"/>
      <c r="AA28" s="258"/>
      <c r="AB28" s="258"/>
      <c r="AC28" s="258"/>
      <c r="AD28" s="258"/>
      <c r="AE28" s="258"/>
      <c r="AF28" s="258"/>
      <c r="AG28" s="258"/>
      <c r="AH28" s="258"/>
      <c r="AI28" s="258"/>
      <c r="AJ28" s="258"/>
      <c r="AK28" s="258"/>
      <c r="AL28" s="444"/>
      <c r="AS28" s="1080">
        <v>0</v>
      </c>
    </row>
    <row r="29" spans="1:45" s="1777" customFormat="1" ht="25.5" hidden="1" customHeight="1">
      <c r="A29" s="1293"/>
      <c r="B29" s="1293"/>
      <c r="C29" s="1293"/>
      <c r="D29" s="1293"/>
      <c r="E29" s="1293"/>
      <c r="F29" s="1293"/>
      <c r="G29" s="1293"/>
      <c r="H29" s="1293"/>
      <c r="I29" s="1293"/>
      <c r="J29" s="1293"/>
      <c r="K29" s="1293"/>
      <c r="L29" s="1294"/>
      <c r="M29" s="1293"/>
      <c r="N29" s="1293"/>
      <c r="O29" s="1293"/>
      <c r="S29" s="2178" t="s">
        <v>42</v>
      </c>
      <c r="T29" s="2178"/>
      <c r="U29" s="1297"/>
      <c r="V29" s="2179" t="str">
        <f>IF(TITLE_NAME_OR_PR_CHANGE="",IF(TITLE_NAME_OR_PR="","",TITLE_NAME_OR_PR),TITLE_NAME_OR_PR_CHANGE)</f>
        <v/>
      </c>
      <c r="W29" s="2179"/>
      <c r="X29" s="2179"/>
      <c r="Y29" s="2179"/>
      <c r="Z29" s="2179"/>
      <c r="AA29" s="2179"/>
      <c r="AB29" s="2179"/>
      <c r="AC29" s="262"/>
      <c r="AD29" s="2179" t="str">
        <f>IF(TITLE_NAME_OR_PR_CHANGE="",IF(TITLE_NAME_OR_PR="","",TITLE_NAME_OR_PR),TITLE_NAME_OR_PR_CHANGE)</f>
        <v/>
      </c>
      <c r="AE29" s="2179"/>
      <c r="AF29" s="2179"/>
      <c r="AG29" s="2179"/>
      <c r="AH29" s="2179"/>
      <c r="AI29" s="2179"/>
      <c r="AJ29" s="2179"/>
      <c r="AK29" s="262"/>
      <c r="AL29" s="262"/>
      <c r="AM29" s="216"/>
      <c r="AN29" s="303"/>
      <c r="AO29" s="303"/>
      <c r="AP29" s="303"/>
      <c r="AQ29" s="303"/>
      <c r="AR29" s="303"/>
      <c r="AS29" s="353">
        <v>0</v>
      </c>
    </row>
    <row r="30" spans="1:45" s="1777" customFormat="1" ht="18.75" hidden="1" customHeight="1">
      <c r="A30" s="1293"/>
      <c r="B30" s="1293"/>
      <c r="C30" s="1293"/>
      <c r="D30" s="1293"/>
      <c r="E30" s="1293"/>
      <c r="F30" s="1293"/>
      <c r="G30" s="1293"/>
      <c r="H30" s="1293"/>
      <c r="I30" s="1293"/>
      <c r="J30" s="1293"/>
      <c r="K30" s="1293"/>
      <c r="L30" s="1294"/>
      <c r="M30" s="1293"/>
      <c r="N30" s="1293"/>
      <c r="O30" s="1293"/>
      <c r="S30" s="2178" t="s">
        <v>422</v>
      </c>
      <c r="T30" s="2178"/>
      <c r="U30" s="1297"/>
      <c r="V30" s="2188" t="str">
        <f>IF(TITLE_DATE_PR_CHANGE="",IF(TITLE_DATE_PR="","",TITLE_DATE_PR),TITLE_DATE_PR_CHANGE)</f>
        <v/>
      </c>
      <c r="W30" s="2188"/>
      <c r="X30" s="2188"/>
      <c r="Y30" s="2188"/>
      <c r="Z30" s="2188"/>
      <c r="AA30" s="2188"/>
      <c r="AB30" s="2188"/>
      <c r="AC30" s="262"/>
      <c r="AD30" s="2188" t="str">
        <f>IF(TITLE_DATE_PR_CHANGE="",IF(TITLE_DATE_PR="","",TITLE_DATE_PR),TITLE_DATE_PR_CHANGE)</f>
        <v/>
      </c>
      <c r="AE30" s="2188"/>
      <c r="AF30" s="2188"/>
      <c r="AG30" s="2188"/>
      <c r="AH30" s="2188"/>
      <c r="AI30" s="2188"/>
      <c r="AJ30" s="2188"/>
      <c r="AK30" s="262"/>
      <c r="AL30" s="262"/>
      <c r="AM30" s="216"/>
      <c r="AN30" s="303"/>
      <c r="AO30" s="303"/>
      <c r="AP30" s="303"/>
      <c r="AQ30" s="303"/>
      <c r="AR30" s="303"/>
      <c r="AS30" s="353">
        <v>0</v>
      </c>
    </row>
    <row r="31" spans="1:45" s="1777" customFormat="1" ht="18.75" hidden="1" customHeight="1">
      <c r="A31" s="1293"/>
      <c r="B31" s="1293"/>
      <c r="C31" s="1293"/>
      <c r="D31" s="1293"/>
      <c r="E31" s="1293"/>
      <c r="F31" s="1293"/>
      <c r="G31" s="1293"/>
      <c r="H31" s="1293"/>
      <c r="I31" s="1293"/>
      <c r="J31" s="1293"/>
      <c r="K31" s="1293"/>
      <c r="L31" s="1294"/>
      <c r="M31" s="1293"/>
      <c r="N31" s="1293"/>
      <c r="O31" s="1293"/>
      <c r="S31" s="2178" t="s">
        <v>423</v>
      </c>
      <c r="T31" s="2178"/>
      <c r="U31" s="1297"/>
      <c r="V31" s="2179" t="str">
        <f>IF(TITLE_NUMBER_PR_CHANGE="",IF(TITLE_NUMBER_PR="","",TITLE_NUMBER_PR),TITLE_NUMBER_PR_CHANGE)</f>
        <v/>
      </c>
      <c r="W31" s="2179"/>
      <c r="X31" s="2179"/>
      <c r="Y31" s="2179"/>
      <c r="Z31" s="2179"/>
      <c r="AA31" s="2179"/>
      <c r="AB31" s="2179"/>
      <c r="AC31" s="262"/>
      <c r="AD31" s="2179" t="str">
        <f>IF(TITLE_NUMBER_PR_CHANGE="",IF(TITLE_NUMBER_PR="","",TITLE_NUMBER_PR),TITLE_NUMBER_PR_CHANGE)</f>
        <v/>
      </c>
      <c r="AE31" s="2179"/>
      <c r="AF31" s="2179"/>
      <c r="AG31" s="2179"/>
      <c r="AH31" s="2179"/>
      <c r="AI31" s="2179"/>
      <c r="AJ31" s="2179"/>
      <c r="AK31" s="262"/>
      <c r="AL31" s="262"/>
      <c r="AM31" s="216"/>
      <c r="AN31" s="303"/>
      <c r="AO31" s="303"/>
      <c r="AP31" s="303"/>
      <c r="AQ31" s="303"/>
      <c r="AR31" s="303"/>
      <c r="AS31" s="353">
        <v>0</v>
      </c>
    </row>
    <row r="32" spans="1:45" s="1777" customFormat="1" ht="18.75" hidden="1" customHeight="1">
      <c r="A32" s="1293"/>
      <c r="B32" s="1293"/>
      <c r="C32" s="1293"/>
      <c r="D32" s="1293"/>
      <c r="E32" s="1293"/>
      <c r="F32" s="1293"/>
      <c r="G32" s="1293"/>
      <c r="H32" s="1293"/>
      <c r="I32" s="1293"/>
      <c r="J32" s="1293"/>
      <c r="K32" s="1293"/>
      <c r="L32" s="1294"/>
      <c r="M32" s="1293"/>
      <c r="N32" s="1293"/>
      <c r="O32" s="1293"/>
      <c r="S32" s="2178" t="s">
        <v>43</v>
      </c>
      <c r="T32" s="2178"/>
      <c r="U32" s="1297"/>
      <c r="V32" s="2179" t="str">
        <f>IF(TITLE_IST_PUB_CHANGE="",IF(TITLE_IST_PUB="","",TITLE_IST_PUB),TITLE_IST_PUB_CHANGE)</f>
        <v/>
      </c>
      <c r="W32" s="2179"/>
      <c r="X32" s="2179"/>
      <c r="Y32" s="2179"/>
      <c r="Z32" s="2179"/>
      <c r="AA32" s="2179"/>
      <c r="AB32" s="2179"/>
      <c r="AC32" s="262"/>
      <c r="AD32" s="2179" t="str">
        <f>IF(TITLE_IST_PUB_CHANGE="",IF(TITLE_IST_PUB="","",TITLE_IST_PUB),TITLE_IST_PUB_CHANGE)</f>
        <v/>
      </c>
      <c r="AE32" s="2179"/>
      <c r="AF32" s="2179"/>
      <c r="AG32" s="2179"/>
      <c r="AH32" s="2179"/>
      <c r="AI32" s="2179"/>
      <c r="AJ32" s="2179"/>
      <c r="AK32" s="262"/>
      <c r="AL32" s="262"/>
      <c r="AM32" s="216"/>
      <c r="AN32" s="303"/>
      <c r="AO32" s="303"/>
      <c r="AP32" s="303"/>
      <c r="AQ32" s="303"/>
      <c r="AR32" s="303"/>
      <c r="AS32" s="353">
        <v>0</v>
      </c>
    </row>
    <row r="33" spans="1:45" ht="14.25" hidden="1" customHeight="1">
      <c r="P33" s="1253"/>
      <c r="Q33" s="311"/>
      <c r="R33" s="311"/>
      <c r="S33" s="1200"/>
      <c r="T33" s="298"/>
      <c r="U33" s="298"/>
      <c r="V33" s="258"/>
      <c r="W33" s="258"/>
      <c r="X33" s="258"/>
      <c r="Y33" s="258"/>
      <c r="Z33" s="258"/>
      <c r="AA33" s="258"/>
      <c r="AB33" s="258"/>
      <c r="AC33" s="258"/>
      <c r="AD33" s="258"/>
      <c r="AE33" s="258"/>
      <c r="AF33" s="258"/>
      <c r="AG33" s="258"/>
      <c r="AH33" s="258"/>
      <c r="AI33" s="258"/>
      <c r="AJ33" s="258"/>
      <c r="AK33" s="258"/>
      <c r="AL33" s="444"/>
      <c r="AS33" s="1080">
        <v>0</v>
      </c>
    </row>
    <row r="34" spans="1:45" s="1777" customFormat="1" ht="18.75" hidden="1" customHeight="1">
      <c r="A34" s="1293"/>
      <c r="B34" s="1293"/>
      <c r="C34" s="1293"/>
      <c r="D34" s="1293"/>
      <c r="E34" s="1293"/>
      <c r="F34" s="1293"/>
      <c r="G34" s="1293"/>
      <c r="H34" s="1293"/>
      <c r="I34" s="1293"/>
      <c r="J34" s="1293"/>
      <c r="K34" s="1293"/>
      <c r="L34" s="1294"/>
      <c r="M34" s="1293"/>
      <c r="N34" s="1293"/>
      <c r="O34" s="1293"/>
      <c r="S34" s="2178" t="s">
        <v>424</v>
      </c>
      <c r="T34" s="2178"/>
      <c r="U34" s="1297"/>
      <c r="V34" s="2188" t="str">
        <f>IF(TITLE_DATE_PR_CHANGE="",IF(TITLE_DATE_PR="","",TITLE_DATE_PR),TITLE_DATE_PR_CHANGE)</f>
        <v/>
      </c>
      <c r="W34" s="2188"/>
      <c r="X34" s="2188"/>
      <c r="Y34" s="2188"/>
      <c r="Z34" s="2188"/>
      <c r="AA34" s="2188"/>
      <c r="AB34" s="2188"/>
      <c r="AC34" s="262"/>
      <c r="AD34" s="2188" t="str">
        <f>IF(TITLE_DATE_PR_CHANGE="",IF(TITLE_DATE_PR="","",TITLE_DATE_PR),TITLE_DATE_PR_CHANGE)</f>
        <v/>
      </c>
      <c r="AE34" s="2188"/>
      <c r="AF34" s="2188"/>
      <c r="AG34" s="2188"/>
      <c r="AH34" s="2188"/>
      <c r="AI34" s="2188"/>
      <c r="AJ34" s="2188"/>
      <c r="AK34" s="262"/>
      <c r="AL34" s="262"/>
      <c r="AM34" s="216"/>
      <c r="AN34" s="303"/>
      <c r="AO34" s="303"/>
      <c r="AP34" s="303"/>
      <c r="AQ34" s="303"/>
      <c r="AR34" s="303"/>
      <c r="AS34" s="353">
        <v>0</v>
      </c>
    </row>
    <row r="35" spans="1:45" s="1777" customFormat="1" ht="18.75" hidden="1" customHeight="1">
      <c r="A35" s="1293"/>
      <c r="B35" s="1293"/>
      <c r="C35" s="1293"/>
      <c r="D35" s="1293"/>
      <c r="E35" s="1293"/>
      <c r="F35" s="1293"/>
      <c r="G35" s="1293"/>
      <c r="H35" s="1293"/>
      <c r="I35" s="1293"/>
      <c r="J35" s="1293"/>
      <c r="K35" s="1293"/>
      <c r="L35" s="1294"/>
      <c r="M35" s="1293"/>
      <c r="N35" s="1293"/>
      <c r="O35" s="1293"/>
      <c r="S35" s="2178" t="s">
        <v>425</v>
      </c>
      <c r="T35" s="2178"/>
      <c r="U35" s="1297"/>
      <c r="V35" s="2179" t="str">
        <f>IF(TITLE_NUMBER_PR_CHANGE="",IF(TITLE_NUMBER_PR="","",TITLE_NUMBER_PR),TITLE_NUMBER_PR_CHANGE)</f>
        <v/>
      </c>
      <c r="W35" s="2179"/>
      <c r="X35" s="2179"/>
      <c r="Y35" s="2179"/>
      <c r="Z35" s="2179"/>
      <c r="AA35" s="2179"/>
      <c r="AB35" s="2179"/>
      <c r="AC35" s="262"/>
      <c r="AD35" s="2179" t="str">
        <f>IF(TITLE_NUMBER_PR_CHANGE="",IF(TITLE_NUMBER_PR="","",TITLE_NUMBER_PR),TITLE_NUMBER_PR_CHANGE)</f>
        <v/>
      </c>
      <c r="AE35" s="2179"/>
      <c r="AF35" s="2179"/>
      <c r="AG35" s="2179"/>
      <c r="AH35" s="2179"/>
      <c r="AI35" s="2179"/>
      <c r="AJ35" s="2179"/>
      <c r="AK35" s="262"/>
      <c r="AL35" s="262"/>
      <c r="AM35" s="216"/>
      <c r="AN35" s="303"/>
      <c r="AO35" s="303"/>
      <c r="AP35" s="303"/>
      <c r="AQ35" s="303"/>
      <c r="AR35" s="303"/>
      <c r="AS35" s="353">
        <v>0</v>
      </c>
    </row>
    <row r="36" spans="1:45" s="1777" customFormat="1" ht="0" hidden="1" customHeight="1">
      <c r="A36" s="1293"/>
      <c r="B36" s="1293"/>
      <c r="C36" s="1293"/>
      <c r="D36" s="1293"/>
      <c r="E36" s="1293"/>
      <c r="F36" s="1293"/>
      <c r="G36" s="1293"/>
      <c r="H36" s="1293"/>
      <c r="I36" s="1293"/>
      <c r="J36" s="1293"/>
      <c r="K36" s="1293"/>
      <c r="L36" s="1294"/>
      <c r="M36" s="1293"/>
      <c r="N36" s="1293"/>
      <c r="O36" s="1293"/>
      <c r="S36" s="259"/>
      <c r="T36" s="259"/>
      <c r="U36" s="1144"/>
      <c r="V36" s="262"/>
      <c r="W36" s="262"/>
      <c r="X36" s="262"/>
      <c r="Y36" s="262"/>
      <c r="Z36" s="262"/>
      <c r="AA36" s="262"/>
      <c r="AB36" s="262"/>
      <c r="AC36" s="214" t="s">
        <v>426</v>
      </c>
      <c r="AD36" s="262"/>
      <c r="AE36" s="262"/>
      <c r="AF36" s="262"/>
      <c r="AG36" s="262"/>
      <c r="AH36" s="262"/>
      <c r="AI36" s="262"/>
      <c r="AJ36" s="262"/>
      <c r="AK36" s="214" t="s">
        <v>426</v>
      </c>
      <c r="AN36" s="303"/>
      <c r="AO36" s="303"/>
      <c r="AP36" s="303"/>
      <c r="AQ36" s="303"/>
      <c r="AR36" s="303"/>
      <c r="AS36" s="353">
        <v>0</v>
      </c>
    </row>
    <row r="37" spans="1:45" ht="14.65" customHeight="1">
      <c r="Q37" s="311"/>
      <c r="R37" s="311"/>
      <c r="S37" s="1200"/>
      <c r="T37" s="298"/>
      <c r="U37" s="1169"/>
      <c r="V37" s="2180"/>
      <c r="W37" s="2180"/>
      <c r="X37" s="2180"/>
      <c r="Y37" s="2180"/>
      <c r="Z37" s="2180"/>
      <c r="AA37" s="2180"/>
      <c r="AB37" s="2180"/>
      <c r="AC37" s="2180"/>
      <c r="AD37" s="2180"/>
      <c r="AE37" s="2180"/>
      <c r="AF37" s="2180"/>
      <c r="AG37" s="2180"/>
      <c r="AH37" s="2180"/>
      <c r="AI37" s="2180"/>
      <c r="AJ37" s="2180"/>
      <c r="AK37" s="2180"/>
      <c r="AS37" s="1080">
        <v>14</v>
      </c>
    </row>
    <row r="38" spans="1:45" ht="14.65" customHeight="1">
      <c r="Q38" s="311"/>
      <c r="R38" s="311"/>
      <c r="S38" s="2066" t="s">
        <v>299</v>
      </c>
      <c r="T38" s="2066"/>
      <c r="U38" s="2066"/>
      <c r="V38" s="2066"/>
      <c r="W38" s="2066"/>
      <c r="X38" s="2066"/>
      <c r="Y38" s="2066"/>
      <c r="Z38" s="2066"/>
      <c r="AA38" s="2066"/>
      <c r="AB38" s="2066"/>
      <c r="AC38" s="2066"/>
      <c r="AD38" s="2066"/>
      <c r="AE38" s="2066"/>
      <c r="AF38" s="2066"/>
      <c r="AG38" s="2066"/>
      <c r="AH38" s="2066"/>
      <c r="AI38" s="2066"/>
      <c r="AJ38" s="2066"/>
      <c r="AK38" s="2066"/>
      <c r="AL38" s="2066"/>
      <c r="AM38" s="2066" t="s">
        <v>300</v>
      </c>
      <c r="AS38" s="1080">
        <v>14</v>
      </c>
    </row>
    <row r="39" spans="1:45" ht="14.65" customHeight="1">
      <c r="Q39" s="311"/>
      <c r="R39" s="311"/>
      <c r="S39" s="2194" t="s">
        <v>88</v>
      </c>
      <c r="T39" s="2145" t="s">
        <v>427</v>
      </c>
      <c r="U39" s="237"/>
      <c r="V39" s="2195" t="s">
        <v>428</v>
      </c>
      <c r="W39" s="2196"/>
      <c r="X39" s="2196"/>
      <c r="Y39" s="2196"/>
      <c r="Z39" s="2196"/>
      <c r="AA39" s="2196"/>
      <c r="AB39" s="2197"/>
      <c r="AC39" s="2198" t="s">
        <v>429</v>
      </c>
      <c r="AD39" s="2195" t="s">
        <v>428</v>
      </c>
      <c r="AE39" s="2196"/>
      <c r="AF39" s="2196"/>
      <c r="AG39" s="2196"/>
      <c r="AH39" s="2196"/>
      <c r="AI39" s="2196"/>
      <c r="AJ39" s="2197"/>
      <c r="AK39" s="2198" t="s">
        <v>430</v>
      </c>
      <c r="AL39" s="2201" t="s">
        <v>431</v>
      </c>
      <c r="AM39" s="2066"/>
      <c r="AS39" s="1080">
        <v>14</v>
      </c>
    </row>
    <row r="40" spans="1:45" ht="35.65" customHeight="1">
      <c r="Q40" s="311"/>
      <c r="R40" s="311"/>
      <c r="S40" s="2194"/>
      <c r="T40" s="2145"/>
      <c r="U40" s="959"/>
      <c r="V40" s="2114" t="s">
        <v>432</v>
      </c>
      <c r="W40" s="2204" t="s">
        <v>433</v>
      </c>
      <c r="X40" s="2038" t="s">
        <v>434</v>
      </c>
      <c r="Y40" s="2037"/>
      <c r="Z40" s="2038" t="s">
        <v>435</v>
      </c>
      <c r="AA40" s="2043"/>
      <c r="AB40" s="2037"/>
      <c r="AC40" s="2199"/>
      <c r="AD40" s="2114" t="s">
        <v>432</v>
      </c>
      <c r="AE40" s="2204" t="s">
        <v>433</v>
      </c>
      <c r="AF40" s="2038" t="s">
        <v>434</v>
      </c>
      <c r="AG40" s="2037"/>
      <c r="AH40" s="2038" t="s">
        <v>435</v>
      </c>
      <c r="AI40" s="2043"/>
      <c r="AJ40" s="2037"/>
      <c r="AK40" s="2199"/>
      <c r="AL40" s="2202"/>
      <c r="AM40" s="2066"/>
      <c r="AS40" s="1080">
        <v>34</v>
      </c>
    </row>
    <row r="41" spans="1:45" ht="35.65" customHeight="1">
      <c r="A41" s="1295"/>
      <c r="B41" s="1295" t="s">
        <v>136</v>
      </c>
      <c r="C41" s="1295" t="s">
        <v>137</v>
      </c>
      <c r="D41" s="1295" t="s">
        <v>138</v>
      </c>
      <c r="E41" s="1289" t="s">
        <v>436</v>
      </c>
      <c r="F41" s="1289" t="s">
        <v>437</v>
      </c>
      <c r="G41" s="1289" t="s">
        <v>438</v>
      </c>
      <c r="H41" s="1289" t="s">
        <v>439</v>
      </c>
      <c r="I41" s="1289" t="s">
        <v>440</v>
      </c>
      <c r="J41" s="1289" t="s">
        <v>441</v>
      </c>
      <c r="K41" s="1289" t="s">
        <v>442</v>
      </c>
      <c r="L41" s="1289" t="s">
        <v>417</v>
      </c>
      <c r="Q41" s="311"/>
      <c r="R41" s="311"/>
      <c r="S41" s="2194"/>
      <c r="T41" s="2145"/>
      <c r="U41" s="238"/>
      <c r="V41" s="2165"/>
      <c r="W41" s="2205"/>
      <c r="X41" s="1147" t="s">
        <v>443</v>
      </c>
      <c r="Y41" s="1147" t="s">
        <v>444</v>
      </c>
      <c r="Z41" s="1146" t="s">
        <v>445</v>
      </c>
      <c r="AA41" s="2154" t="s">
        <v>446</v>
      </c>
      <c r="AB41" s="2156"/>
      <c r="AC41" s="2200"/>
      <c r="AD41" s="2165"/>
      <c r="AE41" s="2205"/>
      <c r="AF41" s="1147" t="s">
        <v>443</v>
      </c>
      <c r="AG41" s="1147" t="s">
        <v>444</v>
      </c>
      <c r="AH41" s="1238" t="s">
        <v>445</v>
      </c>
      <c r="AI41" s="2154" t="s">
        <v>446</v>
      </c>
      <c r="AJ41" s="2156"/>
      <c r="AK41" s="2200"/>
      <c r="AL41" s="2203"/>
      <c r="AM41" s="2066"/>
      <c r="AS41" s="1080">
        <v>34</v>
      </c>
    </row>
    <row r="42" spans="1:45" s="1566" customFormat="1" ht="11.25" hidden="1" customHeight="1">
      <c r="A42" s="1295"/>
      <c r="B42" s="1295"/>
      <c r="C42" s="1295"/>
      <c r="D42" s="1295"/>
      <c r="E42" s="1295"/>
      <c r="F42" s="1295"/>
      <c r="G42" s="1295"/>
      <c r="H42" s="1295"/>
      <c r="I42" s="1295"/>
      <c r="J42" s="1295"/>
      <c r="K42" s="1295"/>
      <c r="L42" s="1289"/>
      <c r="M42" s="1287"/>
      <c r="N42" s="1287"/>
      <c r="O42" s="1287"/>
      <c r="P42" s="1171"/>
      <c r="Q42" s="1172"/>
      <c r="R42" s="1179">
        <v>1</v>
      </c>
      <c r="S42" s="1202" t="s">
        <v>109</v>
      </c>
      <c r="T42" s="1180" t="s">
        <v>110</v>
      </c>
      <c r="U42" s="1170" t="str">
        <f ca="1">OFFSET(U42,0,-1)</f>
        <v>2</v>
      </c>
      <c r="V42" s="1181">
        <f ca="1">OFFSET(V42,0,-1)+1</f>
        <v>3</v>
      </c>
      <c r="W42" s="1181"/>
      <c r="X42" s="1181">
        <f ca="1">OFFSET(X42,0,-1)+1</f>
        <v>1</v>
      </c>
      <c r="Y42" s="1181">
        <f ca="1">OFFSET(Y42,0,-1)+1</f>
        <v>2</v>
      </c>
      <c r="Z42" s="1181">
        <f ca="1">OFFSET(Z42,0,-1)+1</f>
        <v>3</v>
      </c>
      <c r="AA42" s="2193">
        <f ca="1">OFFSET(AA42,0,-1)+1</f>
        <v>4</v>
      </c>
      <c r="AB42" s="2193"/>
      <c r="AC42" s="1181">
        <f ca="1">OFFSET(AC42,0,-2)+1</f>
        <v>5</v>
      </c>
      <c r="AD42" s="1237">
        <f ca="1">OFFSET(AD42,0,-1)+1</f>
        <v>6</v>
      </c>
      <c r="AE42" s="1237"/>
      <c r="AF42" s="1237">
        <f ca="1">OFFSET(AF42,0,-1)+1</f>
        <v>1</v>
      </c>
      <c r="AG42" s="1237">
        <f ca="1">OFFSET(AG42,0,-1)+1</f>
        <v>2</v>
      </c>
      <c r="AH42" s="1237">
        <f ca="1">OFFSET(AH42,0,-1)+1</f>
        <v>3</v>
      </c>
      <c r="AI42" s="2193">
        <f ca="1">OFFSET(AI42,0,-1)+1</f>
        <v>4</v>
      </c>
      <c r="AJ42" s="2193"/>
      <c r="AK42" s="1237">
        <f ca="1">OFFSET(AK42,0,-2)+1</f>
        <v>5</v>
      </c>
      <c r="AL42" s="1170">
        <f ca="1">OFFSET(AL42,0,-1)</f>
        <v>5</v>
      </c>
      <c r="AM42" s="1181">
        <f ca="1">OFFSET(AM42,0,-1)+1</f>
        <v>6</v>
      </c>
      <c r="AN42" s="446"/>
      <c r="AO42" s="446"/>
      <c r="AP42" s="446"/>
      <c r="AQ42" s="446"/>
      <c r="AR42" s="446"/>
      <c r="AS42" s="431">
        <v>0</v>
      </c>
    </row>
    <row r="43" spans="1:45" ht="24" customHeight="1">
      <c r="A43" s="1288" t="s">
        <v>157</v>
      </c>
      <c r="B43" s="1288"/>
      <c r="C43" s="1288"/>
      <c r="D43" s="1288"/>
      <c r="E43" s="2186">
        <v>1</v>
      </c>
      <c r="F43" s="1288"/>
      <c r="G43" s="1288"/>
      <c r="H43" s="1288"/>
      <c r="I43" s="1288"/>
      <c r="J43" s="1288"/>
      <c r="K43" s="1288"/>
      <c r="L43" s="1289"/>
      <c r="M43" s="1290"/>
      <c r="N43" s="1290"/>
      <c r="O43" s="1290"/>
      <c r="P43" s="296"/>
      <c r="Q43" s="295"/>
      <c r="R43" s="290"/>
      <c r="S43" s="1149">
        <f>INDEX(PT_DIFFERENTIATION_NUM_NTAR,MATCH(A43,PT_DIFFERENTIATION_NTAR_ID,0))</f>
        <v>0</v>
      </c>
      <c r="T43" s="234" t="s">
        <v>124</v>
      </c>
      <c r="U43" s="236"/>
      <c r="V43" s="2172"/>
      <c r="W43" s="2173"/>
      <c r="X43" s="2173"/>
      <c r="Y43" s="2173"/>
      <c r="Z43" s="2173"/>
      <c r="AA43" s="2173"/>
      <c r="AB43" s="2173"/>
      <c r="AC43" s="2174"/>
      <c r="AD43" s="2172" t="str">
        <f>INDEX(PT_DIFFERENTIATION_NTAR,MATCH(A43,PT_DIFFERENTIATION_NTAR_ID,0))</f>
        <v/>
      </c>
      <c r="AE43" s="2173"/>
      <c r="AF43" s="2173"/>
      <c r="AG43" s="2173"/>
      <c r="AH43" s="2173"/>
      <c r="AI43" s="2173"/>
      <c r="AJ43" s="2173"/>
      <c r="AK43" s="2173"/>
      <c r="AL43" s="2174"/>
      <c r="AM43" s="1183" t="str">
        <f>IF(TEMPLATE_GROUP="P","По данной форме раскрывается в том числе информация об индикативном предельном уровне цены на тепловую энергию (мощность), который определен в соответствии с Правилами определения в ценовых зонах теплоснабжения предельного уровня "&amp;"цены на тепловую энергию (мощность), включая правила индексации предельного уровня цены на тепловую энергию (мощность), "&amp;"утвержденными постановлением Правительства Российской Федерации от 15 декабря 2017 г. N 1562 (далее - Правила), о графике поэтапного равномерного доведения предельного уровня цены на тепловую энергию (мощность) до уровня, "&amp;"определяемого в соответствии с указанными "&amp;"Правилами, а также информация о тарифах на товары (услуги) в сфере теплоснабжения в случаях, указанных частях 12 1 - 12 4 статьи 10 Федерального закона от 27 июля 2010 г. N 190-ФЗ ""О теплоснабжении"", "&amp;"теплоснабжающей организации, теплосетевой организации в ценовых зонах теплоснабжения. Для каждого вида тарифа в сфере теплоснабжения форма заполняется отдельно."&amp;"
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"&amp;"об установлении цены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"&amp;"Указывается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Для каждого вида тарифа в сфере теплоснабжения форма заполняется отдельно.
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Указывается наименование тарифа в случае предложения нескольких тарифов.
В случае наличия нескольких тарифов информация по ним указывается в отдельных строках.</v>
      </c>
      <c r="AO43" s="435"/>
      <c r="AP43" s="435" t="str">
        <f t="shared" ref="AP43:AP57" si="1">IF(T43="","",T43)</f>
        <v>Наименование тарифа</v>
      </c>
      <c r="AQ43" s="435"/>
      <c r="AR43" s="435"/>
      <c r="AS43" s="1080">
        <v>23</v>
      </c>
    </row>
    <row r="44" spans="1:45" ht="24" customHeight="1">
      <c r="A44" s="1288" t="s">
        <v>157</v>
      </c>
      <c r="B44" s="1288" t="s">
        <v>158</v>
      </c>
      <c r="C44" s="1288"/>
      <c r="D44" s="1288"/>
      <c r="E44" s="2187"/>
      <c r="F44" s="2186">
        <v>1</v>
      </c>
      <c r="G44" s="1288"/>
      <c r="H44" s="1288"/>
      <c r="I44" s="1288"/>
      <c r="J44" s="1288"/>
      <c r="K44" s="1288"/>
      <c r="L44" s="1289"/>
      <c r="M44" s="1290"/>
      <c r="N44" s="1290"/>
      <c r="O44" s="1290"/>
      <c r="P44" s="457"/>
      <c r="Q44" s="287"/>
      <c r="R44" s="288"/>
      <c r="S44" s="1149" t="str">
        <f>INDEX(PT_DIFFERENTIATION_NUM_TER,MATCH(B44,PT_DIFFERENTIATION_TER_ID,0))</f>
        <v>.</v>
      </c>
      <c r="T44" s="244" t="s">
        <v>396</v>
      </c>
      <c r="U44" s="236"/>
      <c r="V44" s="2172"/>
      <c r="W44" s="2173"/>
      <c r="X44" s="2173"/>
      <c r="Y44" s="2173"/>
      <c r="Z44" s="2173"/>
      <c r="AA44" s="2173"/>
      <c r="AB44" s="2173"/>
      <c r="AC44" s="2174"/>
      <c r="AD44" s="2172" t="str">
        <f>INDEX(PT_DIFFERENTIATION_TER,MATCH(B44,PT_DIFFERENTIATION_TER_ID,0))</f>
        <v/>
      </c>
      <c r="AE44" s="2173"/>
      <c r="AF44" s="2173"/>
      <c r="AG44" s="2173"/>
      <c r="AH44" s="2173"/>
      <c r="AI44" s="2173"/>
      <c r="AJ44" s="2173"/>
      <c r="AK44" s="2173"/>
      <c r="AL44" s="2174"/>
      <c r="AM44" s="1183" t="s">
        <v>397</v>
      </c>
      <c r="AO44" s="435"/>
      <c r="AP44" s="435" t="str">
        <f t="shared" si="1"/>
        <v>Территория действия тарифа</v>
      </c>
      <c r="AQ44" s="435"/>
      <c r="AR44" s="435"/>
      <c r="AS44" s="1080">
        <v>23</v>
      </c>
    </row>
    <row r="45" spans="1:45" ht="24" customHeight="1">
      <c r="A45" s="1288" t="s">
        <v>157</v>
      </c>
      <c r="B45" s="1288" t="s">
        <v>158</v>
      </c>
      <c r="C45" s="1288" t="s">
        <v>159</v>
      </c>
      <c r="D45" s="1288"/>
      <c r="E45" s="2187"/>
      <c r="F45" s="2187"/>
      <c r="G45" s="2186">
        <v>1</v>
      </c>
      <c r="H45" s="1288"/>
      <c r="I45" s="1288"/>
      <c r="J45" s="1288"/>
      <c r="K45" s="1288"/>
      <c r="L45" s="1289"/>
      <c r="M45" s="1290"/>
      <c r="N45" s="1290"/>
      <c r="O45" s="1290"/>
      <c r="P45" s="289"/>
      <c r="Q45" s="287"/>
      <c r="R45" s="288"/>
      <c r="S45" s="1149" t="str">
        <f>INDEX(PT_DIFFERENTIATION_NUM_CS,MATCH(C45,PT_DIFFERENTIATION_CS_ID,0))</f>
        <v>..</v>
      </c>
      <c r="T45" s="245" t="s">
        <v>398</v>
      </c>
      <c r="U45" s="236"/>
      <c r="V45" s="2172"/>
      <c r="W45" s="2173"/>
      <c r="X45" s="2173"/>
      <c r="Y45" s="2173"/>
      <c r="Z45" s="2173"/>
      <c r="AA45" s="2173"/>
      <c r="AB45" s="2173"/>
      <c r="AC45" s="2174"/>
      <c r="AD45" s="2172" t="str">
        <f>INDEX(PT_DIFFERENTIATION_CS,MATCH(C45,PT_DIFFERENTIATION_CS_ID,0))</f>
        <v/>
      </c>
      <c r="AE45" s="2173"/>
      <c r="AF45" s="2173"/>
      <c r="AG45" s="2173"/>
      <c r="AH45" s="2173"/>
      <c r="AI45" s="2173"/>
      <c r="AJ45" s="2173"/>
      <c r="AK45" s="2173"/>
      <c r="AL45" s="2174"/>
      <c r="AM45" s="1183" t="s">
        <v>399</v>
      </c>
      <c r="AO45" s="435"/>
      <c r="AP45" s="435" t="str">
        <f t="shared" si="1"/>
        <v xml:space="preserve">Наименование системы теплоснабжения </v>
      </c>
      <c r="AQ45" s="435"/>
      <c r="AR45" s="435"/>
      <c r="AS45" s="1080">
        <v>23</v>
      </c>
    </row>
    <row r="46" spans="1:45" ht="24" customHeight="1">
      <c r="A46" s="1288" t="s">
        <v>157</v>
      </c>
      <c r="B46" s="1288" t="s">
        <v>158</v>
      </c>
      <c r="C46" s="1288" t="s">
        <v>159</v>
      </c>
      <c r="D46" s="1288" t="s">
        <v>160</v>
      </c>
      <c r="E46" s="2187"/>
      <c r="F46" s="2187"/>
      <c r="G46" s="2187"/>
      <c r="H46" s="2186">
        <v>1</v>
      </c>
      <c r="I46" s="1288"/>
      <c r="J46" s="1288"/>
      <c r="K46" s="1288"/>
      <c r="L46" s="1289"/>
      <c r="M46" s="1290"/>
      <c r="N46" s="1290"/>
      <c r="O46" s="1290"/>
      <c r="P46" s="289"/>
      <c r="Q46" s="287"/>
      <c r="R46" s="288"/>
      <c r="S46" s="1149" t="str">
        <f>INDEX(PT_DIFFERENTIATION_NUM_IST_TE,MATCH(D46,PT_DIFFERENTIATION_IST_TE_ID,0))</f>
        <v>...</v>
      </c>
      <c r="T46" s="246" t="s">
        <v>400</v>
      </c>
      <c r="U46" s="236"/>
      <c r="V46" s="2172"/>
      <c r="W46" s="2173"/>
      <c r="X46" s="2173"/>
      <c r="Y46" s="2173"/>
      <c r="Z46" s="2173"/>
      <c r="AA46" s="2173"/>
      <c r="AB46" s="2173"/>
      <c r="AC46" s="2174"/>
      <c r="AD46" s="2172" t="str">
        <f>INDEX(PT_DIFFERENTIATION_IST_TE,MATCH(D46,PT_DIFFERENTIATION_IST_TE_ID,0))</f>
        <v/>
      </c>
      <c r="AE46" s="2173"/>
      <c r="AF46" s="2173"/>
      <c r="AG46" s="2173"/>
      <c r="AH46" s="2173"/>
      <c r="AI46" s="2173"/>
      <c r="AJ46" s="2173"/>
      <c r="AK46" s="2173"/>
      <c r="AL46" s="2174"/>
      <c r="AM46" s="1183" t="s">
        <v>401</v>
      </c>
      <c r="AO46" s="435"/>
      <c r="AP46" s="435" t="str">
        <f t="shared" si="1"/>
        <v xml:space="preserve">Источник тепловой энергии  </v>
      </c>
      <c r="AQ46" s="435"/>
      <c r="AR46" s="435"/>
      <c r="AS46" s="1080">
        <v>23</v>
      </c>
    </row>
    <row r="47" spans="1:45" ht="49.5" customHeight="1">
      <c r="A47" s="1288" t="s">
        <v>157</v>
      </c>
      <c r="B47" s="1288" t="s">
        <v>158</v>
      </c>
      <c r="C47" s="1288" t="s">
        <v>159</v>
      </c>
      <c r="D47" s="1288" t="s">
        <v>160</v>
      </c>
      <c r="E47" s="2187"/>
      <c r="F47" s="2187"/>
      <c r="G47" s="2187"/>
      <c r="H47" s="2187"/>
      <c r="I47" s="2184" t="str">
        <f>S46&amp;".1"</f>
        <v>....1</v>
      </c>
      <c r="J47" s="1288"/>
      <c r="K47" s="1288"/>
      <c r="L47" s="1289" t="s">
        <v>402</v>
      </c>
      <c r="P47" s="2185">
        <v>1</v>
      </c>
      <c r="Q47" s="1145"/>
      <c r="R47" s="291"/>
      <c r="S47" s="1149" t="str">
        <f>$I47</f>
        <v>....1</v>
      </c>
      <c r="T47" s="221" t="s">
        <v>403</v>
      </c>
      <c r="U47" s="236"/>
      <c r="V47" s="2175"/>
      <c r="W47" s="2176"/>
      <c r="X47" s="2176"/>
      <c r="Y47" s="2176"/>
      <c r="Z47" s="2176"/>
      <c r="AA47" s="2176"/>
      <c r="AB47" s="2176"/>
      <c r="AC47" s="2177"/>
      <c r="AD47" s="2175"/>
      <c r="AE47" s="2176"/>
      <c r="AF47" s="2176"/>
      <c r="AG47" s="2176"/>
      <c r="AH47" s="2176"/>
      <c r="AI47" s="2176"/>
      <c r="AJ47" s="2176"/>
      <c r="AK47" s="2176"/>
      <c r="AL47" s="2177"/>
      <c r="AM47" s="1183" t="s">
        <v>404</v>
      </c>
      <c r="AO47" s="435"/>
      <c r="AP47" s="435" t="str">
        <f t="shared" si="1"/>
        <v>Схема подключения теплопотребляющей установки к коллектору источника тепловой энергии</v>
      </c>
      <c r="AQ47" s="435"/>
      <c r="AR47" s="435"/>
      <c r="AS47" s="1080">
        <v>47</v>
      </c>
    </row>
    <row r="48" spans="1:45" ht="24" customHeight="1">
      <c r="A48" s="1288" t="s">
        <v>157</v>
      </c>
      <c r="B48" s="1288" t="s">
        <v>158</v>
      </c>
      <c r="C48" s="1288" t="s">
        <v>159</v>
      </c>
      <c r="D48" s="1288" t="s">
        <v>160</v>
      </c>
      <c r="E48" s="2187"/>
      <c r="F48" s="2187"/>
      <c r="G48" s="2187"/>
      <c r="H48" s="2187"/>
      <c r="I48" s="2207"/>
      <c r="J48" s="2184" t="str">
        <f>I47&amp;".1"</f>
        <v>....1.1</v>
      </c>
      <c r="K48" s="1288"/>
      <c r="L48" s="1289" t="s">
        <v>405</v>
      </c>
      <c r="P48" s="2185"/>
      <c r="Q48" s="2185">
        <v>1</v>
      </c>
      <c r="R48" s="292"/>
      <c r="S48" s="1149" t="str">
        <f>$J48</f>
        <v>....1.1</v>
      </c>
      <c r="T48" s="222" t="s">
        <v>406</v>
      </c>
      <c r="U48" s="236"/>
      <c r="V48" s="2175"/>
      <c r="W48" s="2176"/>
      <c r="X48" s="2176"/>
      <c r="Y48" s="2176"/>
      <c r="Z48" s="2176"/>
      <c r="AA48" s="2176"/>
      <c r="AB48" s="2176"/>
      <c r="AC48" s="2177"/>
      <c r="AD48" s="2175"/>
      <c r="AE48" s="2176"/>
      <c r="AF48" s="2176"/>
      <c r="AG48" s="2176"/>
      <c r="AH48" s="2176"/>
      <c r="AI48" s="2176"/>
      <c r="AJ48" s="2176"/>
      <c r="AK48" s="2176"/>
      <c r="AL48" s="2177"/>
      <c r="AM48" s="1183" t="s">
        <v>407</v>
      </c>
      <c r="AO48" s="435"/>
      <c r="AP48" s="435" t="str">
        <f t="shared" si="1"/>
        <v>Группа потребителей</v>
      </c>
      <c r="AQ48" s="435"/>
      <c r="AR48" s="435"/>
      <c r="AS48" s="1080">
        <v>23</v>
      </c>
    </row>
    <row r="49" spans="1:45" ht="24" customHeight="1">
      <c r="A49" s="1288" t="s">
        <v>157</v>
      </c>
      <c r="B49" s="1288" t="s">
        <v>158</v>
      </c>
      <c r="C49" s="1288" t="s">
        <v>159</v>
      </c>
      <c r="D49" s="1288" t="s">
        <v>160</v>
      </c>
      <c r="E49" s="2187"/>
      <c r="F49" s="2187"/>
      <c r="G49" s="2187"/>
      <c r="H49" s="2187"/>
      <c r="I49" s="2207"/>
      <c r="J49" s="2207"/>
      <c r="K49" s="2184" t="str">
        <f>J48&amp;".1"</f>
        <v>....1.1.1</v>
      </c>
      <c r="L49" s="1289" t="s">
        <v>408</v>
      </c>
      <c r="P49" s="2185"/>
      <c r="Q49" s="2185"/>
      <c r="R49" s="292">
        <v>1</v>
      </c>
      <c r="S49" s="1149" t="str">
        <f>$K49</f>
        <v>....1.1.1</v>
      </c>
      <c r="T49" s="1272"/>
      <c r="U49" s="236"/>
      <c r="V49" s="686"/>
      <c r="W49" s="261"/>
      <c r="X49" s="686"/>
      <c r="Y49" s="1182"/>
      <c r="Z49" s="2189"/>
      <c r="AA49" s="2047" t="s">
        <v>66</v>
      </c>
      <c r="AB49" s="2189"/>
      <c r="AC49" s="2047" t="s">
        <v>66</v>
      </c>
      <c r="AD49" s="686"/>
      <c r="AE49" s="261"/>
      <c r="AF49" s="686"/>
      <c r="AG49" s="1182"/>
      <c r="AH49" s="2189"/>
      <c r="AI49" s="2047" t="s">
        <v>66</v>
      </c>
      <c r="AJ49" s="2208"/>
      <c r="AK49" s="2047" t="s">
        <v>66</v>
      </c>
      <c r="AL49" s="1273"/>
      <c r="AM49" s="2181" t="s">
        <v>409</v>
      </c>
      <c r="AN49" s="446" t="e">
        <f ca="1">STRCHECKDATE(V50:AL50)</f>
        <v>#NAME?</v>
      </c>
      <c r="AO49" s="435"/>
      <c r="AP49" s="435" t="str">
        <f t="shared" si="1"/>
        <v/>
      </c>
      <c r="AQ49" s="435"/>
      <c r="AR49" s="435"/>
      <c r="AS49" s="1080">
        <v>23</v>
      </c>
    </row>
    <row r="50" spans="1:45" ht="1.1499999999999999" customHeight="1">
      <c r="A50" s="1288" t="s">
        <v>157</v>
      </c>
      <c r="B50" s="1288" t="s">
        <v>158</v>
      </c>
      <c r="C50" s="1288" t="s">
        <v>159</v>
      </c>
      <c r="D50" s="1288" t="s">
        <v>160</v>
      </c>
      <c r="E50" s="2187"/>
      <c r="F50" s="2187"/>
      <c r="G50" s="2187"/>
      <c r="H50" s="2187"/>
      <c r="I50" s="2207"/>
      <c r="J50" s="2207"/>
      <c r="K50" s="2184"/>
      <c r="L50" s="1289"/>
      <c r="P50" s="2185"/>
      <c r="Q50" s="2185"/>
      <c r="R50" s="292"/>
      <c r="S50" s="1148"/>
      <c r="T50" s="236"/>
      <c r="U50" s="236"/>
      <c r="V50" s="261"/>
      <c r="W50" s="261"/>
      <c r="X50" s="261"/>
      <c r="Y50" s="264" t="str">
        <f>Z49&amp;"-"&amp;AB49</f>
        <v>-</v>
      </c>
      <c r="Z50" s="2190"/>
      <c r="AA50" s="2047"/>
      <c r="AB50" s="2190"/>
      <c r="AC50" s="2047"/>
      <c r="AD50" s="261"/>
      <c r="AE50" s="261"/>
      <c r="AF50" s="261"/>
      <c r="AG50" s="264" t="str">
        <f>AH49&amp;"-"&amp;AJ49</f>
        <v>-</v>
      </c>
      <c r="AH50" s="2190"/>
      <c r="AI50" s="2047"/>
      <c r="AJ50" s="2209"/>
      <c r="AK50" s="2047"/>
      <c r="AL50" s="1274"/>
      <c r="AM50" s="2182"/>
      <c r="AO50" s="435"/>
      <c r="AP50" s="435" t="str">
        <f t="shared" si="1"/>
        <v/>
      </c>
      <c r="AQ50" s="435"/>
      <c r="AR50" s="435"/>
      <c r="AS50" s="1080">
        <v>1</v>
      </c>
    </row>
    <row r="51" spans="1:45" ht="11.45" customHeight="1">
      <c r="A51" s="1288" t="s">
        <v>157</v>
      </c>
      <c r="B51" s="1288" t="s">
        <v>158</v>
      </c>
      <c r="C51" s="1288" t="s">
        <v>159</v>
      </c>
      <c r="D51" s="1288" t="s">
        <v>160</v>
      </c>
      <c r="E51" s="2187"/>
      <c r="F51" s="2187"/>
      <c r="G51" s="2187"/>
      <c r="H51" s="2187"/>
      <c r="I51" s="2207"/>
      <c r="J51" s="2184"/>
      <c r="K51" s="1288"/>
      <c r="L51" s="1289"/>
      <c r="P51" s="2185"/>
      <c r="Q51" s="2185"/>
      <c r="R51" s="291"/>
      <c r="S51" s="1203"/>
      <c r="T51" s="224" t="s">
        <v>410</v>
      </c>
      <c r="U51" s="302"/>
      <c r="V51" s="302"/>
      <c r="W51" s="302"/>
      <c r="X51" s="302"/>
      <c r="Y51" s="302"/>
      <c r="Z51" s="302"/>
      <c r="AA51" s="302"/>
      <c r="AB51" s="302"/>
      <c r="AC51" s="302"/>
      <c r="AD51" s="302"/>
      <c r="AE51" s="302"/>
      <c r="AF51" s="302"/>
      <c r="AG51" s="302"/>
      <c r="AH51" s="302"/>
      <c r="AI51" s="302"/>
      <c r="AJ51" s="302"/>
      <c r="AK51" s="302"/>
      <c r="AL51" s="260"/>
      <c r="AM51" s="2183"/>
      <c r="AO51" s="435"/>
      <c r="AP51" s="435" t="str">
        <f t="shared" si="1"/>
        <v>Добавить вид теплоносителя (параметры теплоносителя)</v>
      </c>
      <c r="AQ51" s="435"/>
      <c r="AR51" s="435"/>
      <c r="AS51" s="1080">
        <v>11</v>
      </c>
    </row>
    <row r="52" spans="1:45" ht="11.45" customHeight="1">
      <c r="A52" s="1288" t="s">
        <v>157</v>
      </c>
      <c r="B52" s="1288" t="s">
        <v>158</v>
      </c>
      <c r="C52" s="1288" t="s">
        <v>159</v>
      </c>
      <c r="D52" s="1288" t="s">
        <v>160</v>
      </c>
      <c r="E52" s="2187"/>
      <c r="F52" s="2187"/>
      <c r="G52" s="2187"/>
      <c r="H52" s="2187"/>
      <c r="I52" s="2184"/>
      <c r="J52" s="1288"/>
      <c r="K52" s="1288"/>
      <c r="L52" s="1289"/>
      <c r="P52" s="2185"/>
      <c r="Q52" s="1145"/>
      <c r="R52" s="291"/>
      <c r="S52" s="1203"/>
      <c r="T52" s="223" t="s">
        <v>411</v>
      </c>
      <c r="U52" s="302"/>
      <c r="V52" s="302"/>
      <c r="W52" s="302"/>
      <c r="X52" s="302"/>
      <c r="Y52" s="302"/>
      <c r="Z52" s="302"/>
      <c r="AA52" s="302"/>
      <c r="AB52" s="302"/>
      <c r="AC52" s="301"/>
      <c r="AD52" s="302"/>
      <c r="AE52" s="302"/>
      <c r="AF52" s="302"/>
      <c r="AG52" s="302"/>
      <c r="AH52" s="302"/>
      <c r="AI52" s="302"/>
      <c r="AJ52" s="302"/>
      <c r="AK52" s="301"/>
      <c r="AL52" s="302"/>
      <c r="AM52" s="239"/>
      <c r="AO52" s="435"/>
      <c r="AP52" s="435" t="str">
        <f t="shared" si="1"/>
        <v>Добавить группу потребителей</v>
      </c>
      <c r="AQ52" s="435"/>
      <c r="AR52" s="435"/>
      <c r="AS52" s="1080">
        <v>11</v>
      </c>
    </row>
    <row r="53" spans="1:45" ht="14.65" customHeight="1">
      <c r="A53" s="1288" t="s">
        <v>157</v>
      </c>
      <c r="B53" s="1288" t="s">
        <v>158</v>
      </c>
      <c r="C53" s="1288" t="s">
        <v>159</v>
      </c>
      <c r="D53" s="1288" t="s">
        <v>160</v>
      </c>
      <c r="E53" s="2187"/>
      <c r="F53" s="2187"/>
      <c r="G53" s="2187"/>
      <c r="H53" s="2186"/>
      <c r="I53" s="1288"/>
      <c r="J53" s="1288"/>
      <c r="K53" s="1288"/>
      <c r="L53" s="1289"/>
      <c r="M53" s="1290"/>
      <c r="N53" s="1290"/>
      <c r="O53" s="472"/>
      <c r="P53" s="295"/>
      <c r="Q53" s="310"/>
      <c r="R53" s="290"/>
      <c r="S53" s="1203"/>
      <c r="T53" s="300" t="s">
        <v>412</v>
      </c>
      <c r="U53" s="302"/>
      <c r="V53" s="302"/>
      <c r="W53" s="302"/>
      <c r="X53" s="302"/>
      <c r="Y53" s="302"/>
      <c r="Z53" s="302"/>
      <c r="AA53" s="302"/>
      <c r="AB53" s="302"/>
      <c r="AC53" s="301"/>
      <c r="AD53" s="302"/>
      <c r="AE53" s="302"/>
      <c r="AF53" s="302"/>
      <c r="AG53" s="302"/>
      <c r="AH53" s="302"/>
      <c r="AI53" s="302"/>
      <c r="AJ53" s="302"/>
      <c r="AK53" s="301"/>
      <c r="AL53" s="302"/>
      <c r="AM53" s="239"/>
      <c r="AO53" s="435"/>
      <c r="AP53" s="435" t="str">
        <f t="shared" si="1"/>
        <v>Добавить схему подключения</v>
      </c>
      <c r="AQ53" s="435"/>
      <c r="AR53" s="435"/>
      <c r="AS53" s="1080">
        <v>14</v>
      </c>
    </row>
    <row r="54" spans="1:45" s="1567" customFormat="1" ht="1.1499999999999999" customHeight="1">
      <c r="A54" s="1268" t="s">
        <v>157</v>
      </c>
      <c r="B54" s="1268" t="s">
        <v>158</v>
      </c>
      <c r="C54" s="1268" t="s">
        <v>159</v>
      </c>
      <c r="D54" s="1239"/>
      <c r="E54" s="2187"/>
      <c r="F54" s="2187"/>
      <c r="G54" s="2186"/>
      <c r="H54" s="1239"/>
      <c r="I54" s="1239"/>
      <c r="J54" s="1239"/>
      <c r="K54" s="1239"/>
      <c r="L54" s="1264"/>
      <c r="M54" s="1240"/>
      <c r="N54" s="1240"/>
      <c r="P54" s="1241"/>
      <c r="Q54" s="1242"/>
      <c r="R54" s="1241"/>
      <c r="S54" s="1247"/>
      <c r="T54" s="1250" t="s">
        <v>413</v>
      </c>
      <c r="U54" s="1249"/>
      <c r="V54" s="1249"/>
      <c r="W54" s="1249"/>
      <c r="X54" s="1249"/>
      <c r="Y54" s="1249"/>
      <c r="Z54" s="1249"/>
      <c r="AA54" s="1249"/>
      <c r="AB54" s="1249"/>
      <c r="AC54" s="1249"/>
      <c r="AD54" s="1249"/>
      <c r="AE54" s="1249"/>
      <c r="AF54" s="1249"/>
      <c r="AG54" s="1249"/>
      <c r="AH54" s="1249"/>
      <c r="AI54" s="1249"/>
      <c r="AJ54" s="1249"/>
      <c r="AK54" s="1249"/>
      <c r="AL54" s="1249"/>
      <c r="AM54" s="1249"/>
      <c r="AO54" s="718"/>
      <c r="AP54" s="718" t="str">
        <f t="shared" si="1"/>
        <v>Добавить источник для дифференциации</v>
      </c>
      <c r="AQ54" s="718"/>
      <c r="AR54" s="718"/>
      <c r="AS54" s="453">
        <v>1</v>
      </c>
    </row>
    <row r="55" spans="1:45" s="1567" customFormat="1" ht="1.1499999999999999" customHeight="1">
      <c r="A55" s="1268" t="s">
        <v>157</v>
      </c>
      <c r="B55" s="1268" t="s">
        <v>158</v>
      </c>
      <c r="C55" s="1239"/>
      <c r="D55" s="1239"/>
      <c r="E55" s="2187"/>
      <c r="F55" s="2186"/>
      <c r="G55" s="1239"/>
      <c r="H55" s="1239"/>
      <c r="I55" s="1239"/>
      <c r="J55" s="1239"/>
      <c r="K55" s="1239"/>
      <c r="L55" s="1264"/>
      <c r="M55" s="1246"/>
      <c r="N55" s="1246"/>
      <c r="P55" s="1241"/>
      <c r="Q55" s="1242"/>
      <c r="R55" s="1241"/>
      <c r="S55" s="1247"/>
      <c r="T55" s="1250" t="s">
        <v>414</v>
      </c>
      <c r="U55" s="1249"/>
      <c r="V55" s="1249"/>
      <c r="W55" s="1249"/>
      <c r="X55" s="1249"/>
      <c r="Y55" s="1249"/>
      <c r="Z55" s="1249"/>
      <c r="AA55" s="1249"/>
      <c r="AB55" s="1249"/>
      <c r="AC55" s="1249"/>
      <c r="AD55" s="1249"/>
      <c r="AE55" s="1249"/>
      <c r="AF55" s="1249"/>
      <c r="AG55" s="1249"/>
      <c r="AH55" s="1249"/>
      <c r="AI55" s="1249"/>
      <c r="AJ55" s="1249"/>
      <c r="AK55" s="1249"/>
      <c r="AL55" s="1249"/>
      <c r="AM55" s="1249"/>
      <c r="AO55" s="718"/>
      <c r="AP55" s="718" t="str">
        <f t="shared" si="1"/>
        <v>Добавить централизованную систему для дифференциации</v>
      </c>
      <c r="AQ55" s="718"/>
      <c r="AR55" s="718"/>
      <c r="AS55" s="453">
        <v>1</v>
      </c>
    </row>
    <row r="56" spans="1:45" s="1567" customFormat="1" ht="1.1499999999999999" customHeight="1">
      <c r="A56" s="1268" t="s">
        <v>157</v>
      </c>
      <c r="B56" s="1268"/>
      <c r="C56" s="1268"/>
      <c r="D56" s="1268"/>
      <c r="E56" s="2186"/>
      <c r="F56" s="1268"/>
      <c r="G56" s="1268"/>
      <c r="H56" s="1268"/>
      <c r="I56" s="1268"/>
      <c r="J56" s="1268"/>
      <c r="K56" s="1268"/>
      <c r="L56" s="1271"/>
      <c r="M56" s="1246"/>
      <c r="N56" s="1246"/>
      <c r="O56" s="453"/>
      <c r="P56" s="315"/>
      <c r="Q56" s="1269"/>
      <c r="R56" s="315"/>
      <c r="S56" s="1247"/>
      <c r="T56" s="1250" t="s">
        <v>415</v>
      </c>
      <c r="U56" s="1249"/>
      <c r="V56" s="1249"/>
      <c r="W56" s="1249"/>
      <c r="X56" s="1249"/>
      <c r="Y56" s="1249"/>
      <c r="Z56" s="1249"/>
      <c r="AA56" s="1249"/>
      <c r="AB56" s="1249"/>
      <c r="AC56" s="1249"/>
      <c r="AD56" s="1249"/>
      <c r="AE56" s="1249"/>
      <c r="AF56" s="1249"/>
      <c r="AG56" s="1249"/>
      <c r="AH56" s="1249"/>
      <c r="AI56" s="1249"/>
      <c r="AJ56" s="1249"/>
      <c r="AK56" s="1249"/>
      <c r="AL56" s="1249"/>
      <c r="AM56" s="1249"/>
      <c r="AO56" s="435"/>
      <c r="AP56" s="435" t="str">
        <f t="shared" si="1"/>
        <v>Добавить территорию для дифференциации</v>
      </c>
      <c r="AQ56" s="435"/>
      <c r="AR56" s="435"/>
      <c r="AS56" s="446">
        <v>1</v>
      </c>
    </row>
    <row r="57" spans="1:45" s="1567" customFormat="1" ht="1.1499999999999999" customHeight="1">
      <c r="A57" s="1239"/>
      <c r="B57" s="1239"/>
      <c r="C57" s="1239"/>
      <c r="D57" s="1239"/>
      <c r="E57" s="1268"/>
      <c r="F57" s="1239"/>
      <c r="G57" s="1239"/>
      <c r="H57" s="1239"/>
      <c r="I57" s="1239"/>
      <c r="J57" s="1239"/>
      <c r="K57" s="1239"/>
      <c r="L57" s="1264"/>
      <c r="M57" s="1246"/>
      <c r="N57" s="1246"/>
      <c r="P57" s="1241"/>
      <c r="Q57" s="1242"/>
      <c r="R57" s="1241"/>
      <c r="S57" s="1247"/>
      <c r="T57" s="1250" t="s">
        <v>447</v>
      </c>
      <c r="U57" s="1249"/>
      <c r="V57" s="1249"/>
      <c r="W57" s="1249"/>
      <c r="X57" s="1249"/>
      <c r="Y57" s="1249"/>
      <c r="Z57" s="1249"/>
      <c r="AA57" s="1249"/>
      <c r="AB57" s="1249"/>
      <c r="AC57" s="1249"/>
      <c r="AD57" s="1249"/>
      <c r="AE57" s="1249"/>
      <c r="AF57" s="1249"/>
      <c r="AG57" s="1249"/>
      <c r="AH57" s="1249"/>
      <c r="AI57" s="1249"/>
      <c r="AJ57" s="1249"/>
      <c r="AK57" s="1249"/>
      <c r="AL57" s="1249"/>
      <c r="AM57" s="1249"/>
      <c r="AO57" s="718"/>
      <c r="AP57" s="718" t="str">
        <f t="shared" si="1"/>
        <v>Добавить наименование тарифа</v>
      </c>
      <c r="AQ57" s="718"/>
      <c r="AR57" s="718"/>
      <c r="AS57" s="453">
        <v>1</v>
      </c>
    </row>
    <row r="58" spans="1:45" ht="11.45" customHeight="1">
      <c r="M58" s="1085"/>
      <c r="N58" s="1085"/>
      <c r="O58" s="472"/>
      <c r="P58" s="1080"/>
      <c r="Q58" s="1080"/>
      <c r="R58" s="1080"/>
      <c r="S58" s="1080"/>
      <c r="AN58" s="1080"/>
      <c r="AO58" s="1080"/>
      <c r="AP58" s="1080"/>
      <c r="AQ58" s="1080"/>
      <c r="AR58" s="1080"/>
      <c r="AS58" s="1080">
        <v>11</v>
      </c>
    </row>
    <row r="59" spans="1:45" ht="28.5" customHeight="1">
      <c r="O59" s="472"/>
      <c r="S59" s="1178"/>
      <c r="T59" s="2206"/>
      <c r="U59" s="2206"/>
      <c r="V59" s="2206"/>
      <c r="W59" s="2206"/>
      <c r="X59" s="2206"/>
      <c r="Y59" s="2206"/>
      <c r="Z59" s="2206"/>
      <c r="AA59" s="2206"/>
      <c r="AB59" s="2206"/>
      <c r="AC59" s="2206"/>
      <c r="AD59" s="2206"/>
      <c r="AE59" s="2206"/>
      <c r="AF59" s="2206"/>
      <c r="AG59" s="2206"/>
      <c r="AH59" s="2206"/>
      <c r="AI59" s="2206"/>
      <c r="AJ59" s="2206"/>
      <c r="AK59" s="2206"/>
      <c r="AL59" s="2206"/>
      <c r="AM59" s="2206"/>
      <c r="AS59" s="1080">
        <v>27</v>
      </c>
    </row>
    <row r="60" spans="1:45" ht="67.150000000000006" customHeight="1">
      <c r="O60" s="472"/>
      <c r="P60" s="1228"/>
      <c r="T60" s="2206"/>
      <c r="U60" s="2206"/>
      <c r="V60" s="2206"/>
      <c r="W60" s="2206"/>
      <c r="X60" s="2206"/>
      <c r="Y60" s="2206"/>
      <c r="Z60" s="2206"/>
      <c r="AA60" s="2206"/>
      <c r="AB60" s="2206"/>
      <c r="AC60" s="2206"/>
      <c r="AD60" s="2206"/>
      <c r="AE60" s="2206"/>
      <c r="AF60" s="2206"/>
      <c r="AG60" s="2206"/>
      <c r="AH60" s="2206"/>
      <c r="AI60" s="2206"/>
      <c r="AJ60" s="2206"/>
      <c r="AK60" s="2206"/>
      <c r="AL60" s="2206"/>
      <c r="AM60" s="2206"/>
      <c r="AS60" s="1080">
        <v>64</v>
      </c>
    </row>
    <row r="61" spans="1:45" ht="14.65" customHeight="1">
      <c r="O61" s="472"/>
      <c r="AS61" s="1080">
        <v>14</v>
      </c>
    </row>
    <row r="62" spans="1:45" ht="18.75" customHeight="1">
      <c r="O62" s="472"/>
      <c r="P62" s="1253"/>
      <c r="S62" s="1178"/>
      <c r="T62" s="2206"/>
      <c r="U62" s="2206"/>
      <c r="V62" s="2206"/>
      <c r="W62" s="2206"/>
      <c r="X62" s="2206"/>
      <c r="Y62" s="2206"/>
      <c r="Z62" s="2206"/>
      <c r="AA62" s="2206"/>
      <c r="AB62" s="2206"/>
      <c r="AC62" s="2206"/>
      <c r="AD62" s="2206"/>
      <c r="AE62" s="2206"/>
      <c r="AF62" s="2206"/>
      <c r="AG62" s="2206"/>
      <c r="AH62" s="2206"/>
      <c r="AI62" s="2206"/>
      <c r="AJ62" s="2206"/>
      <c r="AK62" s="2206"/>
      <c r="AL62" s="2206"/>
      <c r="AM62" s="2206"/>
      <c r="AS62" s="1080">
        <v>18</v>
      </c>
    </row>
    <row r="63" spans="1:45" ht="18.75" customHeight="1">
      <c r="O63" s="472"/>
      <c r="P63" s="1253"/>
      <c r="T63" s="2206"/>
      <c r="U63" s="2206"/>
      <c r="V63" s="2206"/>
      <c r="W63" s="2206"/>
      <c r="X63" s="2206"/>
      <c r="Y63" s="2206"/>
      <c r="Z63" s="2206"/>
      <c r="AA63" s="2206"/>
      <c r="AB63" s="2206"/>
      <c r="AC63" s="2206"/>
      <c r="AD63" s="2206"/>
      <c r="AE63" s="2206"/>
      <c r="AF63" s="2206"/>
      <c r="AG63" s="2206"/>
      <c r="AH63" s="2206"/>
      <c r="AI63" s="2206"/>
      <c r="AJ63" s="2206"/>
      <c r="AK63" s="2206"/>
      <c r="AL63" s="2206"/>
      <c r="AM63" s="2206"/>
      <c r="AS63" s="1080">
        <v>18</v>
      </c>
    </row>
    <row r="64" spans="1:45" ht="29.25" customHeight="1">
      <c r="O64" s="472"/>
      <c r="P64" s="1253"/>
      <c r="S64" s="1178"/>
      <c r="T64" s="2206"/>
      <c r="U64" s="2206"/>
      <c r="V64" s="2206"/>
      <c r="W64" s="2206"/>
      <c r="X64" s="2206"/>
      <c r="Y64" s="2206"/>
      <c r="Z64" s="2206"/>
      <c r="AA64" s="2206"/>
      <c r="AB64" s="2206"/>
      <c r="AC64" s="2206"/>
      <c r="AD64" s="2206"/>
      <c r="AE64" s="2206"/>
      <c r="AF64" s="2206"/>
      <c r="AG64" s="2206"/>
      <c r="AH64" s="2206"/>
      <c r="AI64" s="2206"/>
      <c r="AJ64" s="2206"/>
      <c r="AK64" s="2206"/>
      <c r="AL64" s="2206"/>
      <c r="AM64" s="2206"/>
      <c r="AS64" s="1080">
        <v>28</v>
      </c>
    </row>
    <row r="65" spans="1:45" ht="22.5" hidden="1" customHeight="1">
      <c r="A65" s="1085" t="s">
        <v>82</v>
      </c>
      <c r="B65" s="1085">
        <v>0</v>
      </c>
      <c r="C65" s="1085">
        <v>0</v>
      </c>
      <c r="D65" s="1085">
        <v>0</v>
      </c>
      <c r="E65" s="1085">
        <v>0</v>
      </c>
      <c r="F65" s="1085">
        <v>0</v>
      </c>
      <c r="G65" s="1085">
        <v>0</v>
      </c>
      <c r="H65" s="1085">
        <v>0</v>
      </c>
      <c r="I65" s="1085">
        <v>0</v>
      </c>
      <c r="J65" s="1085">
        <v>0</v>
      </c>
      <c r="K65" s="1085">
        <v>0</v>
      </c>
      <c r="L65" s="1254">
        <v>0</v>
      </c>
      <c r="M65" s="1287">
        <v>0</v>
      </c>
      <c r="N65" s="1287">
        <v>0</v>
      </c>
      <c r="O65" s="1287">
        <v>0</v>
      </c>
      <c r="P65" s="1143">
        <v>3</v>
      </c>
      <c r="Q65" s="280">
        <v>3</v>
      </c>
      <c r="R65" s="280">
        <v>3</v>
      </c>
      <c r="S65" s="516">
        <v>12</v>
      </c>
      <c r="T65" s="1080">
        <v>35</v>
      </c>
      <c r="U65" s="1080">
        <v>0</v>
      </c>
      <c r="V65" s="1080">
        <v>0</v>
      </c>
      <c r="W65" s="1080">
        <v>0</v>
      </c>
      <c r="X65" s="1080">
        <v>0</v>
      </c>
      <c r="Y65" s="1080">
        <v>0</v>
      </c>
      <c r="Z65" s="1080">
        <v>0</v>
      </c>
      <c r="AA65" s="1080">
        <v>0</v>
      </c>
      <c r="AB65" s="1080">
        <v>0</v>
      </c>
      <c r="AC65" s="1080">
        <v>0</v>
      </c>
      <c r="AD65" s="1080">
        <v>24</v>
      </c>
      <c r="AE65" s="1080">
        <v>0</v>
      </c>
      <c r="AF65" s="1080">
        <v>24</v>
      </c>
      <c r="AG65" s="1080">
        <v>24</v>
      </c>
      <c r="AH65" s="1080">
        <v>11</v>
      </c>
      <c r="AI65" s="1080">
        <v>3</v>
      </c>
      <c r="AJ65" s="1080">
        <v>11</v>
      </c>
      <c r="AK65" s="1080">
        <v>0</v>
      </c>
      <c r="AL65" s="1080">
        <v>4</v>
      </c>
      <c r="AM65" s="1080">
        <v>115</v>
      </c>
      <c r="AN65" s="446">
        <v>10</v>
      </c>
      <c r="AO65" s="446">
        <v>10</v>
      </c>
      <c r="AP65" s="446">
        <v>10</v>
      </c>
      <c r="AQ65" s="446">
        <v>10</v>
      </c>
      <c r="AR65" s="446">
        <v>10</v>
      </c>
      <c r="AS65" s="1080">
        <v>23</v>
      </c>
    </row>
  </sheetData>
  <sheetProtection formatColumns="0" formatRows="0" insertRows="0" deleteColumns="0" deleteRows="0" sort="0" autoFilter="0"/>
  <mergeCells count="112">
    <mergeCell ref="V7:AC7"/>
    <mergeCell ref="AD7:AL7"/>
    <mergeCell ref="S34:T34"/>
    <mergeCell ref="V34:AB34"/>
    <mergeCell ref="AD34:AJ34"/>
    <mergeCell ref="S35:T35"/>
    <mergeCell ref="V35:AB35"/>
    <mergeCell ref="AD35:AJ35"/>
    <mergeCell ref="V2:AC2"/>
    <mergeCell ref="AD2:AL2"/>
    <mergeCell ref="V3:AC3"/>
    <mergeCell ref="AD3:AL3"/>
    <mergeCell ref="V4:AC4"/>
    <mergeCell ref="AD4:AL4"/>
    <mergeCell ref="V5:AC5"/>
    <mergeCell ref="AD5:AL5"/>
    <mergeCell ref="V6:AC6"/>
    <mergeCell ref="AD6:AL6"/>
    <mergeCell ref="AI17:AI18"/>
    <mergeCell ref="AJ17:AJ18"/>
    <mergeCell ref="AK17:AK18"/>
    <mergeCell ref="AK8:AK9"/>
    <mergeCell ref="AD29:AJ29"/>
    <mergeCell ref="AD30:AJ30"/>
    <mergeCell ref="T62:AM62"/>
    <mergeCell ref="T63:AM63"/>
    <mergeCell ref="T64:AM64"/>
    <mergeCell ref="E2:E15"/>
    <mergeCell ref="F3:F14"/>
    <mergeCell ref="G4:G13"/>
    <mergeCell ref="H5:H12"/>
    <mergeCell ref="I6:I11"/>
    <mergeCell ref="J7:J10"/>
    <mergeCell ref="I47:I52"/>
    <mergeCell ref="J48:J51"/>
    <mergeCell ref="K49:K50"/>
    <mergeCell ref="P47:P52"/>
    <mergeCell ref="Q48:Q51"/>
    <mergeCell ref="AH49:AH50"/>
    <mergeCell ref="AI49:AI50"/>
    <mergeCell ref="AJ49:AJ50"/>
    <mergeCell ref="AK49:AK50"/>
    <mergeCell ref="T59:AM59"/>
    <mergeCell ref="W40:W41"/>
    <mergeCell ref="T60:AM60"/>
    <mergeCell ref="Z49:Z50"/>
    <mergeCell ref="AA49:AA50"/>
    <mergeCell ref="AB49:AB50"/>
    <mergeCell ref="Z40:AB40"/>
    <mergeCell ref="AA41:AB41"/>
    <mergeCell ref="AA42:AB42"/>
    <mergeCell ref="V37:AC37"/>
    <mergeCell ref="S38:AL38"/>
    <mergeCell ref="AM38:AM41"/>
    <mergeCell ref="S39:S41"/>
    <mergeCell ref="T39:T41"/>
    <mergeCell ref="V39:AB39"/>
    <mergeCell ref="AC39:AC41"/>
    <mergeCell ref="AL39:AL41"/>
    <mergeCell ref="AI42:AJ42"/>
    <mergeCell ref="AD39:AJ39"/>
    <mergeCell ref="AK39:AK41"/>
    <mergeCell ref="AD40:AD41"/>
    <mergeCell ref="AE40:AE41"/>
    <mergeCell ref="AF40:AG40"/>
    <mergeCell ref="AH40:AJ40"/>
    <mergeCell ref="AI41:AJ41"/>
    <mergeCell ref="AC49:AC50"/>
    <mergeCell ref="AM49:AM51"/>
    <mergeCell ref="AM8:AM10"/>
    <mergeCell ref="K8:K9"/>
    <mergeCell ref="P6:P11"/>
    <mergeCell ref="E43:E56"/>
    <mergeCell ref="F44:F55"/>
    <mergeCell ref="G45:G54"/>
    <mergeCell ref="H46:H53"/>
    <mergeCell ref="V40:V41"/>
    <mergeCell ref="X40:Y40"/>
    <mergeCell ref="V29:AB29"/>
    <mergeCell ref="V30:AB30"/>
    <mergeCell ref="V31:AB31"/>
    <mergeCell ref="V32:AB32"/>
    <mergeCell ref="Q7:Q10"/>
    <mergeCell ref="AH8:AH9"/>
    <mergeCell ref="AI8:AI9"/>
    <mergeCell ref="AJ8:AJ9"/>
    <mergeCell ref="Z8:Z9"/>
    <mergeCell ref="AA8:AA9"/>
    <mergeCell ref="AB8:AB9"/>
    <mergeCell ref="AC8:AC9"/>
    <mergeCell ref="AH17:AH18"/>
    <mergeCell ref="S26:AJ26"/>
    <mergeCell ref="S27:AJ27"/>
    <mergeCell ref="S29:T29"/>
    <mergeCell ref="S30:T30"/>
    <mergeCell ref="S31:T31"/>
    <mergeCell ref="S32:T32"/>
    <mergeCell ref="AD31:AJ31"/>
    <mergeCell ref="AD32:AJ32"/>
    <mergeCell ref="AD37:AK37"/>
    <mergeCell ref="V43:AC43"/>
    <mergeCell ref="V44:AC44"/>
    <mergeCell ref="V45:AC45"/>
    <mergeCell ref="V46:AC46"/>
    <mergeCell ref="V47:AC47"/>
    <mergeCell ref="V48:AC48"/>
    <mergeCell ref="AD43:AL43"/>
    <mergeCell ref="AD44:AL44"/>
    <mergeCell ref="AD45:AL45"/>
    <mergeCell ref="AD46:AL46"/>
    <mergeCell ref="AD47:AL47"/>
    <mergeCell ref="AD48:AL48"/>
  </mergeCells>
  <dataValidations count="8">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327729 AK393265 AK49 AK524337 AK8 AK589873 AK655409 AK17 AK720945 AK786481 AK852017 AK917553 AK983089 AK65585 AK131121 AI49 AK458801 AI8 AC8 AA8 AI17 AK196657 AA49 AC49 AK262193"/>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dataValidation type="list" allowBlank="1" showInputMessage="1" showErrorMessage="1" errorTitle="Ошибка" error="Выберите значение из списка" sqref="T65585 T131121 T196657 T262193 T327729 T393265 T458801 T524337 T589873 T655409 T720945 T786481 T852017 T917553 T983089">
      <formula1>kind_of_heat_transfer</formula1>
    </dataValidation>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formula1>900</formula1>
    </dataValidation>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formula1>kind_of_scheme_in</formula1>
    </dataValidation>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Y50 AG18 AG50"/>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formula1>kind_of_cons</formula1>
    </dataValidation>
    <dataValidation allowBlank="1" sqref="S131123:AM131129 S196659:AM196665 S262195:AM262201 S327731:AM327737 S393267:AM393273 S458803:AM458809 S524339:AM524345 S589875:AM589881 S655411:AM655417 S720947:AM720953 S786483:AM786489 S852019:AM852025 S917555:AM917561 S983091:AM983097 S65587:AM65593"/>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6" tint="0.39997558519241921"/>
  </sheetPr>
  <dimension ref="A1:AS65"/>
  <sheetViews>
    <sheetView showGridLines="0" zoomScale="90" workbookViewId="0">
      <pane xSplit="29" ySplit="42" topLeftCell="AD43" activePane="bottomRight" state="frozen"/>
      <selection pane="topRight" activeCell="AD1" sqref="AD1"/>
      <selection pane="bottomLeft" activeCell="A43" sqref="A43"/>
      <selection pane="bottomRight"/>
    </sheetView>
  </sheetViews>
  <sheetFormatPr defaultColWidth="10.5703125" defaultRowHeight="14.25" customHeight="1"/>
  <cols>
    <col min="1" max="1" width="10.5703125" style="1291" hidden="1"/>
    <col min="2" max="2" width="11" style="1291" hidden="1" customWidth="1"/>
    <col min="3" max="3" width="10.5703125" style="1291" hidden="1"/>
    <col min="4" max="4" width="11.85546875" style="1291" hidden="1" customWidth="1"/>
    <col min="5" max="5" width="10" style="1291" hidden="1" customWidth="1"/>
    <col min="6" max="6" width="8.7109375" style="1291" hidden="1" customWidth="1"/>
    <col min="7" max="7" width="7.5703125" style="1291" hidden="1" customWidth="1"/>
    <col min="8" max="8" width="11.42578125" style="1291" hidden="1" customWidth="1"/>
    <col min="9" max="9" width="12" style="1291" hidden="1" customWidth="1"/>
    <col min="10" max="10" width="9.85546875" style="1291" hidden="1" customWidth="1"/>
    <col min="11" max="11" width="11.42578125" style="1291" hidden="1" customWidth="1"/>
    <col min="12" max="12" width="19.140625" style="2002" hidden="1" customWidth="1"/>
    <col min="13" max="14" width="12.28515625" style="1701" hidden="1" customWidth="1"/>
    <col min="15" max="15" width="23.42578125" style="1701" hidden="1" customWidth="1"/>
    <col min="16" max="16" width="3" style="2000" customWidth="1"/>
    <col min="17" max="18" width="3" style="280" customWidth="1"/>
    <col min="19" max="19" width="12" style="2001" customWidth="1"/>
    <col min="20" max="20" width="31" style="1560" customWidth="1"/>
    <col min="21" max="21" width="0.140625" style="1560" customWidth="1"/>
    <col min="22" max="22" width="24.7109375" style="1560" hidden="1" customWidth="1"/>
    <col min="23" max="23" width="0.140625" style="1560" hidden="1" customWidth="1"/>
    <col min="24" max="25" width="24.7109375" style="1560" hidden="1" customWidth="1"/>
    <col min="26" max="26" width="11.7109375" style="1560" hidden="1" customWidth="1"/>
    <col min="27" max="27" width="3.7109375" style="1560" hidden="1" customWidth="1"/>
    <col min="28" max="28" width="11.7109375" style="1560" hidden="1" customWidth="1"/>
    <col min="29" max="29" width="8.5703125" style="1560" hidden="1" customWidth="1"/>
    <col min="30" max="30" width="24.7109375" style="1560" customWidth="1"/>
    <col min="31" max="31" width="0.140625" style="1560" customWidth="1"/>
    <col min="32" max="33" width="24" style="1560" customWidth="1"/>
    <col min="34" max="34" width="11" style="1560" customWidth="1"/>
    <col min="35" max="35" width="3.7109375" style="1560" customWidth="1"/>
    <col min="36" max="36" width="11" style="1560" customWidth="1"/>
    <col min="37" max="37" width="8.5703125" style="1560" hidden="1" customWidth="1"/>
    <col min="38" max="38" width="4" style="1560" customWidth="1"/>
    <col min="39" max="39" width="115" style="1560" customWidth="1"/>
    <col min="40" max="44" width="10" style="1567" customWidth="1"/>
    <col min="45" max="45" width="10.5703125" style="1560" hidden="1"/>
  </cols>
  <sheetData>
    <row r="1" spans="1:45" ht="22.5" hidden="1" customHeight="1">
      <c r="Y1" s="263"/>
      <c r="Z1" s="263"/>
      <c r="AG1" s="263"/>
      <c r="AH1" s="263"/>
      <c r="AS1" s="1080" t="s">
        <v>14</v>
      </c>
    </row>
    <row r="2" spans="1:45" ht="21" hidden="1" customHeight="1">
      <c r="A2" s="1288"/>
      <c r="B2" s="1288"/>
      <c r="C2" s="1288"/>
      <c r="D2" s="1288"/>
      <c r="E2" s="2186">
        <v>1</v>
      </c>
      <c r="F2" s="1288"/>
      <c r="G2" s="1288"/>
      <c r="H2" s="1288"/>
      <c r="I2" s="1288"/>
      <c r="J2" s="1288"/>
      <c r="K2" s="1288"/>
      <c r="L2" s="1289"/>
      <c r="M2" s="1290"/>
      <c r="N2" s="1290"/>
      <c r="O2" s="1290"/>
      <c r="P2" s="296"/>
      <c r="Q2" s="295"/>
      <c r="R2" s="290"/>
      <c r="S2" s="1261" t="e">
        <f>INDEX(PT_DIFFERENTIATION_NUM_NTAR,MATCH(A2,PT_DIFFERENTIATION_NTAR_ID,0))</f>
        <v>#N/A</v>
      </c>
      <c r="T2" s="234" t="s">
        <v>124</v>
      </c>
      <c r="U2" s="236"/>
      <c r="V2" s="2172"/>
      <c r="W2" s="2173"/>
      <c r="X2" s="2173"/>
      <c r="Y2" s="2173"/>
      <c r="Z2" s="2173"/>
      <c r="AA2" s="2173"/>
      <c r="AB2" s="2173"/>
      <c r="AC2" s="2174"/>
      <c r="AD2" s="2172" t="e">
        <f>INDEX(PT_DIFFERENTIATION_NTAR,MATCH(A2,PT_DIFFERENTIATION_NTAR_ID,0))</f>
        <v>#N/A</v>
      </c>
      <c r="AE2" s="2173"/>
      <c r="AF2" s="2173"/>
      <c r="AG2" s="2173"/>
      <c r="AH2" s="2173"/>
      <c r="AI2" s="2173"/>
      <c r="AJ2" s="2173"/>
      <c r="AK2" s="2173"/>
      <c r="AL2" s="2174"/>
      <c r="AM2" s="1183" t="s">
        <v>395</v>
      </c>
      <c r="AO2" s="435"/>
      <c r="AP2" s="435" t="str">
        <f t="shared" ref="AP2:AP15" si="0">IF(T2="","",T2)</f>
        <v>Наименование тарифа</v>
      </c>
      <c r="AQ2" s="435"/>
      <c r="AR2" s="435"/>
      <c r="AS2" s="1080">
        <v>0</v>
      </c>
    </row>
    <row r="3" spans="1:45" ht="21" hidden="1" customHeight="1">
      <c r="A3" s="1288"/>
      <c r="B3" s="1288"/>
      <c r="C3" s="1288"/>
      <c r="D3" s="1288"/>
      <c r="E3" s="2187"/>
      <c r="F3" s="2186">
        <v>1</v>
      </c>
      <c r="G3" s="1288"/>
      <c r="H3" s="1288"/>
      <c r="I3" s="1288"/>
      <c r="J3" s="1288"/>
      <c r="K3" s="1288"/>
      <c r="L3" s="1289"/>
      <c r="M3" s="1290"/>
      <c r="N3" s="1290"/>
      <c r="O3" s="1290"/>
      <c r="P3" s="1257"/>
      <c r="Q3" s="287"/>
      <c r="R3" s="288"/>
      <c r="S3" s="1261" t="e">
        <f>INDEX(PT_DIFFERENTIATION_NUM_TER,MATCH(B3,PT_DIFFERENTIATION_TER_ID,0))</f>
        <v>#N/A</v>
      </c>
      <c r="T3" s="244" t="s">
        <v>396</v>
      </c>
      <c r="U3" s="236"/>
      <c r="V3" s="2172"/>
      <c r="W3" s="2173"/>
      <c r="X3" s="2173"/>
      <c r="Y3" s="2173"/>
      <c r="Z3" s="2173"/>
      <c r="AA3" s="2173"/>
      <c r="AB3" s="2173"/>
      <c r="AC3" s="2174"/>
      <c r="AD3" s="2172" t="e">
        <f>INDEX(PT_DIFFERENTIATION_TER,MATCH(B3,PT_DIFFERENTIATION_TER_ID,0))</f>
        <v>#N/A</v>
      </c>
      <c r="AE3" s="2173"/>
      <c r="AF3" s="2173"/>
      <c r="AG3" s="2173"/>
      <c r="AH3" s="2173"/>
      <c r="AI3" s="2173"/>
      <c r="AJ3" s="2173"/>
      <c r="AK3" s="2173"/>
      <c r="AL3" s="2174"/>
      <c r="AM3" s="1183" t="s">
        <v>397</v>
      </c>
      <c r="AO3" s="435"/>
      <c r="AP3" s="435" t="str">
        <f t="shared" si="0"/>
        <v>Территория действия тарифа</v>
      </c>
      <c r="AQ3" s="435"/>
      <c r="AR3" s="435"/>
      <c r="AS3" s="1080">
        <v>0</v>
      </c>
    </row>
    <row r="4" spans="1:45" ht="23.25" hidden="1" customHeight="1">
      <c r="A4" s="1288"/>
      <c r="B4" s="1288"/>
      <c r="C4" s="1288"/>
      <c r="D4" s="1288"/>
      <c r="E4" s="2187"/>
      <c r="F4" s="2187"/>
      <c r="G4" s="2186">
        <v>1</v>
      </c>
      <c r="H4" s="1288"/>
      <c r="I4" s="1288"/>
      <c r="J4" s="1288"/>
      <c r="K4" s="1288"/>
      <c r="L4" s="1289"/>
      <c r="M4" s="1290"/>
      <c r="N4" s="1290"/>
      <c r="O4" s="1290"/>
      <c r="P4" s="289"/>
      <c r="Q4" s="287"/>
      <c r="R4" s="288"/>
      <c r="S4" s="1261" t="e">
        <f>INDEX(PT_DIFFERENTIATION_NUM_CS,MATCH(C4,PT_DIFFERENTIATION_CS_ID,0))</f>
        <v>#N/A</v>
      </c>
      <c r="T4" s="245" t="s">
        <v>398</v>
      </c>
      <c r="U4" s="236"/>
      <c r="V4" s="2172"/>
      <c r="W4" s="2173"/>
      <c r="X4" s="2173"/>
      <c r="Y4" s="2173"/>
      <c r="Z4" s="2173"/>
      <c r="AA4" s="2173"/>
      <c r="AB4" s="2173"/>
      <c r="AC4" s="2174"/>
      <c r="AD4" s="2172" t="e">
        <f>INDEX(PT_DIFFERENTIATION_CS,MATCH(C4,PT_DIFFERENTIATION_CS_ID,0))</f>
        <v>#N/A</v>
      </c>
      <c r="AE4" s="2173"/>
      <c r="AF4" s="2173"/>
      <c r="AG4" s="2173"/>
      <c r="AH4" s="2173"/>
      <c r="AI4" s="2173"/>
      <c r="AJ4" s="2173"/>
      <c r="AK4" s="2173"/>
      <c r="AL4" s="2174"/>
      <c r="AM4" s="1183" t="s">
        <v>399</v>
      </c>
      <c r="AO4" s="435"/>
      <c r="AP4" s="435" t="str">
        <f t="shared" si="0"/>
        <v xml:space="preserve">Наименование системы теплоснабжения </v>
      </c>
      <c r="AQ4" s="435"/>
      <c r="AR4" s="435"/>
      <c r="AS4" s="1080">
        <v>0</v>
      </c>
    </row>
    <row r="5" spans="1:45" ht="21" hidden="1" customHeight="1">
      <c r="A5" s="1288"/>
      <c r="B5" s="1288"/>
      <c r="C5" s="1288"/>
      <c r="D5" s="1288"/>
      <c r="E5" s="2187"/>
      <c r="F5" s="2187"/>
      <c r="G5" s="2187"/>
      <c r="H5" s="2186">
        <v>1</v>
      </c>
      <c r="I5" s="1288"/>
      <c r="J5" s="1288"/>
      <c r="K5" s="1288"/>
      <c r="L5" s="1289"/>
      <c r="M5" s="1290"/>
      <c r="N5" s="1290"/>
      <c r="O5" s="1290"/>
      <c r="P5" s="289"/>
      <c r="Q5" s="287"/>
      <c r="R5" s="288"/>
      <c r="S5" s="1261" t="e">
        <f>INDEX(PT_DIFFERENTIATION_NUM_IST_TE,MATCH(D5,PT_DIFFERENTIATION_IST_TE_ID,0))</f>
        <v>#N/A</v>
      </c>
      <c r="T5" s="246" t="s">
        <v>400</v>
      </c>
      <c r="U5" s="236"/>
      <c r="V5" s="2172"/>
      <c r="W5" s="2173"/>
      <c r="X5" s="2173"/>
      <c r="Y5" s="2173"/>
      <c r="Z5" s="2173"/>
      <c r="AA5" s="2173"/>
      <c r="AB5" s="2173"/>
      <c r="AC5" s="2174"/>
      <c r="AD5" s="2172" t="e">
        <f>INDEX(PT_DIFFERENTIATION_IST_TE,MATCH(D5,PT_DIFFERENTIATION_IST_TE_ID,0))</f>
        <v>#N/A</v>
      </c>
      <c r="AE5" s="2173"/>
      <c r="AF5" s="2173"/>
      <c r="AG5" s="2173"/>
      <c r="AH5" s="2173"/>
      <c r="AI5" s="2173"/>
      <c r="AJ5" s="2173"/>
      <c r="AK5" s="2173"/>
      <c r="AL5" s="2174"/>
      <c r="AM5" s="1183" t="s">
        <v>401</v>
      </c>
      <c r="AO5" s="435"/>
      <c r="AP5" s="435" t="str">
        <f t="shared" si="0"/>
        <v xml:space="preserve">Источник тепловой энергии  </v>
      </c>
      <c r="AQ5" s="435"/>
      <c r="AR5" s="435"/>
      <c r="AS5" s="1080">
        <v>0</v>
      </c>
    </row>
    <row r="6" spans="1:45" ht="47.25" hidden="1" customHeight="1">
      <c r="A6" s="1288"/>
      <c r="B6" s="1288"/>
      <c r="C6" s="1288"/>
      <c r="D6" s="1288"/>
      <c r="E6" s="2187"/>
      <c r="F6" s="2187"/>
      <c r="G6" s="2187"/>
      <c r="H6" s="2187"/>
      <c r="I6" s="2184" t="e">
        <f>S5&amp;".1"</f>
        <v>#N/A</v>
      </c>
      <c r="J6" s="1288"/>
      <c r="K6" s="1288"/>
      <c r="L6" s="1289" t="s">
        <v>402</v>
      </c>
      <c r="M6" s="472"/>
      <c r="P6" s="2185">
        <v>1</v>
      </c>
      <c r="Q6" s="1256"/>
      <c r="R6" s="291"/>
      <c r="S6" s="1261" t="e">
        <f>$I6</f>
        <v>#N/A</v>
      </c>
      <c r="T6" s="221" t="s">
        <v>403</v>
      </c>
      <c r="U6" s="236"/>
      <c r="V6" s="2175"/>
      <c r="W6" s="2176"/>
      <c r="X6" s="2176"/>
      <c r="Y6" s="2176"/>
      <c r="Z6" s="2176"/>
      <c r="AA6" s="2176"/>
      <c r="AB6" s="2176"/>
      <c r="AC6" s="2177"/>
      <c r="AD6" s="2175"/>
      <c r="AE6" s="2176"/>
      <c r="AF6" s="2176"/>
      <c r="AG6" s="2176"/>
      <c r="AH6" s="2176"/>
      <c r="AI6" s="2176"/>
      <c r="AJ6" s="2176"/>
      <c r="AK6" s="2176"/>
      <c r="AL6" s="2177"/>
      <c r="AM6" s="1183" t="s">
        <v>404</v>
      </c>
      <c r="AO6" s="435"/>
      <c r="AP6" s="435" t="str">
        <f t="shared" si="0"/>
        <v>Схема подключения теплопотребляющей установки к коллектору источника тепловой энергии</v>
      </c>
      <c r="AQ6" s="435"/>
      <c r="AR6" s="435"/>
      <c r="AS6" s="1080">
        <v>0</v>
      </c>
    </row>
    <row r="7" spans="1:45" ht="21" hidden="1" customHeight="1">
      <c r="A7" s="1288"/>
      <c r="B7" s="1288"/>
      <c r="C7" s="1288"/>
      <c r="D7" s="1288"/>
      <c r="E7" s="2187"/>
      <c r="F7" s="2187"/>
      <c r="G7" s="2187"/>
      <c r="H7" s="2187"/>
      <c r="I7" s="2207"/>
      <c r="J7" s="2184" t="e">
        <f>I6&amp;".1"</f>
        <v>#N/A</v>
      </c>
      <c r="K7" s="1288"/>
      <c r="L7" s="1289" t="s">
        <v>405</v>
      </c>
      <c r="M7" s="472"/>
      <c r="N7" s="1291"/>
      <c r="P7" s="2185"/>
      <c r="Q7" s="2185">
        <v>1</v>
      </c>
      <c r="R7" s="292"/>
      <c r="S7" s="1261" t="e">
        <f>$J7</f>
        <v>#N/A</v>
      </c>
      <c r="T7" s="222" t="s">
        <v>406</v>
      </c>
      <c r="U7" s="236"/>
      <c r="V7" s="2175"/>
      <c r="W7" s="2176"/>
      <c r="X7" s="2176"/>
      <c r="Y7" s="2176"/>
      <c r="Z7" s="2176"/>
      <c r="AA7" s="2176"/>
      <c r="AB7" s="2176"/>
      <c r="AC7" s="2177"/>
      <c r="AD7" s="2175"/>
      <c r="AE7" s="2176"/>
      <c r="AF7" s="2176"/>
      <c r="AG7" s="2176"/>
      <c r="AH7" s="2176"/>
      <c r="AI7" s="2176"/>
      <c r="AJ7" s="2176"/>
      <c r="AK7" s="2176"/>
      <c r="AL7" s="2177"/>
      <c r="AM7" s="1183" t="s">
        <v>407</v>
      </c>
      <c r="AO7" s="435"/>
      <c r="AP7" s="435" t="str">
        <f t="shared" si="0"/>
        <v>Группа потребителей</v>
      </c>
      <c r="AQ7" s="435"/>
      <c r="AR7" s="435"/>
      <c r="AS7" s="1080">
        <v>0</v>
      </c>
    </row>
    <row r="8" spans="1:45" ht="21" hidden="1" customHeight="1">
      <c r="A8" s="1288"/>
      <c r="B8" s="1288"/>
      <c r="C8" s="1288"/>
      <c r="D8" s="1288"/>
      <c r="E8" s="2187"/>
      <c r="F8" s="2187"/>
      <c r="G8" s="2187"/>
      <c r="H8" s="2187"/>
      <c r="I8" s="2207"/>
      <c r="J8" s="2207"/>
      <c r="K8" s="2184" t="e">
        <f>J7&amp;".1"</f>
        <v>#N/A</v>
      </c>
      <c r="L8" s="1289" t="s">
        <v>408</v>
      </c>
      <c r="M8" s="472"/>
      <c r="N8" s="1291"/>
      <c r="O8" s="1291"/>
      <c r="P8" s="2185"/>
      <c r="Q8" s="2185"/>
      <c r="R8" s="292">
        <v>1</v>
      </c>
      <c r="S8" s="1261" t="e">
        <f>$K8</f>
        <v>#N/A</v>
      </c>
      <c r="T8" s="1272"/>
      <c r="U8" s="236"/>
      <c r="V8" s="686"/>
      <c r="W8" s="261"/>
      <c r="X8" s="686"/>
      <c r="Y8" s="1182"/>
      <c r="Z8" s="2189"/>
      <c r="AA8" s="2047" t="s">
        <v>66</v>
      </c>
      <c r="AB8" s="2189"/>
      <c r="AC8" s="2047" t="s">
        <v>66</v>
      </c>
      <c r="AD8" s="686"/>
      <c r="AE8" s="261"/>
      <c r="AF8" s="686"/>
      <c r="AG8" s="1182"/>
      <c r="AH8" s="2189"/>
      <c r="AI8" s="2047" t="s">
        <v>66</v>
      </c>
      <c r="AJ8" s="2189"/>
      <c r="AK8" s="2047" t="s">
        <v>66</v>
      </c>
      <c r="AL8" s="261"/>
      <c r="AM8" s="2181" t="s">
        <v>409</v>
      </c>
      <c r="AN8" s="446" t="e">
        <f ca="1">STRCHECKDATE(V9:AL9)</f>
        <v>#NAME?</v>
      </c>
      <c r="AO8" s="435"/>
      <c r="AP8" s="435" t="str">
        <f t="shared" si="0"/>
        <v/>
      </c>
      <c r="AQ8" s="435"/>
      <c r="AR8" s="435"/>
      <c r="AS8" s="1080">
        <v>0</v>
      </c>
    </row>
    <row r="9" spans="1:45" ht="0.75" hidden="1" customHeight="1">
      <c r="A9" s="1288"/>
      <c r="B9" s="1288"/>
      <c r="C9" s="1288"/>
      <c r="D9" s="1288"/>
      <c r="E9" s="2187"/>
      <c r="F9" s="2187"/>
      <c r="G9" s="2187"/>
      <c r="H9" s="2187"/>
      <c r="I9" s="2207"/>
      <c r="J9" s="2207"/>
      <c r="K9" s="2184"/>
      <c r="L9" s="1289"/>
      <c r="M9" s="472"/>
      <c r="N9" s="1291"/>
      <c r="O9" s="1291"/>
      <c r="P9" s="2185"/>
      <c r="Q9" s="2185"/>
      <c r="R9" s="292"/>
      <c r="S9" s="1267"/>
      <c r="T9" s="236"/>
      <c r="U9" s="236"/>
      <c r="V9" s="261"/>
      <c r="W9" s="261"/>
      <c r="X9" s="261"/>
      <c r="Y9" s="264" t="str">
        <f>Z8&amp;"-"&amp;AB8</f>
        <v>-</v>
      </c>
      <c r="Z9" s="2190"/>
      <c r="AA9" s="2047"/>
      <c r="AB9" s="2190"/>
      <c r="AC9" s="2047"/>
      <c r="AD9" s="261"/>
      <c r="AE9" s="261"/>
      <c r="AF9" s="261"/>
      <c r="AG9" s="264" t="str">
        <f>AH8&amp;"-"&amp;AJ8</f>
        <v>-</v>
      </c>
      <c r="AH9" s="2190"/>
      <c r="AI9" s="2047"/>
      <c r="AJ9" s="2190"/>
      <c r="AK9" s="2047"/>
      <c r="AL9" s="261"/>
      <c r="AM9" s="2182"/>
      <c r="AO9" s="435"/>
      <c r="AP9" s="435" t="str">
        <f t="shared" si="0"/>
        <v/>
      </c>
      <c r="AQ9" s="435"/>
      <c r="AR9" s="435"/>
      <c r="AS9" s="1080">
        <v>0</v>
      </c>
    </row>
    <row r="10" spans="1:45" ht="15" hidden="1" customHeight="1">
      <c r="A10" s="1288"/>
      <c r="B10" s="1288"/>
      <c r="C10" s="1288"/>
      <c r="D10" s="1288"/>
      <c r="E10" s="2187"/>
      <c r="F10" s="2187"/>
      <c r="G10" s="2187"/>
      <c r="H10" s="2187"/>
      <c r="I10" s="2207"/>
      <c r="J10" s="2184"/>
      <c r="K10" s="1288"/>
      <c r="L10" s="1289"/>
      <c r="M10" s="472"/>
      <c r="N10" s="1291"/>
      <c r="P10" s="2185"/>
      <c r="Q10" s="2185"/>
      <c r="R10" s="291"/>
      <c r="S10" s="1203"/>
      <c r="T10" s="224" t="s">
        <v>410</v>
      </c>
      <c r="U10" s="302"/>
      <c r="V10" s="302"/>
      <c r="W10" s="302"/>
      <c r="X10" s="302"/>
      <c r="Y10" s="302"/>
      <c r="Z10" s="302"/>
      <c r="AA10" s="302"/>
      <c r="AB10" s="302"/>
      <c r="AC10" s="302"/>
      <c r="AD10" s="302"/>
      <c r="AE10" s="302"/>
      <c r="AF10" s="302"/>
      <c r="AG10" s="302"/>
      <c r="AH10" s="302"/>
      <c r="AI10" s="302"/>
      <c r="AJ10" s="302"/>
      <c r="AK10" s="302"/>
      <c r="AL10" s="260"/>
      <c r="AM10" s="2183"/>
      <c r="AO10" s="435"/>
      <c r="AP10" s="435" t="str">
        <f t="shared" si="0"/>
        <v>Добавить вид теплоносителя (параметры теплоносителя)</v>
      </c>
      <c r="AQ10" s="435"/>
      <c r="AR10" s="435"/>
      <c r="AS10" s="1080">
        <v>0</v>
      </c>
    </row>
    <row r="11" spans="1:45" ht="15" hidden="1" customHeight="1">
      <c r="A11" s="1288"/>
      <c r="B11" s="1288"/>
      <c r="C11" s="1288"/>
      <c r="D11" s="1288"/>
      <c r="E11" s="2187"/>
      <c r="F11" s="2187"/>
      <c r="G11" s="2187"/>
      <c r="H11" s="2187"/>
      <c r="I11" s="2184"/>
      <c r="J11" s="1288"/>
      <c r="K11" s="1288"/>
      <c r="L11" s="1289"/>
      <c r="M11" s="472"/>
      <c r="P11" s="2185"/>
      <c r="Q11" s="1256"/>
      <c r="R11" s="291"/>
      <c r="S11" s="1203"/>
      <c r="T11" s="223" t="s">
        <v>411</v>
      </c>
      <c r="U11" s="302"/>
      <c r="V11" s="302"/>
      <c r="W11" s="302"/>
      <c r="X11" s="302"/>
      <c r="Y11" s="302"/>
      <c r="Z11" s="302"/>
      <c r="AA11" s="302"/>
      <c r="AB11" s="302"/>
      <c r="AC11" s="301"/>
      <c r="AD11" s="302"/>
      <c r="AE11" s="302"/>
      <c r="AF11" s="302"/>
      <c r="AG11" s="302"/>
      <c r="AH11" s="302"/>
      <c r="AI11" s="302"/>
      <c r="AJ11" s="302"/>
      <c r="AK11" s="301"/>
      <c r="AL11" s="302"/>
      <c r="AM11" s="239"/>
      <c r="AO11" s="435"/>
      <c r="AP11" s="435" t="str">
        <f t="shared" si="0"/>
        <v>Добавить группу потребителей</v>
      </c>
      <c r="AQ11" s="435"/>
      <c r="AR11" s="435"/>
      <c r="AS11" s="1080">
        <v>0</v>
      </c>
    </row>
    <row r="12" spans="1:45" ht="14.25" hidden="1" customHeight="1">
      <c r="A12" s="1288"/>
      <c r="B12" s="1288"/>
      <c r="C12" s="1288"/>
      <c r="D12" s="1288"/>
      <c r="E12" s="2187"/>
      <c r="F12" s="2187"/>
      <c r="G12" s="2187"/>
      <c r="H12" s="2186"/>
      <c r="I12" s="1288"/>
      <c r="J12" s="1288"/>
      <c r="K12" s="1288"/>
      <c r="L12" s="1289"/>
      <c r="M12" s="1290"/>
      <c r="N12" s="1290"/>
      <c r="O12" s="472"/>
      <c r="P12" s="295"/>
      <c r="Q12" s="310"/>
      <c r="R12" s="290"/>
      <c r="S12" s="1203"/>
      <c r="T12" s="300" t="s">
        <v>412</v>
      </c>
      <c r="U12" s="302"/>
      <c r="V12" s="302"/>
      <c r="W12" s="302"/>
      <c r="X12" s="302"/>
      <c r="Y12" s="302"/>
      <c r="Z12" s="302"/>
      <c r="AA12" s="302"/>
      <c r="AB12" s="302"/>
      <c r="AC12" s="301"/>
      <c r="AD12" s="302"/>
      <c r="AE12" s="302"/>
      <c r="AF12" s="302"/>
      <c r="AG12" s="302"/>
      <c r="AH12" s="302"/>
      <c r="AI12" s="302"/>
      <c r="AJ12" s="302"/>
      <c r="AK12" s="301"/>
      <c r="AL12" s="302"/>
      <c r="AM12" s="239"/>
      <c r="AO12" s="435"/>
      <c r="AP12" s="435" t="str">
        <f t="shared" si="0"/>
        <v>Добавить схему подключения</v>
      </c>
      <c r="AQ12" s="435"/>
      <c r="AR12" s="435"/>
      <c r="AS12" s="1080">
        <v>0</v>
      </c>
    </row>
    <row r="13" spans="1:45" s="1567" customFormat="1" ht="0.75" hidden="1" customHeight="1">
      <c r="A13" s="1239"/>
      <c r="B13" s="1239"/>
      <c r="C13" s="1239"/>
      <c r="D13" s="1239"/>
      <c r="E13" s="2187"/>
      <c r="F13" s="2187"/>
      <c r="G13" s="2186"/>
      <c r="H13" s="1239"/>
      <c r="I13" s="1239"/>
      <c r="J13" s="1239"/>
      <c r="K13" s="1239"/>
      <c r="L13" s="1264"/>
      <c r="M13" s="1240"/>
      <c r="N13" s="1240"/>
      <c r="P13" s="1241"/>
      <c r="Q13" s="1242"/>
      <c r="R13" s="1241"/>
      <c r="S13" s="1243"/>
      <c r="T13" s="1244" t="s">
        <v>413</v>
      </c>
      <c r="U13" s="1245"/>
      <c r="V13" s="1245"/>
      <c r="W13" s="1245"/>
      <c r="X13" s="1245"/>
      <c r="Y13" s="1245"/>
      <c r="Z13" s="1245"/>
      <c r="AA13" s="1245"/>
      <c r="AB13" s="1245"/>
      <c r="AC13" s="1245"/>
      <c r="AD13" s="1245"/>
      <c r="AE13" s="1245"/>
      <c r="AF13" s="1245"/>
      <c r="AG13" s="1245"/>
      <c r="AH13" s="1245"/>
      <c r="AI13" s="1245"/>
      <c r="AJ13" s="1245"/>
      <c r="AK13" s="1245"/>
      <c r="AL13" s="1245"/>
      <c r="AM13" s="1245"/>
      <c r="AO13" s="718"/>
      <c r="AP13" s="718" t="str">
        <f t="shared" si="0"/>
        <v>Добавить источник для дифференциации</v>
      </c>
      <c r="AQ13" s="718"/>
      <c r="AR13" s="718"/>
      <c r="AS13" s="453">
        <v>0</v>
      </c>
    </row>
    <row r="14" spans="1:45" s="1567" customFormat="1" ht="0.75" hidden="1" customHeight="1">
      <c r="A14" s="1239"/>
      <c r="B14" s="1239"/>
      <c r="C14" s="1239"/>
      <c r="D14" s="1239"/>
      <c r="E14" s="2187"/>
      <c r="F14" s="2186"/>
      <c r="G14" s="1239"/>
      <c r="H14" s="1239"/>
      <c r="I14" s="1239"/>
      <c r="J14" s="1239"/>
      <c r="K14" s="1239"/>
      <c r="L14" s="1264"/>
      <c r="M14" s="1246"/>
      <c r="N14" s="1246"/>
      <c r="P14" s="1241"/>
      <c r="Q14" s="1242"/>
      <c r="R14" s="1241"/>
      <c r="S14" s="1247"/>
      <c r="T14" s="1248" t="s">
        <v>414</v>
      </c>
      <c r="U14" s="1249"/>
      <c r="V14" s="1249"/>
      <c r="W14" s="1249"/>
      <c r="X14" s="1249"/>
      <c r="Y14" s="1249"/>
      <c r="Z14" s="1249"/>
      <c r="AA14" s="1249"/>
      <c r="AB14" s="1249"/>
      <c r="AC14" s="1249"/>
      <c r="AD14" s="1249"/>
      <c r="AE14" s="1249"/>
      <c r="AF14" s="1249"/>
      <c r="AG14" s="1249"/>
      <c r="AH14" s="1249"/>
      <c r="AI14" s="1249"/>
      <c r="AJ14" s="1249"/>
      <c r="AK14" s="1249"/>
      <c r="AL14" s="1249"/>
      <c r="AM14" s="1249"/>
      <c r="AO14" s="718"/>
      <c r="AP14" s="718" t="str">
        <f t="shared" si="0"/>
        <v>Добавить централизованную систему для дифференциации</v>
      </c>
      <c r="AQ14" s="718"/>
      <c r="AR14" s="718"/>
      <c r="AS14" s="453">
        <v>0</v>
      </c>
    </row>
    <row r="15" spans="1:45" s="1567" customFormat="1" ht="0.75" hidden="1" customHeight="1">
      <c r="A15" s="1239"/>
      <c r="B15" s="1239"/>
      <c r="C15" s="1239"/>
      <c r="D15" s="1239"/>
      <c r="E15" s="2186"/>
      <c r="F15" s="1239"/>
      <c r="G15" s="1239"/>
      <c r="H15" s="1239"/>
      <c r="I15" s="1239"/>
      <c r="J15" s="1239"/>
      <c r="K15" s="1239"/>
      <c r="L15" s="1264"/>
      <c r="M15" s="1246"/>
      <c r="N15" s="1246"/>
      <c r="P15" s="1241"/>
      <c r="Q15" s="1242"/>
      <c r="R15" s="1241"/>
      <c r="S15" s="1247"/>
      <c r="T15" s="1250" t="s">
        <v>415</v>
      </c>
      <c r="U15" s="1249"/>
      <c r="V15" s="1249"/>
      <c r="W15" s="1249"/>
      <c r="X15" s="1249"/>
      <c r="Y15" s="1249"/>
      <c r="Z15" s="1249"/>
      <c r="AA15" s="1249"/>
      <c r="AB15" s="1249"/>
      <c r="AC15" s="1249"/>
      <c r="AD15" s="1249"/>
      <c r="AE15" s="1249"/>
      <c r="AF15" s="1249"/>
      <c r="AG15" s="1249"/>
      <c r="AH15" s="1249"/>
      <c r="AI15" s="1249"/>
      <c r="AJ15" s="1249"/>
      <c r="AK15" s="1249"/>
      <c r="AL15" s="1249"/>
      <c r="AM15" s="1249"/>
      <c r="AO15" s="718"/>
      <c r="AP15" s="718" t="str">
        <f t="shared" si="0"/>
        <v>Добавить территорию для дифференциации</v>
      </c>
      <c r="AQ15" s="718"/>
      <c r="AR15" s="718"/>
      <c r="AS15" s="453">
        <v>0</v>
      </c>
    </row>
    <row r="16" spans="1:45" ht="14.25" hidden="1" customHeight="1">
      <c r="AC16" s="263"/>
      <c r="AK16" s="263"/>
      <c r="AS16" s="1080">
        <v>0</v>
      </c>
    </row>
    <row r="17" spans="1:45" ht="14.25" hidden="1" customHeight="1">
      <c r="AD17" s="1285"/>
      <c r="AE17" s="1285"/>
      <c r="AF17" s="1285"/>
      <c r="AG17" s="1286"/>
      <c r="AH17" s="2191"/>
      <c r="AI17" s="2192" t="s">
        <v>66</v>
      </c>
      <c r="AJ17" s="2191"/>
      <c r="AK17" s="2192" t="s">
        <v>66</v>
      </c>
      <c r="AS17" s="1080">
        <v>0</v>
      </c>
    </row>
    <row r="18" spans="1:45" ht="14.25" hidden="1" customHeight="1">
      <c r="AD18" s="1285"/>
      <c r="AE18" s="1285"/>
      <c r="AF18" s="1285"/>
      <c r="AG18" s="264" t="str">
        <f>AH17&amp;"-"&amp;AJ17</f>
        <v>-</v>
      </c>
      <c r="AH18" s="2192"/>
      <c r="AI18" s="2192"/>
      <c r="AJ18" s="2192"/>
      <c r="AK18" s="2192"/>
      <c r="AS18" s="1080">
        <v>0</v>
      </c>
    </row>
    <row r="19" spans="1:45" ht="14.25" hidden="1" customHeight="1">
      <c r="AK19" s="263"/>
      <c r="AS19" s="1080">
        <v>0</v>
      </c>
    </row>
    <row r="20" spans="1:45" s="1291" customFormat="1" ht="22.5" hidden="1" customHeight="1">
      <c r="L20" s="1254"/>
      <c r="M20" s="1287"/>
      <c r="N20" s="1287"/>
      <c r="O20" s="1292" t="s">
        <v>416</v>
      </c>
      <c r="P20" s="1287"/>
      <c r="Q20" s="1296"/>
      <c r="R20" s="1296"/>
      <c r="S20" s="664"/>
      <c r="Z20" s="1292"/>
      <c r="AB20" s="1292"/>
      <c r="AH20" s="1292"/>
      <c r="AJ20" s="1292"/>
      <c r="AN20" s="446"/>
      <c r="AO20" s="446"/>
      <c r="AP20" s="446"/>
      <c r="AQ20" s="446"/>
      <c r="AR20" s="446"/>
      <c r="AS20" s="1085">
        <v>0</v>
      </c>
    </row>
    <row r="21" spans="1:45" s="1291" customFormat="1" ht="14.25" hidden="1" customHeight="1">
      <c r="L21" s="1254"/>
      <c r="M21" s="1287"/>
      <c r="N21" s="1287"/>
      <c r="O21" s="1287"/>
      <c r="P21" s="1287"/>
      <c r="Q21" s="1296"/>
      <c r="R21" s="1296"/>
      <c r="S21" s="664"/>
      <c r="AN21" s="446"/>
      <c r="AO21" s="446"/>
      <c r="AP21" s="446"/>
      <c r="AQ21" s="446"/>
      <c r="AR21" s="446"/>
      <c r="AS21" s="1085">
        <v>0</v>
      </c>
    </row>
    <row r="22" spans="1:45" s="1291" customFormat="1" ht="14.25" hidden="1" customHeight="1">
      <c r="L22" s="1254"/>
      <c r="M22" s="1287"/>
      <c r="N22" s="1287"/>
      <c r="O22" s="1289" t="s">
        <v>417</v>
      </c>
      <c r="P22" s="1287"/>
      <c r="Q22" s="1296"/>
      <c r="R22" s="1296"/>
      <c r="S22" s="664"/>
      <c r="T22" s="1085" t="s">
        <v>418</v>
      </c>
      <c r="AA22" s="122" t="s">
        <v>419</v>
      </c>
      <c r="AC22" s="122" t="s">
        <v>420</v>
      </c>
      <c r="AD22" s="1085" t="s">
        <v>418</v>
      </c>
      <c r="AI22" s="122" t="s">
        <v>421</v>
      </c>
      <c r="AK22" s="122" t="s">
        <v>420</v>
      </c>
      <c r="AN22" s="446"/>
      <c r="AO22" s="446"/>
      <c r="AP22" s="446"/>
      <c r="AQ22" s="446"/>
      <c r="AR22" s="446"/>
      <c r="AS22" s="1085">
        <v>0</v>
      </c>
    </row>
    <row r="23" spans="1:45" ht="14.25" hidden="1" customHeight="1">
      <c r="O23" s="1289"/>
      <c r="AS23" s="1080">
        <v>0</v>
      </c>
    </row>
    <row r="24" spans="1:45" ht="14.25" hidden="1" customHeight="1">
      <c r="O24" s="1289"/>
      <c r="AS24" s="1080">
        <v>0</v>
      </c>
    </row>
    <row r="25" spans="1:45" ht="14.65" customHeight="1">
      <c r="Q25" s="311"/>
      <c r="R25" s="311"/>
      <c r="S25" s="1200"/>
      <c r="T25" s="298"/>
      <c r="U25" s="298"/>
      <c r="V25" s="444"/>
      <c r="W25" s="444"/>
      <c r="X25" s="444"/>
      <c r="Y25" s="444"/>
      <c r="Z25" s="444"/>
      <c r="AA25" s="444"/>
      <c r="AB25" s="444"/>
      <c r="AC25" s="444"/>
      <c r="AD25" s="444"/>
      <c r="AE25" s="444"/>
      <c r="AF25" s="444"/>
      <c r="AG25" s="444"/>
      <c r="AH25" s="444"/>
      <c r="AI25" s="444"/>
      <c r="AJ25" s="444"/>
      <c r="AK25" s="444"/>
      <c r="AS25" s="1080">
        <v>14</v>
      </c>
    </row>
    <row r="26" spans="1:45" ht="14.65" customHeight="1">
      <c r="Q26" s="311"/>
      <c r="R26" s="311"/>
      <c r="S26" s="2170" t="str">
        <f>IF(TEMPLATE_GROUP="P",PT_P_FORM_HEAT_4_NAME_FORM,PT_R_FORM_HEAT_21_NAME_FORM)</f>
        <v>Форма 19. Информация о предложении регулируемой организации о расчетной величине тарифов в сфере теплоснабжения на очередной расчетный период регулирования</v>
      </c>
      <c r="T26" s="2170"/>
      <c r="U26" s="2170"/>
      <c r="V26" s="2170"/>
      <c r="W26" s="2170"/>
      <c r="X26" s="2170"/>
      <c r="Y26" s="2170"/>
      <c r="Z26" s="2170"/>
      <c r="AA26" s="2170"/>
      <c r="AB26" s="2170"/>
      <c r="AC26" s="2170"/>
      <c r="AD26" s="2170"/>
      <c r="AE26" s="2170"/>
      <c r="AF26" s="2170"/>
      <c r="AG26" s="2170"/>
      <c r="AH26" s="2170"/>
      <c r="AI26" s="2170"/>
      <c r="AJ26" s="2170"/>
      <c r="AK26" s="1168"/>
      <c r="AS26" s="1080">
        <v>14</v>
      </c>
    </row>
    <row r="27" spans="1:45" ht="14.65" customHeight="1">
      <c r="Q27" s="311"/>
      <c r="R27" s="311"/>
      <c r="S27" s="2115" t="str">
        <f>IF(org=0,"Не определено",org)</f>
        <v>ООО "ЗЕНИТ ЭНЕРГО"</v>
      </c>
      <c r="T27" s="2115"/>
      <c r="U27" s="2115"/>
      <c r="V27" s="2115"/>
      <c r="W27" s="2115"/>
      <c r="X27" s="2115"/>
      <c r="Y27" s="2115"/>
      <c r="Z27" s="2115"/>
      <c r="AA27" s="2115"/>
      <c r="AB27" s="2115"/>
      <c r="AC27" s="2115"/>
      <c r="AD27" s="2115"/>
      <c r="AE27" s="2115"/>
      <c r="AF27" s="2115"/>
      <c r="AG27" s="2115"/>
      <c r="AH27" s="2115"/>
      <c r="AI27" s="2115"/>
      <c r="AJ27" s="2115"/>
      <c r="AK27" s="1168"/>
      <c r="AS27" s="1080">
        <v>14</v>
      </c>
    </row>
    <row r="28" spans="1:45" ht="14.25" hidden="1" customHeight="1">
      <c r="Q28" s="311"/>
      <c r="R28" s="311"/>
      <c r="S28" s="1200"/>
      <c r="T28" s="298"/>
      <c r="U28" s="298"/>
      <c r="V28" s="258"/>
      <c r="W28" s="258"/>
      <c r="X28" s="258"/>
      <c r="Y28" s="258"/>
      <c r="Z28" s="258"/>
      <c r="AA28" s="258"/>
      <c r="AB28" s="258"/>
      <c r="AC28" s="258"/>
      <c r="AD28" s="258"/>
      <c r="AE28" s="258"/>
      <c r="AF28" s="258"/>
      <c r="AG28" s="258"/>
      <c r="AH28" s="258"/>
      <c r="AI28" s="258"/>
      <c r="AJ28" s="258"/>
      <c r="AK28" s="258"/>
      <c r="AL28" s="444"/>
      <c r="AS28" s="1080">
        <v>0</v>
      </c>
    </row>
    <row r="29" spans="1:45" s="1777" customFormat="1" ht="25.5" hidden="1" customHeight="1">
      <c r="A29" s="1293"/>
      <c r="B29" s="1293"/>
      <c r="C29" s="1293"/>
      <c r="D29" s="1293"/>
      <c r="E29" s="1293"/>
      <c r="F29" s="1293"/>
      <c r="G29" s="1293"/>
      <c r="H29" s="1293"/>
      <c r="I29" s="1293"/>
      <c r="J29" s="1293"/>
      <c r="K29" s="1293"/>
      <c r="L29" s="1294"/>
      <c r="M29" s="1293"/>
      <c r="N29" s="1293"/>
      <c r="O29" s="1293"/>
      <c r="S29" s="2178" t="s">
        <v>42</v>
      </c>
      <c r="T29" s="2178"/>
      <c r="U29" s="1297"/>
      <c r="V29" s="2179" t="str">
        <f>IF(TITLE_NAME_OR_PR_CHANGE="",IF(TITLE_NAME_OR_PR="","",TITLE_NAME_OR_PR),TITLE_NAME_OR_PR_CHANGE)</f>
        <v/>
      </c>
      <c r="W29" s="2179"/>
      <c r="X29" s="2179"/>
      <c r="Y29" s="2179"/>
      <c r="Z29" s="2179"/>
      <c r="AA29" s="2179"/>
      <c r="AB29" s="2179"/>
      <c r="AC29" s="262"/>
      <c r="AD29" s="2179" t="str">
        <f>IF(TITLE_NAME_OR_PR_CHANGE="",IF(TITLE_NAME_OR_PR="","",TITLE_NAME_OR_PR),TITLE_NAME_OR_PR_CHANGE)</f>
        <v/>
      </c>
      <c r="AE29" s="2179"/>
      <c r="AF29" s="2179"/>
      <c r="AG29" s="2179"/>
      <c r="AH29" s="2179"/>
      <c r="AI29" s="2179"/>
      <c r="AJ29" s="2179"/>
      <c r="AK29" s="262"/>
      <c r="AL29" s="262"/>
      <c r="AM29" s="216"/>
      <c r="AN29" s="303"/>
      <c r="AO29" s="303"/>
      <c r="AP29" s="303"/>
      <c r="AQ29" s="303"/>
      <c r="AR29" s="303"/>
      <c r="AS29" s="353">
        <v>0</v>
      </c>
    </row>
    <row r="30" spans="1:45" s="1777" customFormat="1" ht="18.75" hidden="1" customHeight="1">
      <c r="A30" s="1293"/>
      <c r="B30" s="1293"/>
      <c r="C30" s="1293"/>
      <c r="D30" s="1293"/>
      <c r="E30" s="1293"/>
      <c r="F30" s="1293"/>
      <c r="G30" s="1293"/>
      <c r="H30" s="1293"/>
      <c r="I30" s="1293"/>
      <c r="J30" s="1293"/>
      <c r="K30" s="1293"/>
      <c r="L30" s="1294"/>
      <c r="M30" s="1293"/>
      <c r="N30" s="1293"/>
      <c r="O30" s="1293"/>
      <c r="S30" s="2178" t="s">
        <v>422</v>
      </c>
      <c r="T30" s="2178"/>
      <c r="U30" s="1297"/>
      <c r="V30" s="2188" t="str">
        <f>IF(TITLE_DATE_PR_CHANGE="",IF(TITLE_DATE_PR="","",TITLE_DATE_PR),TITLE_DATE_PR_CHANGE)</f>
        <v/>
      </c>
      <c r="W30" s="2188"/>
      <c r="X30" s="2188"/>
      <c r="Y30" s="2188"/>
      <c r="Z30" s="2188"/>
      <c r="AA30" s="2188"/>
      <c r="AB30" s="2188"/>
      <c r="AC30" s="262"/>
      <c r="AD30" s="2188" t="str">
        <f>IF(TITLE_DATE_PR_CHANGE="",IF(TITLE_DATE_PR="","",TITLE_DATE_PR),TITLE_DATE_PR_CHANGE)</f>
        <v/>
      </c>
      <c r="AE30" s="2188"/>
      <c r="AF30" s="2188"/>
      <c r="AG30" s="2188"/>
      <c r="AH30" s="2188"/>
      <c r="AI30" s="2188"/>
      <c r="AJ30" s="2188"/>
      <c r="AK30" s="262"/>
      <c r="AL30" s="262"/>
      <c r="AM30" s="216"/>
      <c r="AN30" s="303"/>
      <c r="AO30" s="303"/>
      <c r="AP30" s="303"/>
      <c r="AQ30" s="303"/>
      <c r="AR30" s="303"/>
      <c r="AS30" s="353">
        <v>0</v>
      </c>
    </row>
    <row r="31" spans="1:45" s="1777" customFormat="1" ht="18.75" hidden="1" customHeight="1">
      <c r="A31" s="1293"/>
      <c r="B31" s="1293"/>
      <c r="C31" s="1293"/>
      <c r="D31" s="1293"/>
      <c r="E31" s="1293"/>
      <c r="F31" s="1293"/>
      <c r="G31" s="1293"/>
      <c r="H31" s="1293"/>
      <c r="I31" s="1293"/>
      <c r="J31" s="1293"/>
      <c r="K31" s="1293"/>
      <c r="L31" s="1294"/>
      <c r="M31" s="1293"/>
      <c r="N31" s="1293"/>
      <c r="O31" s="1293"/>
      <c r="S31" s="2178" t="s">
        <v>423</v>
      </c>
      <c r="T31" s="2178"/>
      <c r="U31" s="1297"/>
      <c r="V31" s="2179" t="str">
        <f>IF(TITLE_NUMBER_PR_CHANGE="",IF(TITLE_NUMBER_PR="","",TITLE_NUMBER_PR),TITLE_NUMBER_PR_CHANGE)</f>
        <v/>
      </c>
      <c r="W31" s="2179"/>
      <c r="X31" s="2179"/>
      <c r="Y31" s="2179"/>
      <c r="Z31" s="2179"/>
      <c r="AA31" s="2179"/>
      <c r="AB31" s="2179"/>
      <c r="AC31" s="262"/>
      <c r="AD31" s="2179" t="str">
        <f>IF(TITLE_NUMBER_PR_CHANGE="",IF(TITLE_NUMBER_PR="","",TITLE_NUMBER_PR),TITLE_NUMBER_PR_CHANGE)</f>
        <v/>
      </c>
      <c r="AE31" s="2179"/>
      <c r="AF31" s="2179"/>
      <c r="AG31" s="2179"/>
      <c r="AH31" s="2179"/>
      <c r="AI31" s="2179"/>
      <c r="AJ31" s="2179"/>
      <c r="AK31" s="262"/>
      <c r="AL31" s="262"/>
      <c r="AM31" s="216"/>
      <c r="AN31" s="303"/>
      <c r="AO31" s="303"/>
      <c r="AP31" s="303"/>
      <c r="AQ31" s="303"/>
      <c r="AR31" s="303"/>
      <c r="AS31" s="353">
        <v>0</v>
      </c>
    </row>
    <row r="32" spans="1:45" s="1777" customFormat="1" ht="18.75" hidden="1" customHeight="1">
      <c r="A32" s="1293"/>
      <c r="B32" s="1293"/>
      <c r="C32" s="1293"/>
      <c r="D32" s="1293"/>
      <c r="E32" s="1293"/>
      <c r="F32" s="1293"/>
      <c r="G32" s="1293"/>
      <c r="H32" s="1293"/>
      <c r="I32" s="1293"/>
      <c r="J32" s="1293"/>
      <c r="K32" s="1293"/>
      <c r="L32" s="1294"/>
      <c r="M32" s="1293"/>
      <c r="N32" s="1293"/>
      <c r="O32" s="1293"/>
      <c r="S32" s="2178" t="s">
        <v>43</v>
      </c>
      <c r="T32" s="2178"/>
      <c r="U32" s="1297"/>
      <c r="V32" s="2179" t="str">
        <f>IF(TITLE_IST_PUB_CHANGE="",IF(TITLE_IST_PUB="","",TITLE_IST_PUB),TITLE_IST_PUB_CHANGE)</f>
        <v/>
      </c>
      <c r="W32" s="2179"/>
      <c r="X32" s="2179"/>
      <c r="Y32" s="2179"/>
      <c r="Z32" s="2179"/>
      <c r="AA32" s="2179"/>
      <c r="AB32" s="2179"/>
      <c r="AC32" s="262"/>
      <c r="AD32" s="2179" t="str">
        <f>IF(TITLE_IST_PUB_CHANGE="",IF(TITLE_IST_PUB="","",TITLE_IST_PUB),TITLE_IST_PUB_CHANGE)</f>
        <v/>
      </c>
      <c r="AE32" s="2179"/>
      <c r="AF32" s="2179"/>
      <c r="AG32" s="2179"/>
      <c r="AH32" s="2179"/>
      <c r="AI32" s="2179"/>
      <c r="AJ32" s="2179"/>
      <c r="AK32" s="262"/>
      <c r="AL32" s="262"/>
      <c r="AM32" s="216"/>
      <c r="AN32" s="303"/>
      <c r="AO32" s="303"/>
      <c r="AP32" s="303"/>
      <c r="AQ32" s="303"/>
      <c r="AR32" s="303"/>
      <c r="AS32" s="353">
        <v>0</v>
      </c>
    </row>
    <row r="33" spans="1:45" ht="14.25" hidden="1" customHeight="1">
      <c r="Q33" s="311"/>
      <c r="R33" s="311"/>
      <c r="S33" s="1200"/>
      <c r="T33" s="298"/>
      <c r="U33" s="298"/>
      <c r="V33" s="258"/>
      <c r="W33" s="258"/>
      <c r="X33" s="258"/>
      <c r="Y33" s="258"/>
      <c r="Z33" s="258"/>
      <c r="AA33" s="258"/>
      <c r="AB33" s="258"/>
      <c r="AC33" s="258"/>
      <c r="AD33" s="258"/>
      <c r="AE33" s="258"/>
      <c r="AF33" s="258"/>
      <c r="AG33" s="258"/>
      <c r="AH33" s="258"/>
      <c r="AI33" s="258"/>
      <c r="AJ33" s="258"/>
      <c r="AK33" s="258"/>
      <c r="AL33" s="444"/>
      <c r="AS33" s="1080">
        <v>0</v>
      </c>
    </row>
    <row r="34" spans="1:45" s="1777" customFormat="1" ht="18.75" hidden="1" customHeight="1">
      <c r="A34" s="1293"/>
      <c r="B34" s="1293"/>
      <c r="C34" s="1293"/>
      <c r="D34" s="1293"/>
      <c r="E34" s="1293"/>
      <c r="F34" s="1293"/>
      <c r="G34" s="1293"/>
      <c r="H34" s="1293"/>
      <c r="I34" s="1293"/>
      <c r="J34" s="1293"/>
      <c r="K34" s="1293"/>
      <c r="L34" s="1294"/>
      <c r="M34" s="1293"/>
      <c r="N34" s="1293"/>
      <c r="O34" s="1293"/>
      <c r="S34" s="2178" t="s">
        <v>424</v>
      </c>
      <c r="T34" s="2178"/>
      <c r="U34" s="1297"/>
      <c r="V34" s="2188" t="str">
        <f>IF(TITLE_DATE_PR_CHANGE="",IF(TITLE_DATE_PR="","",TITLE_DATE_PR),TITLE_DATE_PR_CHANGE)</f>
        <v/>
      </c>
      <c r="W34" s="2188"/>
      <c r="X34" s="2188"/>
      <c r="Y34" s="2188"/>
      <c r="Z34" s="2188"/>
      <c r="AA34" s="2188"/>
      <c r="AB34" s="2188"/>
      <c r="AC34" s="262"/>
      <c r="AD34" s="2188" t="str">
        <f>IF(TITLE_DATE_PR_CHANGE="",IF(TITLE_DATE_PR="","",TITLE_DATE_PR),TITLE_DATE_PR_CHANGE)</f>
        <v/>
      </c>
      <c r="AE34" s="2188"/>
      <c r="AF34" s="2188"/>
      <c r="AG34" s="2188"/>
      <c r="AH34" s="2188"/>
      <c r="AI34" s="2188"/>
      <c r="AJ34" s="2188"/>
      <c r="AK34" s="262"/>
      <c r="AL34" s="262"/>
      <c r="AM34" s="216"/>
      <c r="AN34" s="303"/>
      <c r="AO34" s="303"/>
      <c r="AP34" s="303"/>
      <c r="AQ34" s="303"/>
      <c r="AR34" s="303"/>
      <c r="AS34" s="353">
        <v>0</v>
      </c>
    </row>
    <row r="35" spans="1:45" s="1777" customFormat="1" ht="18.75" hidden="1" customHeight="1">
      <c r="A35" s="1293"/>
      <c r="B35" s="1293"/>
      <c r="C35" s="1293"/>
      <c r="D35" s="1293"/>
      <c r="E35" s="1293"/>
      <c r="F35" s="1293"/>
      <c r="G35" s="1293"/>
      <c r="H35" s="1293"/>
      <c r="I35" s="1293"/>
      <c r="J35" s="1293"/>
      <c r="K35" s="1293"/>
      <c r="L35" s="1294"/>
      <c r="M35" s="1293"/>
      <c r="N35" s="1293"/>
      <c r="O35" s="1293"/>
      <c r="S35" s="2178" t="s">
        <v>425</v>
      </c>
      <c r="T35" s="2178"/>
      <c r="U35" s="1297"/>
      <c r="V35" s="2179" t="str">
        <f>IF(TITLE_NUMBER_PR_CHANGE="",IF(TITLE_NUMBER_PR="","",TITLE_NUMBER_PR),TITLE_NUMBER_PR_CHANGE)</f>
        <v/>
      </c>
      <c r="W35" s="2179"/>
      <c r="X35" s="2179"/>
      <c r="Y35" s="2179"/>
      <c r="Z35" s="2179"/>
      <c r="AA35" s="2179"/>
      <c r="AB35" s="2179"/>
      <c r="AC35" s="262"/>
      <c r="AD35" s="2179" t="str">
        <f>IF(TITLE_NUMBER_PR_CHANGE="",IF(TITLE_NUMBER_PR="","",TITLE_NUMBER_PR),TITLE_NUMBER_PR_CHANGE)</f>
        <v/>
      </c>
      <c r="AE35" s="2179"/>
      <c r="AF35" s="2179"/>
      <c r="AG35" s="2179"/>
      <c r="AH35" s="2179"/>
      <c r="AI35" s="2179"/>
      <c r="AJ35" s="2179"/>
      <c r="AK35" s="262"/>
      <c r="AL35" s="262"/>
      <c r="AM35" s="216"/>
      <c r="AN35" s="303"/>
      <c r="AO35" s="303"/>
      <c r="AP35" s="303"/>
      <c r="AQ35" s="303"/>
      <c r="AR35" s="303"/>
      <c r="AS35" s="353">
        <v>0</v>
      </c>
    </row>
    <row r="36" spans="1:45" s="1777" customFormat="1" ht="0" hidden="1" customHeight="1">
      <c r="A36" s="1293"/>
      <c r="B36" s="1293"/>
      <c r="C36" s="1293"/>
      <c r="D36" s="1293"/>
      <c r="E36" s="1293"/>
      <c r="F36" s="1293"/>
      <c r="G36" s="1293"/>
      <c r="H36" s="1293"/>
      <c r="I36" s="1293"/>
      <c r="J36" s="1293"/>
      <c r="K36" s="1293"/>
      <c r="L36" s="1294"/>
      <c r="M36" s="1293"/>
      <c r="N36" s="1293"/>
      <c r="O36" s="1293"/>
      <c r="S36" s="259"/>
      <c r="T36" s="259"/>
      <c r="U36" s="1265"/>
      <c r="V36" s="262"/>
      <c r="W36" s="262"/>
      <c r="X36" s="262"/>
      <c r="Y36" s="262"/>
      <c r="Z36" s="262"/>
      <c r="AA36" s="262"/>
      <c r="AB36" s="262"/>
      <c r="AC36" s="214" t="s">
        <v>426</v>
      </c>
      <c r="AD36" s="262"/>
      <c r="AE36" s="262"/>
      <c r="AF36" s="262"/>
      <c r="AG36" s="262"/>
      <c r="AH36" s="262"/>
      <c r="AI36" s="262"/>
      <c r="AJ36" s="262"/>
      <c r="AK36" s="214" t="s">
        <v>426</v>
      </c>
      <c r="AN36" s="303"/>
      <c r="AO36" s="303"/>
      <c r="AP36" s="303"/>
      <c r="AQ36" s="303"/>
      <c r="AR36" s="303"/>
      <c r="AS36" s="353">
        <v>0</v>
      </c>
    </row>
    <row r="37" spans="1:45" ht="14.65" customHeight="1">
      <c r="Q37" s="311"/>
      <c r="R37" s="311"/>
      <c r="S37" s="1200"/>
      <c r="T37" s="298"/>
      <c r="U37" s="1169"/>
      <c r="V37" s="2180"/>
      <c r="W37" s="2180"/>
      <c r="X37" s="2180"/>
      <c r="Y37" s="2180"/>
      <c r="Z37" s="2180"/>
      <c r="AA37" s="2180"/>
      <c r="AB37" s="2180"/>
      <c r="AC37" s="2180"/>
      <c r="AD37" s="2180"/>
      <c r="AE37" s="2180"/>
      <c r="AF37" s="2180"/>
      <c r="AG37" s="2180"/>
      <c r="AH37" s="2180"/>
      <c r="AI37" s="2180"/>
      <c r="AJ37" s="2180"/>
      <c r="AK37" s="2180"/>
      <c r="AS37" s="1080">
        <v>14</v>
      </c>
    </row>
    <row r="38" spans="1:45" ht="14.65" customHeight="1">
      <c r="Q38" s="311"/>
      <c r="R38" s="311"/>
      <c r="S38" s="2066" t="s">
        <v>299</v>
      </c>
      <c r="T38" s="2066"/>
      <c r="U38" s="2066"/>
      <c r="V38" s="2066"/>
      <c r="W38" s="2066"/>
      <c r="X38" s="2066"/>
      <c r="Y38" s="2066"/>
      <c r="Z38" s="2066"/>
      <c r="AA38" s="2066"/>
      <c r="AB38" s="2066"/>
      <c r="AC38" s="2066"/>
      <c r="AD38" s="2066"/>
      <c r="AE38" s="2066"/>
      <c r="AF38" s="2066"/>
      <c r="AG38" s="2066"/>
      <c r="AH38" s="2066"/>
      <c r="AI38" s="2066"/>
      <c r="AJ38" s="2066"/>
      <c r="AK38" s="2066"/>
      <c r="AL38" s="2066"/>
      <c r="AM38" s="2066" t="s">
        <v>300</v>
      </c>
      <c r="AS38" s="1080">
        <v>14</v>
      </c>
    </row>
    <row r="39" spans="1:45" ht="14.65" customHeight="1">
      <c r="Q39" s="311"/>
      <c r="R39" s="311"/>
      <c r="S39" s="2194" t="s">
        <v>88</v>
      </c>
      <c r="T39" s="2145" t="s">
        <v>427</v>
      </c>
      <c r="U39" s="237"/>
      <c r="V39" s="2195" t="s">
        <v>428</v>
      </c>
      <c r="W39" s="2196"/>
      <c r="X39" s="2196"/>
      <c r="Y39" s="2196"/>
      <c r="Z39" s="2196"/>
      <c r="AA39" s="2196"/>
      <c r="AB39" s="2197"/>
      <c r="AC39" s="2198" t="s">
        <v>429</v>
      </c>
      <c r="AD39" s="2195" t="s">
        <v>428</v>
      </c>
      <c r="AE39" s="2196"/>
      <c r="AF39" s="2196"/>
      <c r="AG39" s="2196"/>
      <c r="AH39" s="2196"/>
      <c r="AI39" s="2196"/>
      <c r="AJ39" s="2197"/>
      <c r="AK39" s="2198" t="s">
        <v>430</v>
      </c>
      <c r="AL39" s="2201" t="s">
        <v>431</v>
      </c>
      <c r="AM39" s="2066"/>
      <c r="AS39" s="1080">
        <v>14</v>
      </c>
    </row>
    <row r="40" spans="1:45" ht="35.65" customHeight="1">
      <c r="Q40" s="311"/>
      <c r="R40" s="311"/>
      <c r="S40" s="2194"/>
      <c r="T40" s="2145"/>
      <c r="U40" s="959"/>
      <c r="V40" s="2114" t="s">
        <v>432</v>
      </c>
      <c r="W40" s="2204" t="s">
        <v>433</v>
      </c>
      <c r="X40" s="2038" t="s">
        <v>434</v>
      </c>
      <c r="Y40" s="2037"/>
      <c r="Z40" s="2038" t="s">
        <v>448</v>
      </c>
      <c r="AA40" s="2043"/>
      <c r="AB40" s="2037"/>
      <c r="AC40" s="2199"/>
      <c r="AD40" s="2114" t="s">
        <v>432</v>
      </c>
      <c r="AE40" s="2204" t="s">
        <v>433</v>
      </c>
      <c r="AF40" s="2038" t="s">
        <v>434</v>
      </c>
      <c r="AG40" s="2037"/>
      <c r="AH40" s="2038" t="s">
        <v>435</v>
      </c>
      <c r="AI40" s="2043"/>
      <c r="AJ40" s="2037"/>
      <c r="AK40" s="2199"/>
      <c r="AL40" s="2202"/>
      <c r="AM40" s="2066"/>
      <c r="AS40" s="1080">
        <v>34</v>
      </c>
    </row>
    <row r="41" spans="1:45" ht="35.65" customHeight="1">
      <c r="A41" s="1295"/>
      <c r="B41" s="1295" t="s">
        <v>136</v>
      </c>
      <c r="C41" s="1295" t="s">
        <v>137</v>
      </c>
      <c r="D41" s="1295" t="s">
        <v>138</v>
      </c>
      <c r="E41" s="1289" t="s">
        <v>436</v>
      </c>
      <c r="F41" s="1289" t="s">
        <v>437</v>
      </c>
      <c r="G41" s="1289" t="s">
        <v>438</v>
      </c>
      <c r="H41" s="1289" t="s">
        <v>439</v>
      </c>
      <c r="I41" s="1289" t="s">
        <v>440</v>
      </c>
      <c r="J41" s="1289" t="s">
        <v>441</v>
      </c>
      <c r="K41" s="1289" t="s">
        <v>442</v>
      </c>
      <c r="L41" s="1289" t="s">
        <v>417</v>
      </c>
      <c r="Q41" s="311"/>
      <c r="R41" s="311"/>
      <c r="S41" s="2194"/>
      <c r="T41" s="2145"/>
      <c r="U41" s="238"/>
      <c r="V41" s="2165"/>
      <c r="W41" s="2205"/>
      <c r="X41" s="1147" t="s">
        <v>443</v>
      </c>
      <c r="Y41" s="1147" t="s">
        <v>444</v>
      </c>
      <c r="Z41" s="1263" t="s">
        <v>445</v>
      </c>
      <c r="AA41" s="2154" t="s">
        <v>446</v>
      </c>
      <c r="AB41" s="2156"/>
      <c r="AC41" s="2200"/>
      <c r="AD41" s="2165"/>
      <c r="AE41" s="2205"/>
      <c r="AF41" s="1147" t="s">
        <v>443</v>
      </c>
      <c r="AG41" s="1147" t="s">
        <v>444</v>
      </c>
      <c r="AH41" s="1263" t="s">
        <v>445</v>
      </c>
      <c r="AI41" s="2154" t="s">
        <v>446</v>
      </c>
      <c r="AJ41" s="2156"/>
      <c r="AK41" s="2200"/>
      <c r="AL41" s="2203"/>
      <c r="AM41" s="2066"/>
      <c r="AS41" s="1080">
        <v>34</v>
      </c>
    </row>
    <row r="42" spans="1:45" s="1566" customFormat="1" ht="11.25" hidden="1" customHeight="1">
      <c r="A42" s="1295"/>
      <c r="B42" s="1295"/>
      <c r="C42" s="1295"/>
      <c r="D42" s="1295"/>
      <c r="E42" s="1295"/>
      <c r="F42" s="1295"/>
      <c r="G42" s="1295"/>
      <c r="H42" s="1295"/>
      <c r="I42" s="1295"/>
      <c r="J42" s="1295"/>
      <c r="K42" s="1295"/>
      <c r="L42" s="1289"/>
      <c r="M42" s="1287"/>
      <c r="N42" s="1287"/>
      <c r="O42" s="1287"/>
      <c r="P42" s="1171"/>
      <c r="Q42" s="1172"/>
      <c r="R42" s="1179">
        <v>1</v>
      </c>
      <c r="S42" s="1202" t="s">
        <v>109</v>
      </c>
      <c r="T42" s="1180" t="s">
        <v>110</v>
      </c>
      <c r="U42" s="1170" t="str">
        <f ca="1">OFFSET(U42,0,-1)</f>
        <v>2</v>
      </c>
      <c r="V42" s="1260">
        <f ca="1">OFFSET(V42,0,-1)+1</f>
        <v>3</v>
      </c>
      <c r="W42" s="1260"/>
      <c r="X42" s="1260">
        <f ca="1">OFFSET(X42,0,-1)+1</f>
        <v>1</v>
      </c>
      <c r="Y42" s="1260">
        <f ca="1">OFFSET(Y42,0,-1)+1</f>
        <v>2</v>
      </c>
      <c r="Z42" s="1260">
        <f ca="1">OFFSET(Z42,0,-1)+1</f>
        <v>3</v>
      </c>
      <c r="AA42" s="2193">
        <f ca="1">OFFSET(AA42,0,-1)+1</f>
        <v>4</v>
      </c>
      <c r="AB42" s="2193"/>
      <c r="AC42" s="1260">
        <f ca="1">OFFSET(AC42,0,-2)+1</f>
        <v>5</v>
      </c>
      <c r="AD42" s="1260">
        <f ca="1">OFFSET(AD42,0,-1)+1</f>
        <v>6</v>
      </c>
      <c r="AE42" s="1260"/>
      <c r="AF42" s="1260">
        <f ca="1">OFFSET(AF42,0,-1)+1</f>
        <v>1</v>
      </c>
      <c r="AG42" s="1260">
        <f ca="1">OFFSET(AG42,0,-1)+1</f>
        <v>2</v>
      </c>
      <c r="AH42" s="1260">
        <f ca="1">OFFSET(AH42,0,-1)+1</f>
        <v>3</v>
      </c>
      <c r="AI42" s="2193">
        <f ca="1">OFFSET(AI42,0,-1)+1</f>
        <v>4</v>
      </c>
      <c r="AJ42" s="2193"/>
      <c r="AK42" s="1260">
        <f ca="1">OFFSET(AK42,0,-2)+1</f>
        <v>5</v>
      </c>
      <c r="AL42" s="1170">
        <f ca="1">OFFSET(AL42,0,-1)</f>
        <v>5</v>
      </c>
      <c r="AM42" s="1260">
        <f ca="1">OFFSET(AM42,0,-1)+1</f>
        <v>6</v>
      </c>
      <c r="AN42" s="446"/>
      <c r="AO42" s="446"/>
      <c r="AP42" s="446"/>
      <c r="AQ42" s="446"/>
      <c r="AR42" s="446"/>
      <c r="AS42" s="431">
        <v>0</v>
      </c>
    </row>
    <row r="43" spans="1:45" ht="21.95" customHeight="1">
      <c r="A43" s="1288" t="s">
        <v>162</v>
      </c>
      <c r="B43" s="1288"/>
      <c r="C43" s="1288"/>
      <c r="D43" s="1288"/>
      <c r="E43" s="2186">
        <v>1</v>
      </c>
      <c r="F43" s="1288"/>
      <c r="G43" s="1288"/>
      <c r="H43" s="1288"/>
      <c r="I43" s="1288"/>
      <c r="J43" s="1288"/>
      <c r="K43" s="1288"/>
      <c r="L43" s="1289"/>
      <c r="M43" s="1290"/>
      <c r="N43" s="1290"/>
      <c r="O43" s="1290"/>
      <c r="P43" s="296"/>
      <c r="Q43" s="295"/>
      <c r="R43" s="290"/>
      <c r="S43" s="1261">
        <f>INDEX(PT_DIFFERENTIATION_NUM_NTAR,MATCH(A43,PT_DIFFERENTIATION_NTAR_ID,0))</f>
        <v>0</v>
      </c>
      <c r="T43" s="234" t="s">
        <v>124</v>
      </c>
      <c r="U43" s="236"/>
      <c r="V43" s="2172"/>
      <c r="W43" s="2173"/>
      <c r="X43" s="2173"/>
      <c r="Y43" s="2173"/>
      <c r="Z43" s="2173"/>
      <c r="AA43" s="2173"/>
      <c r="AB43" s="2173"/>
      <c r="AC43" s="2174"/>
      <c r="AD43" s="2172" t="str">
        <f>INDEX(PT_DIFFERENTIATION_NTAR,MATCH(A43,PT_DIFFERENTIATION_NTAR_ID,0))</f>
        <v/>
      </c>
      <c r="AE43" s="2173"/>
      <c r="AF43" s="2173"/>
      <c r="AG43" s="2173"/>
      <c r="AH43" s="2173"/>
      <c r="AI43" s="2173"/>
      <c r="AJ43" s="2173"/>
      <c r="AK43" s="2173"/>
      <c r="AL43" s="2174"/>
      <c r="AM43" s="1183" t="str">
        <f>IF(TEMPLATE_GROUP="P","По данной форме раскрывается в том числе информация об индикативном предельном уровне цены на тепловую энергию (мощность), который определен в соответствии с Правилами определения в ценовых зонах теплоснабжения предельного уровня "&amp;"цены на тепловую энергию (мощность), включая правила индексации предельного уровня цены на тепловую энергию (мощность), "&amp;"утвержденными постановлением Правительства Российской Федерации от 15 декабря 2017 г. N 1562 (далее - Правила), о графике поэтапного равномерного доведения предельного уровня цены на тепловую энергию (мощность) до уровня, "&amp;"определяемого в соответствии с указанными "&amp;"Правилами, а также информация о тарифах на товары (услуги) в сфере теплоснабжения в случаях, указанных частях 12 1 - 12 4 статьи 10 Федерального закона от 27 июля 2010 г. N 190-ФЗ ""О теплоснабжении"", "&amp;"теплоснабжающей организации, теплосетевой организации в ценовых зонах теплоснабжения. Для каждого вида тарифа в сфере теплоснабжения форма заполняется отдельно."&amp;"
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"&amp;"об установлении цены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"&amp;"Указывается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Для каждого вида тарифа в сфере теплоснабжения форма заполняется отдельно.
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Указывается наименование тарифа в случае предложения нескольких тарифов.
В случае наличия нескольких тарифов информация по ним указывается в отдельных строках.</v>
      </c>
      <c r="AO43" s="435"/>
      <c r="AP43" s="435" t="str">
        <f t="shared" ref="AP43:AP57" si="1">IF(T43="","",T43)</f>
        <v>Наименование тарифа</v>
      </c>
      <c r="AQ43" s="435"/>
      <c r="AR43" s="435"/>
      <c r="AS43" s="1080">
        <v>21</v>
      </c>
    </row>
    <row r="44" spans="1:45" ht="21.95" customHeight="1">
      <c r="A44" s="1288" t="s">
        <v>162</v>
      </c>
      <c r="B44" s="1288" t="s">
        <v>163</v>
      </c>
      <c r="C44" s="1288"/>
      <c r="D44" s="1288"/>
      <c r="E44" s="2187"/>
      <c r="F44" s="2186">
        <v>1</v>
      </c>
      <c r="G44" s="1288"/>
      <c r="H44" s="1288"/>
      <c r="I44" s="1288"/>
      <c r="J44" s="1288"/>
      <c r="K44" s="1288"/>
      <c r="L44" s="1289"/>
      <c r="M44" s="1290"/>
      <c r="N44" s="1290"/>
      <c r="O44" s="1290"/>
      <c r="P44" s="1257"/>
      <c r="Q44" s="287"/>
      <c r="R44" s="288"/>
      <c r="S44" s="1261" t="str">
        <f>INDEX(PT_DIFFERENTIATION_NUM_TER,MATCH(B44,PT_DIFFERENTIATION_TER_ID,0))</f>
        <v>.</v>
      </c>
      <c r="T44" s="244" t="s">
        <v>396</v>
      </c>
      <c r="U44" s="236"/>
      <c r="V44" s="2172"/>
      <c r="W44" s="2173"/>
      <c r="X44" s="2173"/>
      <c r="Y44" s="2173"/>
      <c r="Z44" s="2173"/>
      <c r="AA44" s="2173"/>
      <c r="AB44" s="2173"/>
      <c r="AC44" s="2174"/>
      <c r="AD44" s="2172" t="str">
        <f>INDEX(PT_DIFFERENTIATION_TER,MATCH(B44,PT_DIFFERENTIATION_TER_ID,0))</f>
        <v/>
      </c>
      <c r="AE44" s="2173"/>
      <c r="AF44" s="2173"/>
      <c r="AG44" s="2173"/>
      <c r="AH44" s="2173"/>
      <c r="AI44" s="2173"/>
      <c r="AJ44" s="2173"/>
      <c r="AK44" s="2173"/>
      <c r="AL44" s="2174"/>
      <c r="AM44" s="1183" t="s">
        <v>397</v>
      </c>
      <c r="AO44" s="435"/>
      <c r="AP44" s="435" t="str">
        <f t="shared" si="1"/>
        <v>Территория действия тарифа</v>
      </c>
      <c r="AQ44" s="435"/>
      <c r="AR44" s="435"/>
      <c r="AS44" s="1080">
        <v>21</v>
      </c>
    </row>
    <row r="45" spans="1:45" ht="24" customHeight="1">
      <c r="A45" s="1288" t="s">
        <v>162</v>
      </c>
      <c r="B45" s="1288" t="s">
        <v>163</v>
      </c>
      <c r="C45" s="1288" t="s">
        <v>164</v>
      </c>
      <c r="D45" s="1288"/>
      <c r="E45" s="2187"/>
      <c r="F45" s="2187"/>
      <c r="G45" s="2186">
        <v>1</v>
      </c>
      <c r="H45" s="1288"/>
      <c r="I45" s="1288"/>
      <c r="J45" s="1288"/>
      <c r="K45" s="1288"/>
      <c r="L45" s="1289"/>
      <c r="M45" s="1290"/>
      <c r="N45" s="1290"/>
      <c r="O45" s="1290"/>
      <c r="P45" s="289"/>
      <c r="Q45" s="287"/>
      <c r="R45" s="288"/>
      <c r="S45" s="1261" t="str">
        <f>INDEX(PT_DIFFERENTIATION_NUM_CS,MATCH(C45,PT_DIFFERENTIATION_CS_ID,0))</f>
        <v>..</v>
      </c>
      <c r="T45" s="245" t="s">
        <v>398</v>
      </c>
      <c r="U45" s="236"/>
      <c r="V45" s="2172"/>
      <c r="W45" s="2173"/>
      <c r="X45" s="2173"/>
      <c r="Y45" s="2173"/>
      <c r="Z45" s="2173"/>
      <c r="AA45" s="2173"/>
      <c r="AB45" s="2173"/>
      <c r="AC45" s="2174"/>
      <c r="AD45" s="2172" t="str">
        <f>INDEX(PT_DIFFERENTIATION_CS,MATCH(C45,PT_DIFFERENTIATION_CS_ID,0))</f>
        <v/>
      </c>
      <c r="AE45" s="2173"/>
      <c r="AF45" s="2173"/>
      <c r="AG45" s="2173"/>
      <c r="AH45" s="2173"/>
      <c r="AI45" s="2173"/>
      <c r="AJ45" s="2173"/>
      <c r="AK45" s="2173"/>
      <c r="AL45" s="2174"/>
      <c r="AM45" s="1183" t="s">
        <v>399</v>
      </c>
      <c r="AO45" s="435"/>
      <c r="AP45" s="435" t="str">
        <f t="shared" si="1"/>
        <v xml:space="preserve">Наименование системы теплоснабжения </v>
      </c>
      <c r="AQ45" s="435"/>
      <c r="AR45" s="435"/>
      <c r="AS45" s="1080">
        <v>23</v>
      </c>
    </row>
    <row r="46" spans="1:45" ht="21.95" customHeight="1">
      <c r="A46" s="1288" t="s">
        <v>162</v>
      </c>
      <c r="B46" s="1288" t="s">
        <v>163</v>
      </c>
      <c r="C46" s="1288" t="s">
        <v>164</v>
      </c>
      <c r="D46" s="1288" t="s">
        <v>165</v>
      </c>
      <c r="E46" s="2187"/>
      <c r="F46" s="2187"/>
      <c r="G46" s="2187"/>
      <c r="H46" s="2186">
        <v>1</v>
      </c>
      <c r="I46" s="1288"/>
      <c r="J46" s="1288"/>
      <c r="K46" s="1288"/>
      <c r="L46" s="1289"/>
      <c r="M46" s="1290"/>
      <c r="N46" s="1290"/>
      <c r="O46" s="1290"/>
      <c r="P46" s="289"/>
      <c r="Q46" s="287"/>
      <c r="R46" s="288"/>
      <c r="S46" s="1261" t="str">
        <f>INDEX(PT_DIFFERENTIATION_NUM_IST_TE,MATCH(D46,PT_DIFFERENTIATION_IST_TE_ID,0))</f>
        <v>...</v>
      </c>
      <c r="T46" s="246" t="s">
        <v>400</v>
      </c>
      <c r="U46" s="236"/>
      <c r="V46" s="2172"/>
      <c r="W46" s="2173"/>
      <c r="X46" s="2173"/>
      <c r="Y46" s="2173"/>
      <c r="Z46" s="2173"/>
      <c r="AA46" s="2173"/>
      <c r="AB46" s="2173"/>
      <c r="AC46" s="2174"/>
      <c r="AD46" s="2172" t="str">
        <f>INDEX(PT_DIFFERENTIATION_IST_TE,MATCH(D46,PT_DIFFERENTIATION_IST_TE_ID,0))</f>
        <v/>
      </c>
      <c r="AE46" s="2173"/>
      <c r="AF46" s="2173"/>
      <c r="AG46" s="2173"/>
      <c r="AH46" s="2173"/>
      <c r="AI46" s="2173"/>
      <c r="AJ46" s="2173"/>
      <c r="AK46" s="2173"/>
      <c r="AL46" s="2174"/>
      <c r="AM46" s="1183" t="s">
        <v>401</v>
      </c>
      <c r="AO46" s="435"/>
      <c r="AP46" s="435" t="str">
        <f t="shared" si="1"/>
        <v xml:space="preserve">Источник тепловой энергии  </v>
      </c>
      <c r="AQ46" s="435"/>
      <c r="AR46" s="435"/>
      <c r="AS46" s="1080">
        <v>21</v>
      </c>
    </row>
    <row r="47" spans="1:45" ht="49.5" customHeight="1">
      <c r="A47" s="1288" t="s">
        <v>162</v>
      </c>
      <c r="B47" s="1288" t="s">
        <v>163</v>
      </c>
      <c r="C47" s="1288" t="s">
        <v>164</v>
      </c>
      <c r="D47" s="1288" t="s">
        <v>165</v>
      </c>
      <c r="E47" s="2187"/>
      <c r="F47" s="2187"/>
      <c r="G47" s="2187"/>
      <c r="H47" s="2187"/>
      <c r="I47" s="2184" t="str">
        <f>S46&amp;".1"</f>
        <v>....1</v>
      </c>
      <c r="J47" s="1288"/>
      <c r="K47" s="1288"/>
      <c r="L47" s="1289" t="s">
        <v>402</v>
      </c>
      <c r="P47" s="2185">
        <v>1</v>
      </c>
      <c r="Q47" s="1256"/>
      <c r="R47" s="291"/>
      <c r="S47" s="1261" t="str">
        <f>$I47</f>
        <v>....1</v>
      </c>
      <c r="T47" s="221" t="s">
        <v>403</v>
      </c>
      <c r="U47" s="236"/>
      <c r="V47" s="2175"/>
      <c r="W47" s="2176"/>
      <c r="X47" s="2176"/>
      <c r="Y47" s="2176"/>
      <c r="Z47" s="2176"/>
      <c r="AA47" s="2176"/>
      <c r="AB47" s="2176"/>
      <c r="AC47" s="2177"/>
      <c r="AD47" s="2175"/>
      <c r="AE47" s="2176"/>
      <c r="AF47" s="2176"/>
      <c r="AG47" s="2176"/>
      <c r="AH47" s="2176"/>
      <c r="AI47" s="2176"/>
      <c r="AJ47" s="2176"/>
      <c r="AK47" s="2176"/>
      <c r="AL47" s="2177"/>
      <c r="AM47" s="1183" t="s">
        <v>404</v>
      </c>
      <c r="AO47" s="435"/>
      <c r="AP47" s="435" t="str">
        <f t="shared" si="1"/>
        <v>Схема подключения теплопотребляющей установки к коллектору источника тепловой энергии</v>
      </c>
      <c r="AQ47" s="435"/>
      <c r="AR47" s="435"/>
      <c r="AS47" s="1080">
        <v>47</v>
      </c>
    </row>
    <row r="48" spans="1:45" ht="21.95" customHeight="1">
      <c r="A48" s="1288" t="s">
        <v>162</v>
      </c>
      <c r="B48" s="1288" t="s">
        <v>163</v>
      </c>
      <c r="C48" s="1288" t="s">
        <v>164</v>
      </c>
      <c r="D48" s="1288" t="s">
        <v>165</v>
      </c>
      <c r="E48" s="2187"/>
      <c r="F48" s="2187"/>
      <c r="G48" s="2187"/>
      <c r="H48" s="2187"/>
      <c r="I48" s="2207"/>
      <c r="J48" s="2184" t="str">
        <f>I47&amp;".1"</f>
        <v>....1.1</v>
      </c>
      <c r="K48" s="1288"/>
      <c r="L48" s="1289" t="s">
        <v>405</v>
      </c>
      <c r="P48" s="2185"/>
      <c r="Q48" s="2185">
        <v>1</v>
      </c>
      <c r="R48" s="292"/>
      <c r="S48" s="1261" t="str">
        <f>$J48</f>
        <v>....1.1</v>
      </c>
      <c r="T48" s="222" t="s">
        <v>406</v>
      </c>
      <c r="U48" s="236"/>
      <c r="V48" s="2175"/>
      <c r="W48" s="2176"/>
      <c r="X48" s="2176"/>
      <c r="Y48" s="2176"/>
      <c r="Z48" s="2176"/>
      <c r="AA48" s="2176"/>
      <c r="AB48" s="2176"/>
      <c r="AC48" s="2177"/>
      <c r="AD48" s="2175"/>
      <c r="AE48" s="2176"/>
      <c r="AF48" s="2176"/>
      <c r="AG48" s="2176"/>
      <c r="AH48" s="2176"/>
      <c r="AI48" s="2176"/>
      <c r="AJ48" s="2176"/>
      <c r="AK48" s="2176"/>
      <c r="AL48" s="2177"/>
      <c r="AM48" s="1183" t="s">
        <v>407</v>
      </c>
      <c r="AO48" s="435"/>
      <c r="AP48" s="435" t="str">
        <f t="shared" si="1"/>
        <v>Группа потребителей</v>
      </c>
      <c r="AQ48" s="435"/>
      <c r="AR48" s="435"/>
      <c r="AS48" s="1080">
        <v>21</v>
      </c>
    </row>
    <row r="49" spans="1:45" ht="21.95" customHeight="1">
      <c r="A49" s="1288" t="s">
        <v>162</v>
      </c>
      <c r="B49" s="1288" t="s">
        <v>163</v>
      </c>
      <c r="C49" s="1288" t="s">
        <v>164</v>
      </c>
      <c r="D49" s="1288" t="s">
        <v>165</v>
      </c>
      <c r="E49" s="2187"/>
      <c r="F49" s="2187"/>
      <c r="G49" s="2187"/>
      <c r="H49" s="2187"/>
      <c r="I49" s="2207"/>
      <c r="J49" s="2207"/>
      <c r="K49" s="2184" t="str">
        <f>J48&amp;".1"</f>
        <v>....1.1.1</v>
      </c>
      <c r="L49" s="1289" t="s">
        <v>408</v>
      </c>
      <c r="P49" s="2185"/>
      <c r="Q49" s="2185"/>
      <c r="R49" s="292">
        <v>1</v>
      </c>
      <c r="S49" s="1261" t="str">
        <f>$K49</f>
        <v>....1.1.1</v>
      </c>
      <c r="T49" s="1272"/>
      <c r="U49" s="236"/>
      <c r="V49" s="686"/>
      <c r="W49" s="261"/>
      <c r="X49" s="686"/>
      <c r="Y49" s="1182"/>
      <c r="Z49" s="2189"/>
      <c r="AA49" s="2047" t="s">
        <v>66</v>
      </c>
      <c r="AB49" s="2189"/>
      <c r="AC49" s="2047" t="s">
        <v>66</v>
      </c>
      <c r="AD49" s="686"/>
      <c r="AE49" s="261"/>
      <c r="AF49" s="686"/>
      <c r="AG49" s="1182"/>
      <c r="AH49" s="2189"/>
      <c r="AI49" s="2047" t="s">
        <v>66</v>
      </c>
      <c r="AJ49" s="2208"/>
      <c r="AK49" s="2047" t="s">
        <v>66</v>
      </c>
      <c r="AL49" s="1273"/>
      <c r="AM49" s="2181" t="s">
        <v>409</v>
      </c>
      <c r="AN49" s="446" t="e">
        <f ca="1">STRCHECKDATE(V50:AL50)</f>
        <v>#NAME?</v>
      </c>
      <c r="AO49" s="435"/>
      <c r="AP49" s="435" t="str">
        <f t="shared" si="1"/>
        <v/>
      </c>
      <c r="AQ49" s="435"/>
      <c r="AR49" s="435"/>
      <c r="AS49" s="1080">
        <v>21</v>
      </c>
    </row>
    <row r="50" spans="1:45" ht="1.1499999999999999" customHeight="1">
      <c r="A50" s="1288" t="s">
        <v>162</v>
      </c>
      <c r="B50" s="1288" t="s">
        <v>163</v>
      </c>
      <c r="C50" s="1288" t="s">
        <v>164</v>
      </c>
      <c r="D50" s="1288" t="s">
        <v>165</v>
      </c>
      <c r="E50" s="2187"/>
      <c r="F50" s="2187"/>
      <c r="G50" s="2187"/>
      <c r="H50" s="2187"/>
      <c r="I50" s="2207"/>
      <c r="J50" s="2207"/>
      <c r="K50" s="2184"/>
      <c r="L50" s="1289"/>
      <c r="P50" s="2185"/>
      <c r="Q50" s="2185"/>
      <c r="R50" s="292"/>
      <c r="S50" s="1267"/>
      <c r="T50" s="236"/>
      <c r="U50" s="236"/>
      <c r="V50" s="261"/>
      <c r="W50" s="261"/>
      <c r="X50" s="261"/>
      <c r="Y50" s="264" t="str">
        <f>Z49&amp;"-"&amp;AB49</f>
        <v>-</v>
      </c>
      <c r="Z50" s="2190"/>
      <c r="AA50" s="2047"/>
      <c r="AB50" s="2190"/>
      <c r="AC50" s="2047"/>
      <c r="AD50" s="261"/>
      <c r="AE50" s="261"/>
      <c r="AF50" s="261"/>
      <c r="AG50" s="264" t="str">
        <f>AH49&amp;"-"&amp;AJ49</f>
        <v>-</v>
      </c>
      <c r="AH50" s="2190"/>
      <c r="AI50" s="2047"/>
      <c r="AJ50" s="2209"/>
      <c r="AK50" s="2047"/>
      <c r="AL50" s="1274"/>
      <c r="AM50" s="2182"/>
      <c r="AO50" s="435"/>
      <c r="AP50" s="435" t="str">
        <f t="shared" si="1"/>
        <v/>
      </c>
      <c r="AQ50" s="435"/>
      <c r="AR50" s="435"/>
      <c r="AS50" s="1080">
        <v>1</v>
      </c>
    </row>
    <row r="51" spans="1:45" ht="11.45" customHeight="1">
      <c r="A51" s="1288" t="s">
        <v>162</v>
      </c>
      <c r="B51" s="1288" t="s">
        <v>163</v>
      </c>
      <c r="C51" s="1288" t="s">
        <v>164</v>
      </c>
      <c r="D51" s="1288" t="s">
        <v>165</v>
      </c>
      <c r="E51" s="2187"/>
      <c r="F51" s="2187"/>
      <c r="G51" s="2187"/>
      <c r="H51" s="2187"/>
      <c r="I51" s="2207"/>
      <c r="J51" s="2184"/>
      <c r="K51" s="1288"/>
      <c r="L51" s="1289"/>
      <c r="P51" s="2185"/>
      <c r="Q51" s="2185"/>
      <c r="R51" s="291"/>
      <c r="S51" s="1203"/>
      <c r="T51" s="224" t="s">
        <v>410</v>
      </c>
      <c r="U51" s="302"/>
      <c r="V51" s="302"/>
      <c r="W51" s="302"/>
      <c r="X51" s="302"/>
      <c r="Y51" s="302"/>
      <c r="Z51" s="302"/>
      <c r="AA51" s="302"/>
      <c r="AB51" s="302"/>
      <c r="AC51" s="302"/>
      <c r="AD51" s="302"/>
      <c r="AE51" s="302"/>
      <c r="AF51" s="302"/>
      <c r="AG51" s="302"/>
      <c r="AH51" s="302"/>
      <c r="AI51" s="302"/>
      <c r="AJ51" s="302"/>
      <c r="AK51" s="302"/>
      <c r="AL51" s="260"/>
      <c r="AM51" s="2183"/>
      <c r="AO51" s="435"/>
      <c r="AP51" s="435" t="str">
        <f t="shared" si="1"/>
        <v>Добавить вид теплоносителя (параметры теплоносителя)</v>
      </c>
      <c r="AQ51" s="435"/>
      <c r="AR51" s="435"/>
      <c r="AS51" s="1080">
        <v>11</v>
      </c>
    </row>
    <row r="52" spans="1:45" ht="11.45" customHeight="1">
      <c r="A52" s="1288" t="s">
        <v>162</v>
      </c>
      <c r="B52" s="1288" t="s">
        <v>163</v>
      </c>
      <c r="C52" s="1288" t="s">
        <v>164</v>
      </c>
      <c r="D52" s="1288" t="s">
        <v>165</v>
      </c>
      <c r="E52" s="2187"/>
      <c r="F52" s="2187"/>
      <c r="G52" s="2187"/>
      <c r="H52" s="2187"/>
      <c r="I52" s="2184"/>
      <c r="J52" s="1288"/>
      <c r="K52" s="1288"/>
      <c r="L52" s="1289"/>
      <c r="P52" s="2185"/>
      <c r="Q52" s="1256"/>
      <c r="R52" s="291"/>
      <c r="S52" s="1203"/>
      <c r="T52" s="223" t="s">
        <v>411</v>
      </c>
      <c r="U52" s="302"/>
      <c r="V52" s="302"/>
      <c r="W52" s="302"/>
      <c r="X52" s="302"/>
      <c r="Y52" s="302"/>
      <c r="Z52" s="302"/>
      <c r="AA52" s="302"/>
      <c r="AB52" s="302"/>
      <c r="AC52" s="301"/>
      <c r="AD52" s="302"/>
      <c r="AE52" s="302"/>
      <c r="AF52" s="302"/>
      <c r="AG52" s="302"/>
      <c r="AH52" s="302"/>
      <c r="AI52" s="302"/>
      <c r="AJ52" s="302"/>
      <c r="AK52" s="301"/>
      <c r="AL52" s="302"/>
      <c r="AM52" s="239"/>
      <c r="AO52" s="435"/>
      <c r="AP52" s="435" t="str">
        <f t="shared" si="1"/>
        <v>Добавить группу потребителей</v>
      </c>
      <c r="AQ52" s="435"/>
      <c r="AR52" s="435"/>
      <c r="AS52" s="1080">
        <v>11</v>
      </c>
    </row>
    <row r="53" spans="1:45" ht="14.65" customHeight="1">
      <c r="A53" s="1288" t="s">
        <v>162</v>
      </c>
      <c r="B53" s="1288" t="s">
        <v>163</v>
      </c>
      <c r="C53" s="1288" t="s">
        <v>164</v>
      </c>
      <c r="D53" s="1288" t="s">
        <v>165</v>
      </c>
      <c r="E53" s="2187"/>
      <c r="F53" s="2187"/>
      <c r="G53" s="2187"/>
      <c r="H53" s="2186"/>
      <c r="I53" s="1288"/>
      <c r="J53" s="1288"/>
      <c r="K53" s="1288"/>
      <c r="L53" s="1289"/>
      <c r="M53" s="1290"/>
      <c r="N53" s="1290"/>
      <c r="O53" s="472"/>
      <c r="P53" s="295"/>
      <c r="Q53" s="310"/>
      <c r="R53" s="290"/>
      <c r="S53" s="1203"/>
      <c r="T53" s="300" t="s">
        <v>412</v>
      </c>
      <c r="U53" s="302"/>
      <c r="V53" s="302"/>
      <c r="W53" s="302"/>
      <c r="X53" s="302"/>
      <c r="Y53" s="302"/>
      <c r="Z53" s="302"/>
      <c r="AA53" s="302"/>
      <c r="AB53" s="302"/>
      <c r="AC53" s="301"/>
      <c r="AD53" s="302"/>
      <c r="AE53" s="302"/>
      <c r="AF53" s="302"/>
      <c r="AG53" s="302"/>
      <c r="AH53" s="302"/>
      <c r="AI53" s="302"/>
      <c r="AJ53" s="302"/>
      <c r="AK53" s="301"/>
      <c r="AL53" s="302"/>
      <c r="AM53" s="239"/>
      <c r="AO53" s="435"/>
      <c r="AP53" s="435" t="str">
        <f t="shared" si="1"/>
        <v>Добавить схему подключения</v>
      </c>
      <c r="AQ53" s="435"/>
      <c r="AR53" s="435"/>
      <c r="AS53" s="1080">
        <v>14</v>
      </c>
    </row>
    <row r="54" spans="1:45" s="1567" customFormat="1" ht="1.1499999999999999" customHeight="1">
      <c r="A54" s="1268" t="s">
        <v>162</v>
      </c>
      <c r="B54" s="1268" t="s">
        <v>163</v>
      </c>
      <c r="C54" s="1268" t="s">
        <v>164</v>
      </c>
      <c r="D54" s="1239"/>
      <c r="E54" s="2187"/>
      <c r="F54" s="2187"/>
      <c r="G54" s="2186"/>
      <c r="H54" s="1239"/>
      <c r="I54" s="1239"/>
      <c r="J54" s="1239"/>
      <c r="K54" s="1239"/>
      <c r="L54" s="1264"/>
      <c r="M54" s="1240"/>
      <c r="N54" s="1240"/>
      <c r="P54" s="1241"/>
      <c r="Q54" s="1242"/>
      <c r="R54" s="1241"/>
      <c r="S54" s="1247"/>
      <c r="T54" s="1250" t="s">
        <v>413</v>
      </c>
      <c r="U54" s="1249"/>
      <c r="V54" s="1249"/>
      <c r="W54" s="1249"/>
      <c r="X54" s="1249"/>
      <c r="Y54" s="1249"/>
      <c r="Z54" s="1249"/>
      <c r="AA54" s="1249"/>
      <c r="AB54" s="1249"/>
      <c r="AC54" s="1249"/>
      <c r="AD54" s="1249"/>
      <c r="AE54" s="1249"/>
      <c r="AF54" s="1249"/>
      <c r="AG54" s="1249"/>
      <c r="AH54" s="1249"/>
      <c r="AI54" s="1249"/>
      <c r="AJ54" s="1249"/>
      <c r="AK54" s="1249"/>
      <c r="AL54" s="1249"/>
      <c r="AM54" s="1249"/>
      <c r="AO54" s="718"/>
      <c r="AP54" s="718" t="str">
        <f t="shared" si="1"/>
        <v>Добавить источник для дифференциации</v>
      </c>
      <c r="AQ54" s="718"/>
      <c r="AR54" s="718"/>
      <c r="AS54" s="453">
        <v>1</v>
      </c>
    </row>
    <row r="55" spans="1:45" s="1567" customFormat="1" ht="1.1499999999999999" customHeight="1">
      <c r="A55" s="1268" t="s">
        <v>162</v>
      </c>
      <c r="B55" s="1268" t="s">
        <v>163</v>
      </c>
      <c r="C55" s="1239"/>
      <c r="D55" s="1239"/>
      <c r="E55" s="2187"/>
      <c r="F55" s="2186"/>
      <c r="G55" s="1239"/>
      <c r="H55" s="1239"/>
      <c r="I55" s="1239"/>
      <c r="J55" s="1239"/>
      <c r="K55" s="1239"/>
      <c r="L55" s="1264"/>
      <c r="M55" s="1246"/>
      <c r="N55" s="1246"/>
      <c r="P55" s="1241"/>
      <c r="Q55" s="1242"/>
      <c r="R55" s="1241"/>
      <c r="S55" s="1247"/>
      <c r="T55" s="1250" t="s">
        <v>414</v>
      </c>
      <c r="U55" s="1249"/>
      <c r="V55" s="1249"/>
      <c r="W55" s="1249"/>
      <c r="X55" s="1249"/>
      <c r="Y55" s="1249"/>
      <c r="Z55" s="1249"/>
      <c r="AA55" s="1249"/>
      <c r="AB55" s="1249"/>
      <c r="AC55" s="1249"/>
      <c r="AD55" s="1249"/>
      <c r="AE55" s="1249"/>
      <c r="AF55" s="1249"/>
      <c r="AG55" s="1249"/>
      <c r="AH55" s="1249"/>
      <c r="AI55" s="1249"/>
      <c r="AJ55" s="1249"/>
      <c r="AK55" s="1249"/>
      <c r="AL55" s="1249"/>
      <c r="AM55" s="1249"/>
      <c r="AO55" s="718"/>
      <c r="AP55" s="718" t="str">
        <f t="shared" si="1"/>
        <v>Добавить централизованную систему для дифференциации</v>
      </c>
      <c r="AQ55" s="718"/>
      <c r="AR55" s="718"/>
      <c r="AS55" s="453">
        <v>1</v>
      </c>
    </row>
    <row r="56" spans="1:45" s="1567" customFormat="1" ht="1.1499999999999999" customHeight="1">
      <c r="A56" s="1268" t="s">
        <v>162</v>
      </c>
      <c r="B56" s="1268"/>
      <c r="C56" s="1268"/>
      <c r="D56" s="1268"/>
      <c r="E56" s="2186"/>
      <c r="F56" s="1268"/>
      <c r="G56" s="1268"/>
      <c r="H56" s="1268"/>
      <c r="I56" s="1268"/>
      <c r="J56" s="1268"/>
      <c r="K56" s="1268"/>
      <c r="L56" s="1271"/>
      <c r="M56" s="1246"/>
      <c r="N56" s="1246"/>
      <c r="O56" s="453"/>
      <c r="P56" s="315"/>
      <c r="Q56" s="1269"/>
      <c r="R56" s="315"/>
      <c r="S56" s="1247"/>
      <c r="T56" s="1250" t="s">
        <v>415</v>
      </c>
      <c r="U56" s="1249"/>
      <c r="V56" s="1249"/>
      <c r="W56" s="1249"/>
      <c r="X56" s="1249"/>
      <c r="Y56" s="1249"/>
      <c r="Z56" s="1249"/>
      <c r="AA56" s="1249"/>
      <c r="AB56" s="1249"/>
      <c r="AC56" s="1249"/>
      <c r="AD56" s="1249"/>
      <c r="AE56" s="1249"/>
      <c r="AF56" s="1249"/>
      <c r="AG56" s="1249"/>
      <c r="AH56" s="1249"/>
      <c r="AI56" s="1249"/>
      <c r="AJ56" s="1249"/>
      <c r="AK56" s="1249"/>
      <c r="AL56" s="1249"/>
      <c r="AM56" s="1249"/>
      <c r="AO56" s="435"/>
      <c r="AP56" s="435" t="str">
        <f t="shared" si="1"/>
        <v>Добавить территорию для дифференциации</v>
      </c>
      <c r="AQ56" s="435"/>
      <c r="AR56" s="435"/>
      <c r="AS56" s="446">
        <v>1</v>
      </c>
    </row>
    <row r="57" spans="1:45" s="1567" customFormat="1" ht="1.1499999999999999" customHeight="1">
      <c r="A57" s="1239"/>
      <c r="B57" s="1239"/>
      <c r="C57" s="1239"/>
      <c r="D57" s="1239"/>
      <c r="E57" s="1268"/>
      <c r="F57" s="1239"/>
      <c r="G57" s="1239"/>
      <c r="H57" s="1239"/>
      <c r="I57" s="1239"/>
      <c r="J57" s="1239"/>
      <c r="K57" s="1239"/>
      <c r="L57" s="1264"/>
      <c r="M57" s="1246"/>
      <c r="N57" s="1246"/>
      <c r="P57" s="1241"/>
      <c r="Q57" s="1242"/>
      <c r="R57" s="1241"/>
      <c r="S57" s="1247"/>
      <c r="T57" s="1250" t="s">
        <v>447</v>
      </c>
      <c r="U57" s="1249"/>
      <c r="V57" s="1249"/>
      <c r="W57" s="1249"/>
      <c r="X57" s="1249"/>
      <c r="Y57" s="1249"/>
      <c r="Z57" s="1249"/>
      <c r="AA57" s="1249"/>
      <c r="AB57" s="1249"/>
      <c r="AC57" s="1249"/>
      <c r="AD57" s="1249"/>
      <c r="AE57" s="1249"/>
      <c r="AF57" s="1249"/>
      <c r="AG57" s="1249"/>
      <c r="AH57" s="1249"/>
      <c r="AI57" s="1249"/>
      <c r="AJ57" s="1249"/>
      <c r="AK57" s="1249"/>
      <c r="AL57" s="1249"/>
      <c r="AM57" s="1249"/>
      <c r="AO57" s="718"/>
      <c r="AP57" s="718" t="str">
        <f t="shared" si="1"/>
        <v>Добавить наименование тарифа</v>
      </c>
      <c r="AQ57" s="718"/>
      <c r="AR57" s="718"/>
      <c r="AS57" s="453">
        <v>1</v>
      </c>
    </row>
    <row r="58" spans="1:45" ht="11.45" customHeight="1">
      <c r="M58" s="1085"/>
      <c r="N58" s="1085"/>
      <c r="O58" s="472"/>
      <c r="P58" s="1080"/>
      <c r="Q58" s="1080"/>
      <c r="R58" s="1080"/>
      <c r="S58" s="1080"/>
      <c r="AN58" s="1080"/>
      <c r="AO58" s="1080"/>
      <c r="AP58" s="1080"/>
      <c r="AQ58" s="1080"/>
      <c r="AR58" s="1080"/>
      <c r="AS58" s="1080">
        <v>11</v>
      </c>
    </row>
    <row r="59" spans="1:45" ht="28.5" customHeight="1">
      <c r="O59" s="472"/>
      <c r="S59" s="1178"/>
      <c r="T59" s="2206"/>
      <c r="U59" s="2206"/>
      <c r="V59" s="2206"/>
      <c r="W59" s="2206"/>
      <c r="X59" s="2206"/>
      <c r="Y59" s="2206"/>
      <c r="Z59" s="2206"/>
      <c r="AA59" s="2206"/>
      <c r="AB59" s="2206"/>
      <c r="AC59" s="2206"/>
      <c r="AD59" s="2206"/>
      <c r="AE59" s="2206"/>
      <c r="AF59" s="2206"/>
      <c r="AG59" s="2206"/>
      <c r="AH59" s="2206"/>
      <c r="AI59" s="2206"/>
      <c r="AJ59" s="2206"/>
      <c r="AK59" s="2206"/>
      <c r="AL59" s="2206"/>
      <c r="AM59" s="2206"/>
      <c r="AS59" s="1080">
        <v>27</v>
      </c>
    </row>
    <row r="60" spans="1:45" ht="65.25" customHeight="1">
      <c r="O60" s="472"/>
      <c r="T60" s="2206"/>
      <c r="U60" s="2206"/>
      <c r="V60" s="2206"/>
      <c r="W60" s="2206"/>
      <c r="X60" s="2206"/>
      <c r="Y60" s="2206"/>
      <c r="Z60" s="2206"/>
      <c r="AA60" s="2206"/>
      <c r="AB60" s="2206"/>
      <c r="AC60" s="2206"/>
      <c r="AD60" s="2206"/>
      <c r="AE60" s="2206"/>
      <c r="AF60" s="2206"/>
      <c r="AG60" s="2206"/>
      <c r="AH60" s="2206"/>
      <c r="AI60" s="2206"/>
      <c r="AJ60" s="2206"/>
      <c r="AK60" s="2206"/>
      <c r="AL60" s="2206"/>
      <c r="AM60" s="2206"/>
      <c r="AS60" s="1080">
        <v>62</v>
      </c>
    </row>
    <row r="61" spans="1:45" ht="14.65" customHeight="1">
      <c r="O61" s="472"/>
      <c r="AS61" s="1080">
        <v>14</v>
      </c>
    </row>
    <row r="62" spans="1:45" ht="18.75" customHeight="1">
      <c r="O62" s="472"/>
      <c r="S62" s="1178"/>
      <c r="T62" s="2206"/>
      <c r="U62" s="2206"/>
      <c r="V62" s="2206"/>
      <c r="W62" s="2206"/>
      <c r="X62" s="2206"/>
      <c r="Y62" s="2206"/>
      <c r="Z62" s="2206"/>
      <c r="AA62" s="2206"/>
      <c r="AB62" s="2206"/>
      <c r="AC62" s="2206"/>
      <c r="AD62" s="2206"/>
      <c r="AE62" s="2206"/>
      <c r="AF62" s="2206"/>
      <c r="AG62" s="2206"/>
      <c r="AH62" s="2206"/>
      <c r="AI62" s="2206"/>
      <c r="AJ62" s="2206"/>
      <c r="AK62" s="2206"/>
      <c r="AL62" s="2206"/>
      <c r="AM62" s="2206"/>
      <c r="AS62" s="1080">
        <v>18</v>
      </c>
    </row>
    <row r="63" spans="1:45" ht="18.75" customHeight="1">
      <c r="O63" s="472"/>
      <c r="T63" s="2206"/>
      <c r="U63" s="2206"/>
      <c r="V63" s="2206"/>
      <c r="W63" s="2206"/>
      <c r="X63" s="2206"/>
      <c r="Y63" s="2206"/>
      <c r="Z63" s="2206"/>
      <c r="AA63" s="2206"/>
      <c r="AB63" s="2206"/>
      <c r="AC63" s="2206"/>
      <c r="AD63" s="2206"/>
      <c r="AE63" s="2206"/>
      <c r="AF63" s="2206"/>
      <c r="AG63" s="2206"/>
      <c r="AH63" s="2206"/>
      <c r="AI63" s="2206"/>
      <c r="AJ63" s="2206"/>
      <c r="AK63" s="2206"/>
      <c r="AL63" s="2206"/>
      <c r="AM63" s="2206"/>
      <c r="AS63" s="1080">
        <v>18</v>
      </c>
    </row>
    <row r="64" spans="1:45" ht="29.25" customHeight="1">
      <c r="O64" s="472"/>
      <c r="S64" s="1178"/>
      <c r="T64" s="2206"/>
      <c r="U64" s="2206"/>
      <c r="V64" s="2206"/>
      <c r="W64" s="2206"/>
      <c r="X64" s="2206"/>
      <c r="Y64" s="2206"/>
      <c r="Z64" s="2206"/>
      <c r="AA64" s="2206"/>
      <c r="AB64" s="2206"/>
      <c r="AC64" s="2206"/>
      <c r="AD64" s="2206"/>
      <c r="AE64" s="2206"/>
      <c r="AF64" s="2206"/>
      <c r="AG64" s="2206"/>
      <c r="AH64" s="2206"/>
      <c r="AI64" s="2206"/>
      <c r="AJ64" s="2206"/>
      <c r="AK64" s="2206"/>
      <c r="AL64" s="2206"/>
      <c r="AM64" s="2206"/>
      <c r="AS64" s="1080">
        <v>28</v>
      </c>
    </row>
    <row r="65" spans="1:45" ht="22.5" hidden="1" customHeight="1">
      <c r="A65" s="1085" t="s">
        <v>82</v>
      </c>
      <c r="B65" s="1085">
        <v>0</v>
      </c>
      <c r="C65" s="1085">
        <v>0</v>
      </c>
      <c r="D65" s="1085">
        <v>0</v>
      </c>
      <c r="E65" s="1085">
        <v>0</v>
      </c>
      <c r="F65" s="1085">
        <v>0</v>
      </c>
      <c r="G65" s="1085">
        <v>0</v>
      </c>
      <c r="H65" s="1085">
        <v>0</v>
      </c>
      <c r="I65" s="1085">
        <v>0</v>
      </c>
      <c r="J65" s="1085">
        <v>0</v>
      </c>
      <c r="K65" s="1085">
        <v>0</v>
      </c>
      <c r="L65" s="1254">
        <v>0</v>
      </c>
      <c r="M65" s="1287">
        <v>0</v>
      </c>
      <c r="N65" s="1287">
        <v>0</v>
      </c>
      <c r="O65" s="1287">
        <v>0</v>
      </c>
      <c r="P65" s="1253">
        <v>3</v>
      </c>
      <c r="Q65" s="280">
        <v>3</v>
      </c>
      <c r="R65" s="280">
        <v>3</v>
      </c>
      <c r="S65" s="516">
        <v>12</v>
      </c>
      <c r="T65" s="1080">
        <v>31</v>
      </c>
      <c r="U65" s="1080">
        <v>0</v>
      </c>
      <c r="V65" s="1080">
        <v>0</v>
      </c>
      <c r="W65" s="1080">
        <v>0</v>
      </c>
      <c r="X65" s="1080">
        <v>0</v>
      </c>
      <c r="Y65" s="1080">
        <v>0</v>
      </c>
      <c r="Z65" s="1080">
        <v>0</v>
      </c>
      <c r="AA65" s="1080">
        <v>0</v>
      </c>
      <c r="AB65" s="1080">
        <v>0</v>
      </c>
      <c r="AC65" s="1080">
        <v>0</v>
      </c>
      <c r="AD65" s="1080">
        <v>24</v>
      </c>
      <c r="AE65" s="1080">
        <v>0</v>
      </c>
      <c r="AF65" s="1080">
        <v>24</v>
      </c>
      <c r="AG65" s="1080">
        <v>24</v>
      </c>
      <c r="AH65" s="1080">
        <v>11</v>
      </c>
      <c r="AI65" s="1080">
        <v>3</v>
      </c>
      <c r="AJ65" s="1080">
        <v>11</v>
      </c>
      <c r="AK65" s="1080">
        <v>0</v>
      </c>
      <c r="AL65" s="1080">
        <v>4</v>
      </c>
      <c r="AM65" s="1080">
        <v>115</v>
      </c>
      <c r="AN65" s="446">
        <v>10</v>
      </c>
      <c r="AO65" s="446">
        <v>10</v>
      </c>
      <c r="AP65" s="446">
        <v>10</v>
      </c>
      <c r="AQ65" s="446">
        <v>10</v>
      </c>
      <c r="AR65" s="446">
        <v>10</v>
      </c>
      <c r="AS65" s="1080">
        <v>23</v>
      </c>
    </row>
  </sheetData>
  <sheetProtection formatColumns="0" formatRows="0" insertRows="0" deleteColumns="0" deleteRows="0" sort="0" autoFilter="0"/>
  <mergeCells count="112">
    <mergeCell ref="T63:AM63"/>
    <mergeCell ref="T64:AM64"/>
    <mergeCell ref="T62:AM62"/>
    <mergeCell ref="AM49:AM51"/>
    <mergeCell ref="T59:AM59"/>
    <mergeCell ref="T60:AM60"/>
    <mergeCell ref="J48:J51"/>
    <mergeCell ref="Q48:Q51"/>
    <mergeCell ref="V48:AC48"/>
    <mergeCell ref="AD48:AL48"/>
    <mergeCell ref="K49:K50"/>
    <mergeCell ref="Z49:Z50"/>
    <mergeCell ref="AA49:AA50"/>
    <mergeCell ref="AB49:AB50"/>
    <mergeCell ref="AC49:AC50"/>
    <mergeCell ref="AH49:AH50"/>
    <mergeCell ref="AI49:AI50"/>
    <mergeCell ref="AJ49:AJ50"/>
    <mergeCell ref="AK49:AK50"/>
    <mergeCell ref="E43:E56"/>
    <mergeCell ref="V43:AC43"/>
    <mergeCell ref="AD43:AL43"/>
    <mergeCell ref="F44:F55"/>
    <mergeCell ref="V44:AC44"/>
    <mergeCell ref="AD44:AL44"/>
    <mergeCell ref="G45:G54"/>
    <mergeCell ref="V45:AC45"/>
    <mergeCell ref="AD45:AL45"/>
    <mergeCell ref="H46:H53"/>
    <mergeCell ref="V46:AC46"/>
    <mergeCell ref="AD46:AL46"/>
    <mergeCell ref="I47:I52"/>
    <mergeCell ref="P47:P52"/>
    <mergeCell ref="V47:AC47"/>
    <mergeCell ref="AD47:AL47"/>
    <mergeCell ref="AH40:AJ40"/>
    <mergeCell ref="AA41:AB41"/>
    <mergeCell ref="AI41:AJ41"/>
    <mergeCell ref="AA42:AB42"/>
    <mergeCell ref="AI42:AJ42"/>
    <mergeCell ref="S38:AL38"/>
    <mergeCell ref="AM38:AM41"/>
    <mergeCell ref="S39:S41"/>
    <mergeCell ref="T39:T41"/>
    <mergeCell ref="V39:AB39"/>
    <mergeCell ref="AC39:AC41"/>
    <mergeCell ref="AD39:AJ39"/>
    <mergeCell ref="AK39:AK41"/>
    <mergeCell ref="AL39:AL41"/>
    <mergeCell ref="V40:V41"/>
    <mergeCell ref="W40:W41"/>
    <mergeCell ref="X40:Y40"/>
    <mergeCell ref="Z40:AB40"/>
    <mergeCell ref="AD40:AD41"/>
    <mergeCell ref="AE40:AE41"/>
    <mergeCell ref="AF40:AG40"/>
    <mergeCell ref="S32:T32"/>
    <mergeCell ref="V32:AB32"/>
    <mergeCell ref="AD32:AJ32"/>
    <mergeCell ref="V37:AC37"/>
    <mergeCell ref="AD37:AK37"/>
    <mergeCell ref="S34:T34"/>
    <mergeCell ref="V34:AB34"/>
    <mergeCell ref="AD34:AJ34"/>
    <mergeCell ref="S35:T35"/>
    <mergeCell ref="V35:AB35"/>
    <mergeCell ref="AD35:AJ35"/>
    <mergeCell ref="AM8:AM10"/>
    <mergeCell ref="AH17:AH18"/>
    <mergeCell ref="AI17:AI18"/>
    <mergeCell ref="AJ17:AJ18"/>
    <mergeCell ref="AK17:AK18"/>
    <mergeCell ref="AH8:AH9"/>
    <mergeCell ref="AI8:AI9"/>
    <mergeCell ref="AJ8:AJ9"/>
    <mergeCell ref="AK8:AK9"/>
    <mergeCell ref="V7:AC7"/>
    <mergeCell ref="AD7:AL7"/>
    <mergeCell ref="V2:AC2"/>
    <mergeCell ref="AD2:AL2"/>
    <mergeCell ref="V3:AC3"/>
    <mergeCell ref="AD3:AL3"/>
    <mergeCell ref="V4:AC4"/>
    <mergeCell ref="AD4:AL4"/>
    <mergeCell ref="V5:AC5"/>
    <mergeCell ref="AD5:AL5"/>
    <mergeCell ref="V6:AC6"/>
    <mergeCell ref="AD6:AL6"/>
    <mergeCell ref="S26:AJ26"/>
    <mergeCell ref="S27:AJ27"/>
    <mergeCell ref="S29:T29"/>
    <mergeCell ref="AD29:AJ29"/>
    <mergeCell ref="S30:T30"/>
    <mergeCell ref="V30:AB30"/>
    <mergeCell ref="AD30:AJ30"/>
    <mergeCell ref="S31:T31"/>
    <mergeCell ref="E2:E15"/>
    <mergeCell ref="F3:F14"/>
    <mergeCell ref="G4:G13"/>
    <mergeCell ref="H5:H12"/>
    <mergeCell ref="I6:I11"/>
    <mergeCell ref="P6:P11"/>
    <mergeCell ref="J7:J10"/>
    <mergeCell ref="Q7:Q10"/>
    <mergeCell ref="K8:K9"/>
    <mergeCell ref="Z8:Z9"/>
    <mergeCell ref="AA8:AA9"/>
    <mergeCell ref="AB8:AB9"/>
    <mergeCell ref="AC8:AC9"/>
    <mergeCell ref="V29:AB29"/>
    <mergeCell ref="V31:AB31"/>
    <mergeCell ref="AD31:AJ31"/>
  </mergeCells>
  <dataValidations count="8">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AG50 AG18 Y50"/>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327729 AK393265 AK49 AK524337 AK8 AK589873 AK655409 AK17 AK720945 AK786481 AK852017 AK917553 AK983089 AK65585 AK131121 AI49 AK458801 AI8 AC8 AA8 AI17 AK196657 AA49 AC49 AK262193"/>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dataValidation type="list" allowBlank="1" showInputMessage="1" showErrorMessage="1" errorTitle="Ошибка" error="Выберите значение из списка" sqref="T65585 T131121 T196657 T262193 T327729 T393265 T458801 T524337 T589873 T655409 T720945 T786481 T852017 T917553 T983089">
      <formula1>kind_of_heat_transfer</formula1>
    </dataValidation>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formula1>900</formula1>
    </dataValidation>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formula1>kind_of_scheme_in</formula1>
    </dataValidation>
    <dataValidation allowBlank="1" sqref="S131123:AM131129 S196659:AM196665 S262195:AM262201 S327731:AM327737 S393267:AM393273 S458803:AM458809 S524339:AM524345 S589875:AM589881 S655411:AM655417 S720947:AM720953 S786483:AM786489 S852019:AM852025 S917555:AM917561 S983091:AM983097 S65587:AM65593"/>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formula1>kind_of_cons</formula1>
    </dataValidation>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6" tint="0.39997558519241921"/>
  </sheetPr>
  <dimension ref="A1:AS65"/>
  <sheetViews>
    <sheetView showGridLines="0" zoomScale="90" workbookViewId="0">
      <pane xSplit="29" ySplit="42" topLeftCell="AD43" activePane="bottomRight" state="frozen"/>
      <selection pane="topRight" activeCell="AD1" sqref="AD1"/>
      <selection pane="bottomLeft" activeCell="A43" sqref="A43"/>
      <selection pane="bottomRight"/>
    </sheetView>
  </sheetViews>
  <sheetFormatPr defaultColWidth="10.5703125" defaultRowHeight="14.25" customHeight="1"/>
  <cols>
    <col min="1" max="1" width="10.5703125" style="1560" hidden="1"/>
    <col min="2" max="2" width="11" style="1560" hidden="1" customWidth="1"/>
    <col min="3" max="3" width="10.5703125" style="1560" hidden="1"/>
    <col min="4" max="4" width="11.85546875" style="1560" hidden="1" customWidth="1"/>
    <col min="5" max="5" width="10" style="1560" hidden="1" customWidth="1"/>
    <col min="6" max="6" width="8.7109375" style="1560" hidden="1" customWidth="1"/>
    <col min="7" max="7" width="7.5703125" style="1560" hidden="1" customWidth="1"/>
    <col min="8" max="8" width="11.42578125" style="1560" hidden="1" customWidth="1"/>
    <col min="9" max="9" width="12" style="1560" hidden="1" customWidth="1"/>
    <col min="10" max="10" width="9.85546875" style="1560" hidden="1" customWidth="1"/>
    <col min="11" max="11" width="11.42578125" style="1560" hidden="1" customWidth="1"/>
    <col min="12" max="12" width="19.140625" style="1998" hidden="1" customWidth="1"/>
    <col min="13" max="14" width="12.28515625" style="2000" hidden="1" customWidth="1"/>
    <col min="15" max="15" width="23.42578125" style="2000" hidden="1" customWidth="1"/>
    <col min="16" max="16" width="3" style="2000" customWidth="1"/>
    <col min="17" max="18" width="3" style="280" customWidth="1"/>
    <col min="19" max="19" width="12" style="2001" customWidth="1"/>
    <col min="20" max="20" width="31" style="1560" customWidth="1"/>
    <col min="21" max="21" width="0.140625" style="1560" customWidth="1"/>
    <col min="22" max="22" width="24.7109375" style="1560" hidden="1" customWidth="1"/>
    <col min="23" max="23" width="0.140625" style="1560" hidden="1" customWidth="1"/>
    <col min="24" max="25" width="24.7109375" style="1560" hidden="1" customWidth="1"/>
    <col min="26" max="26" width="11.7109375" style="1560" hidden="1" customWidth="1"/>
    <col min="27" max="27" width="3.7109375" style="1560" hidden="1" customWidth="1"/>
    <col min="28" max="28" width="11.7109375" style="1560" hidden="1" customWidth="1"/>
    <col min="29" max="29" width="8.5703125" style="1560" hidden="1" customWidth="1"/>
    <col min="30" max="30" width="24.7109375" style="1560" customWidth="1"/>
    <col min="31" max="31" width="0.140625" style="1560" customWidth="1"/>
    <col min="32" max="33" width="24" style="1560" customWidth="1"/>
    <col min="34" max="34" width="11" style="1560" customWidth="1"/>
    <col min="35" max="35" width="3.7109375" style="1560" customWidth="1"/>
    <col min="36" max="36" width="11" style="1560" customWidth="1"/>
    <col min="37" max="37" width="8.5703125" style="1560" hidden="1" customWidth="1"/>
    <col min="38" max="38" width="4" style="1560" customWidth="1"/>
    <col min="39" max="39" width="115" style="1560" customWidth="1"/>
    <col min="40" max="44" width="10" style="1567" customWidth="1"/>
    <col min="45" max="45" width="10.5703125" style="1560" hidden="1"/>
  </cols>
  <sheetData>
    <row r="1" spans="1:45" ht="22.5" hidden="1" customHeight="1">
      <c r="AS1" s="1556" t="s">
        <v>14</v>
      </c>
    </row>
    <row r="2" spans="1:45" ht="21" hidden="1" customHeight="1">
      <c r="A2" s="1192"/>
      <c r="B2" s="1192"/>
      <c r="C2" s="1192"/>
      <c r="D2" s="1192"/>
      <c r="E2" s="2210">
        <v>1</v>
      </c>
      <c r="F2" s="1192"/>
      <c r="G2" s="1192"/>
      <c r="H2" s="1192"/>
      <c r="I2" s="1192"/>
      <c r="J2" s="1192"/>
      <c r="K2" s="1192"/>
      <c r="L2" s="1235"/>
      <c r="M2" s="1535"/>
      <c r="N2" s="1535"/>
      <c r="O2" s="1535"/>
      <c r="P2" s="1515"/>
      <c r="Q2" s="295"/>
      <c r="R2" s="290"/>
      <c r="S2" s="1879" t="e">
        <f>INDEX(PT_DIFFERENTIATION_NUM_NTAR,MATCH(A2,PT_DIFFERENTIATION_NTAR_ID,0))</f>
        <v>#N/A</v>
      </c>
      <c r="T2" s="1450" t="s">
        <v>124</v>
      </c>
      <c r="U2" s="236"/>
      <c r="V2" s="2172"/>
      <c r="W2" s="2173"/>
      <c r="X2" s="2173"/>
      <c r="Y2" s="2173"/>
      <c r="Z2" s="2173"/>
      <c r="AA2" s="2173"/>
      <c r="AB2" s="2173"/>
      <c r="AC2" s="2174"/>
      <c r="AD2" s="2172" t="e">
        <f>INDEX(PT_DIFFERENTIATION_NTAR,MATCH(A2,PT_DIFFERENTIATION_NTAR_ID,0))</f>
        <v>#N/A</v>
      </c>
      <c r="AE2" s="2173"/>
      <c r="AF2" s="2173"/>
      <c r="AG2" s="2173"/>
      <c r="AH2" s="2173"/>
      <c r="AI2" s="2173"/>
      <c r="AJ2" s="2173"/>
      <c r="AK2" s="2173"/>
      <c r="AL2" s="2174"/>
      <c r="AM2" s="1183" t="s">
        <v>395</v>
      </c>
      <c r="AO2" s="1549"/>
      <c r="AP2" s="1549" t="str">
        <f t="shared" ref="AP2:AP15" si="0">IF(T2="","",T2)</f>
        <v>Наименование тарифа</v>
      </c>
      <c r="AQ2" s="1549"/>
      <c r="AR2" s="1549"/>
      <c r="AS2" s="1556">
        <v>0</v>
      </c>
    </row>
    <row r="3" spans="1:45" ht="21" hidden="1" customHeight="1">
      <c r="A3" s="1192"/>
      <c r="B3" s="1192"/>
      <c r="C3" s="1192"/>
      <c r="D3" s="1192"/>
      <c r="E3" s="2211"/>
      <c r="F3" s="2210">
        <v>1</v>
      </c>
      <c r="G3" s="1192"/>
      <c r="H3" s="1192"/>
      <c r="I3" s="1192"/>
      <c r="J3" s="1192"/>
      <c r="K3" s="1192"/>
      <c r="L3" s="1235"/>
      <c r="M3" s="1535"/>
      <c r="N3" s="1535"/>
      <c r="O3" s="1535"/>
      <c r="P3" s="1861"/>
      <c r="Q3" s="287"/>
      <c r="R3" s="288"/>
      <c r="S3" s="1879" t="e">
        <f>INDEX(PT_DIFFERENTIATION_NUM_TER,MATCH(B3,PT_DIFFERENTIATION_TER_ID,0))</f>
        <v>#N/A</v>
      </c>
      <c r="T3" s="1447" t="s">
        <v>396</v>
      </c>
      <c r="U3" s="236"/>
      <c r="V3" s="2172"/>
      <c r="W3" s="2173"/>
      <c r="X3" s="2173"/>
      <c r="Y3" s="2173"/>
      <c r="Z3" s="2173"/>
      <c r="AA3" s="2173"/>
      <c r="AB3" s="2173"/>
      <c r="AC3" s="2174"/>
      <c r="AD3" s="2172" t="e">
        <f>INDEX(PT_DIFFERENTIATION_TER,MATCH(B3,PT_DIFFERENTIATION_TER_ID,0))</f>
        <v>#N/A</v>
      </c>
      <c r="AE3" s="2173"/>
      <c r="AF3" s="2173"/>
      <c r="AG3" s="2173"/>
      <c r="AH3" s="2173"/>
      <c r="AI3" s="2173"/>
      <c r="AJ3" s="2173"/>
      <c r="AK3" s="2173"/>
      <c r="AL3" s="2174"/>
      <c r="AM3" s="1183" t="s">
        <v>397</v>
      </c>
      <c r="AO3" s="1549"/>
      <c r="AP3" s="1549" t="str">
        <f t="shared" si="0"/>
        <v>Территория действия тарифа</v>
      </c>
      <c r="AQ3" s="1549"/>
      <c r="AR3" s="1549"/>
      <c r="AS3" s="1556">
        <v>0</v>
      </c>
    </row>
    <row r="4" spans="1:45" ht="23.25" hidden="1" customHeight="1">
      <c r="A4" s="1192"/>
      <c r="B4" s="1192"/>
      <c r="C4" s="1192"/>
      <c r="D4" s="1192"/>
      <c r="E4" s="2211"/>
      <c r="F4" s="2211"/>
      <c r="G4" s="2210">
        <v>1</v>
      </c>
      <c r="H4" s="1192"/>
      <c r="I4" s="1192"/>
      <c r="J4" s="1192"/>
      <c r="K4" s="1192"/>
      <c r="L4" s="1235"/>
      <c r="M4" s="1535"/>
      <c r="N4" s="1535"/>
      <c r="O4" s="1535"/>
      <c r="P4" s="289"/>
      <c r="Q4" s="287"/>
      <c r="R4" s="288"/>
      <c r="S4" s="1879" t="e">
        <f>INDEX(PT_DIFFERENTIATION_NUM_CS,MATCH(C4,PT_DIFFERENTIATION_CS_ID,0))</f>
        <v>#N/A</v>
      </c>
      <c r="T4" s="245" t="s">
        <v>398</v>
      </c>
      <c r="U4" s="236"/>
      <c r="V4" s="2172"/>
      <c r="W4" s="2173"/>
      <c r="X4" s="2173"/>
      <c r="Y4" s="2173"/>
      <c r="Z4" s="2173"/>
      <c r="AA4" s="2173"/>
      <c r="AB4" s="2173"/>
      <c r="AC4" s="2174"/>
      <c r="AD4" s="2172" t="e">
        <f>INDEX(PT_DIFFERENTIATION_CS,MATCH(C4,PT_DIFFERENTIATION_CS_ID,0))</f>
        <v>#N/A</v>
      </c>
      <c r="AE4" s="2173"/>
      <c r="AF4" s="2173"/>
      <c r="AG4" s="2173"/>
      <c r="AH4" s="2173"/>
      <c r="AI4" s="2173"/>
      <c r="AJ4" s="2173"/>
      <c r="AK4" s="2173"/>
      <c r="AL4" s="2174"/>
      <c r="AM4" s="1183" t="s">
        <v>399</v>
      </c>
      <c r="AO4" s="1549"/>
      <c r="AP4" s="1549" t="str">
        <f t="shared" si="0"/>
        <v xml:space="preserve">Наименование системы теплоснабжения </v>
      </c>
      <c r="AQ4" s="1549"/>
      <c r="AR4" s="1549"/>
      <c r="AS4" s="1556">
        <v>0</v>
      </c>
    </row>
    <row r="5" spans="1:45" ht="21" hidden="1" customHeight="1">
      <c r="A5" s="1192"/>
      <c r="B5" s="1192"/>
      <c r="C5" s="1192"/>
      <c r="D5" s="1192"/>
      <c r="E5" s="2211"/>
      <c r="F5" s="2211"/>
      <c r="G5" s="2211"/>
      <c r="H5" s="2210">
        <v>1</v>
      </c>
      <c r="I5" s="1192"/>
      <c r="J5" s="1192"/>
      <c r="K5" s="1192"/>
      <c r="L5" s="1235"/>
      <c r="M5" s="1535"/>
      <c r="N5" s="1535"/>
      <c r="O5" s="1535"/>
      <c r="P5" s="289"/>
      <c r="Q5" s="287"/>
      <c r="R5" s="288"/>
      <c r="S5" s="1879" t="e">
        <f>INDEX(PT_DIFFERENTIATION_NUM_IST_TE,MATCH(D5,PT_DIFFERENTIATION_IST_TE_ID,0))</f>
        <v>#N/A</v>
      </c>
      <c r="T5" s="246" t="s">
        <v>400</v>
      </c>
      <c r="U5" s="236"/>
      <c r="V5" s="2172"/>
      <c r="W5" s="2173"/>
      <c r="X5" s="2173"/>
      <c r="Y5" s="2173"/>
      <c r="Z5" s="2173"/>
      <c r="AA5" s="2173"/>
      <c r="AB5" s="2173"/>
      <c r="AC5" s="2174"/>
      <c r="AD5" s="2172" t="e">
        <f>INDEX(PT_DIFFERENTIATION_IST_TE,MATCH(D5,PT_DIFFERENTIATION_IST_TE_ID,0))</f>
        <v>#N/A</v>
      </c>
      <c r="AE5" s="2173"/>
      <c r="AF5" s="2173"/>
      <c r="AG5" s="2173"/>
      <c r="AH5" s="2173"/>
      <c r="AI5" s="2173"/>
      <c r="AJ5" s="2173"/>
      <c r="AK5" s="2173"/>
      <c r="AL5" s="2174"/>
      <c r="AM5" s="1183" t="s">
        <v>401</v>
      </c>
      <c r="AO5" s="1549"/>
      <c r="AP5" s="1549" t="str">
        <f t="shared" si="0"/>
        <v xml:space="preserve">Источник тепловой энергии  </v>
      </c>
      <c r="AQ5" s="1549"/>
      <c r="AR5" s="1549"/>
      <c r="AS5" s="1556">
        <v>0</v>
      </c>
    </row>
    <row r="6" spans="1:45" ht="47.25" hidden="1" customHeight="1">
      <c r="A6" s="1192"/>
      <c r="B6" s="1192"/>
      <c r="C6" s="1192"/>
      <c r="D6" s="1192"/>
      <c r="E6" s="2211"/>
      <c r="F6" s="2211"/>
      <c r="G6" s="2211"/>
      <c r="H6" s="2211"/>
      <c r="I6" s="2066" t="e">
        <f>S5&amp;".1"</f>
        <v>#N/A</v>
      </c>
      <c r="J6" s="1192"/>
      <c r="K6" s="1192"/>
      <c r="L6" s="1235" t="s">
        <v>402</v>
      </c>
      <c r="M6" s="1560"/>
      <c r="P6" s="2185">
        <v>1</v>
      </c>
      <c r="Q6" s="1875"/>
      <c r="R6" s="291"/>
      <c r="S6" s="1879" t="e">
        <f>$I6</f>
        <v>#N/A</v>
      </c>
      <c r="T6" s="221" t="s">
        <v>403</v>
      </c>
      <c r="U6" s="236"/>
      <c r="V6" s="2175"/>
      <c r="W6" s="2176"/>
      <c r="X6" s="2176"/>
      <c r="Y6" s="2176"/>
      <c r="Z6" s="2176"/>
      <c r="AA6" s="2176"/>
      <c r="AB6" s="2176"/>
      <c r="AC6" s="2177"/>
      <c r="AD6" s="2175"/>
      <c r="AE6" s="2176"/>
      <c r="AF6" s="2176"/>
      <c r="AG6" s="2176"/>
      <c r="AH6" s="2176"/>
      <c r="AI6" s="2176"/>
      <c r="AJ6" s="2176"/>
      <c r="AK6" s="2176"/>
      <c r="AL6" s="2177"/>
      <c r="AM6" s="1183" t="s">
        <v>404</v>
      </c>
      <c r="AO6" s="1549"/>
      <c r="AP6" s="1549" t="str">
        <f t="shared" si="0"/>
        <v>Схема подключения теплопотребляющей установки к коллектору источника тепловой энергии</v>
      </c>
      <c r="AQ6" s="1549"/>
      <c r="AR6" s="1549"/>
      <c r="AS6" s="1556">
        <v>0</v>
      </c>
    </row>
    <row r="7" spans="1:45" ht="21" hidden="1" customHeight="1">
      <c r="A7" s="1192"/>
      <c r="B7" s="1192"/>
      <c r="C7" s="1192"/>
      <c r="D7" s="1192"/>
      <c r="E7" s="2211"/>
      <c r="F7" s="2211"/>
      <c r="G7" s="2211"/>
      <c r="H7" s="2211"/>
      <c r="I7" s="2038"/>
      <c r="J7" s="2066" t="e">
        <f>I6&amp;".1"</f>
        <v>#N/A</v>
      </c>
      <c r="K7" s="1192"/>
      <c r="L7" s="1235" t="s">
        <v>405</v>
      </c>
      <c r="M7" s="1560"/>
      <c r="N7" s="1556"/>
      <c r="P7" s="2185"/>
      <c r="Q7" s="2185">
        <v>1</v>
      </c>
      <c r="R7" s="292"/>
      <c r="S7" s="1879" t="e">
        <f>$J7</f>
        <v>#N/A</v>
      </c>
      <c r="T7" s="222" t="s">
        <v>406</v>
      </c>
      <c r="U7" s="236"/>
      <c r="V7" s="2175"/>
      <c r="W7" s="2176"/>
      <c r="X7" s="2176"/>
      <c r="Y7" s="2176"/>
      <c r="Z7" s="2176"/>
      <c r="AA7" s="2176"/>
      <c r="AB7" s="2176"/>
      <c r="AC7" s="2177"/>
      <c r="AD7" s="2175"/>
      <c r="AE7" s="2176"/>
      <c r="AF7" s="2176"/>
      <c r="AG7" s="2176"/>
      <c r="AH7" s="2176"/>
      <c r="AI7" s="2176"/>
      <c r="AJ7" s="2176"/>
      <c r="AK7" s="2176"/>
      <c r="AL7" s="2177"/>
      <c r="AM7" s="1183" t="s">
        <v>407</v>
      </c>
      <c r="AO7" s="1549"/>
      <c r="AP7" s="1549" t="str">
        <f t="shared" si="0"/>
        <v>Группа потребителей</v>
      </c>
      <c r="AQ7" s="1549"/>
      <c r="AR7" s="1549"/>
      <c r="AS7" s="1556">
        <v>0</v>
      </c>
    </row>
    <row r="8" spans="1:45" ht="21" hidden="1" customHeight="1">
      <c r="A8" s="1192"/>
      <c r="B8" s="1192"/>
      <c r="C8" s="1192"/>
      <c r="D8" s="1192"/>
      <c r="E8" s="2211"/>
      <c r="F8" s="2211"/>
      <c r="G8" s="2211"/>
      <c r="H8" s="2211"/>
      <c r="I8" s="2038"/>
      <c r="J8" s="2038"/>
      <c r="K8" s="2066" t="e">
        <f>J7&amp;".1"</f>
        <v>#N/A</v>
      </c>
      <c r="L8" s="1235" t="s">
        <v>408</v>
      </c>
      <c r="M8" s="1560"/>
      <c r="N8" s="1556"/>
      <c r="O8" s="1556"/>
      <c r="P8" s="2185"/>
      <c r="Q8" s="2185"/>
      <c r="R8" s="292">
        <v>1</v>
      </c>
      <c r="S8" s="1879" t="e">
        <f>$K8</f>
        <v>#N/A</v>
      </c>
      <c r="T8" s="1272"/>
      <c r="U8" s="236"/>
      <c r="V8" s="686"/>
      <c r="W8" s="261"/>
      <c r="X8" s="686"/>
      <c r="Y8" s="1182"/>
      <c r="Z8" s="2189"/>
      <c r="AA8" s="2047" t="s">
        <v>66</v>
      </c>
      <c r="AB8" s="2189"/>
      <c r="AC8" s="2047" t="s">
        <v>66</v>
      </c>
      <c r="AD8" s="686"/>
      <c r="AE8" s="261"/>
      <c r="AF8" s="686"/>
      <c r="AG8" s="1182"/>
      <c r="AH8" s="2189"/>
      <c r="AI8" s="2047" t="s">
        <v>66</v>
      </c>
      <c r="AJ8" s="2189"/>
      <c r="AK8" s="2047" t="s">
        <v>66</v>
      </c>
      <c r="AL8" s="261"/>
      <c r="AM8" s="2181" t="s">
        <v>409</v>
      </c>
      <c r="AN8" s="1561" t="e">
        <f ca="1">STRCHECKDATE(V9:AL9)</f>
        <v>#NAME?</v>
      </c>
      <c r="AO8" s="1549"/>
      <c r="AP8" s="1549" t="str">
        <f t="shared" si="0"/>
        <v/>
      </c>
      <c r="AQ8" s="1549"/>
      <c r="AR8" s="1549"/>
      <c r="AS8" s="1556">
        <v>0</v>
      </c>
    </row>
    <row r="9" spans="1:45" ht="0.75" hidden="1" customHeight="1">
      <c r="A9" s="1192"/>
      <c r="B9" s="1192"/>
      <c r="C9" s="1192"/>
      <c r="D9" s="1192"/>
      <c r="E9" s="2211"/>
      <c r="F9" s="2211"/>
      <c r="G9" s="2211"/>
      <c r="H9" s="2211"/>
      <c r="I9" s="2038"/>
      <c r="J9" s="2038"/>
      <c r="K9" s="2066"/>
      <c r="L9" s="1235"/>
      <c r="M9" s="1560"/>
      <c r="N9" s="1556"/>
      <c r="O9" s="1556"/>
      <c r="P9" s="2185"/>
      <c r="Q9" s="2185"/>
      <c r="R9" s="292"/>
      <c r="S9" s="1888"/>
      <c r="T9" s="236"/>
      <c r="U9" s="236"/>
      <c r="V9" s="261"/>
      <c r="W9" s="261"/>
      <c r="X9" s="261"/>
      <c r="Y9" s="264" t="str">
        <f>Z8&amp;"-"&amp;AB8</f>
        <v>-</v>
      </c>
      <c r="Z9" s="2190"/>
      <c r="AA9" s="2047"/>
      <c r="AB9" s="2190"/>
      <c r="AC9" s="2047"/>
      <c r="AD9" s="261"/>
      <c r="AE9" s="261"/>
      <c r="AF9" s="261"/>
      <c r="AG9" s="264" t="str">
        <f>AH8&amp;"-"&amp;AJ8</f>
        <v>-</v>
      </c>
      <c r="AH9" s="2190"/>
      <c r="AI9" s="2047"/>
      <c r="AJ9" s="2190"/>
      <c r="AK9" s="2047"/>
      <c r="AL9" s="261"/>
      <c r="AM9" s="2182"/>
      <c r="AO9" s="1549"/>
      <c r="AP9" s="1549" t="str">
        <f t="shared" si="0"/>
        <v/>
      </c>
      <c r="AQ9" s="1549"/>
      <c r="AR9" s="1549"/>
      <c r="AS9" s="1556">
        <v>0</v>
      </c>
    </row>
    <row r="10" spans="1:45" ht="15" hidden="1" customHeight="1">
      <c r="A10" s="1192"/>
      <c r="B10" s="1192"/>
      <c r="C10" s="1192"/>
      <c r="D10" s="1192"/>
      <c r="E10" s="2211"/>
      <c r="F10" s="2211"/>
      <c r="G10" s="2211"/>
      <c r="H10" s="2211"/>
      <c r="I10" s="2038"/>
      <c r="J10" s="2066"/>
      <c r="K10" s="1192"/>
      <c r="L10" s="1235"/>
      <c r="M10" s="1560"/>
      <c r="N10" s="1556"/>
      <c r="P10" s="2185"/>
      <c r="Q10" s="2185"/>
      <c r="R10" s="291"/>
      <c r="S10" s="1203"/>
      <c r="T10" s="224" t="s">
        <v>410</v>
      </c>
      <c r="U10" s="535"/>
      <c r="V10" s="535"/>
      <c r="W10" s="535"/>
      <c r="X10" s="535"/>
      <c r="Y10" s="535"/>
      <c r="Z10" s="535"/>
      <c r="AA10" s="535"/>
      <c r="AB10" s="535"/>
      <c r="AC10" s="535"/>
      <c r="AD10" s="535"/>
      <c r="AE10" s="535"/>
      <c r="AF10" s="535"/>
      <c r="AG10" s="535"/>
      <c r="AH10" s="535"/>
      <c r="AI10" s="535"/>
      <c r="AJ10" s="535"/>
      <c r="AK10" s="535"/>
      <c r="AL10" s="260"/>
      <c r="AM10" s="2183"/>
      <c r="AO10" s="1549"/>
      <c r="AP10" s="1549" t="str">
        <f t="shared" si="0"/>
        <v>Добавить вид теплоносителя (параметры теплоносителя)</v>
      </c>
      <c r="AQ10" s="1549"/>
      <c r="AR10" s="1549"/>
      <c r="AS10" s="1556">
        <v>0</v>
      </c>
    </row>
    <row r="11" spans="1:45" ht="15" hidden="1" customHeight="1">
      <c r="A11" s="1192"/>
      <c r="B11" s="1192"/>
      <c r="C11" s="1192"/>
      <c r="D11" s="1192"/>
      <c r="E11" s="2211"/>
      <c r="F11" s="2211"/>
      <c r="G11" s="2211"/>
      <c r="H11" s="2211"/>
      <c r="I11" s="2066"/>
      <c r="J11" s="1192"/>
      <c r="K11" s="1192"/>
      <c r="L11" s="1235"/>
      <c r="M11" s="1560"/>
      <c r="P11" s="2185"/>
      <c r="Q11" s="1875"/>
      <c r="R11" s="291"/>
      <c r="S11" s="1203"/>
      <c r="T11" s="223" t="s">
        <v>411</v>
      </c>
      <c r="U11" s="535"/>
      <c r="V11" s="535"/>
      <c r="W11" s="535"/>
      <c r="X11" s="535"/>
      <c r="Y11" s="535"/>
      <c r="Z11" s="535"/>
      <c r="AA11" s="535"/>
      <c r="AB11" s="535"/>
      <c r="AC11" s="301"/>
      <c r="AD11" s="535"/>
      <c r="AE11" s="535"/>
      <c r="AF11" s="535"/>
      <c r="AG11" s="535"/>
      <c r="AH11" s="535"/>
      <c r="AI11" s="535"/>
      <c r="AJ11" s="535"/>
      <c r="AK11" s="301"/>
      <c r="AL11" s="535"/>
      <c r="AM11" s="239"/>
      <c r="AO11" s="1549"/>
      <c r="AP11" s="1549" t="str">
        <f t="shared" si="0"/>
        <v>Добавить группу потребителей</v>
      </c>
      <c r="AQ11" s="1549"/>
      <c r="AR11" s="1549"/>
      <c r="AS11" s="1556">
        <v>0</v>
      </c>
    </row>
    <row r="12" spans="1:45" ht="14.25" hidden="1" customHeight="1">
      <c r="A12" s="1192"/>
      <c r="B12" s="1192"/>
      <c r="C12" s="1192"/>
      <c r="D12" s="1192"/>
      <c r="E12" s="2211"/>
      <c r="F12" s="2211"/>
      <c r="G12" s="2211"/>
      <c r="H12" s="2210"/>
      <c r="I12" s="1192"/>
      <c r="J12" s="1192"/>
      <c r="K12" s="1192"/>
      <c r="L12" s="1235"/>
      <c r="M12" s="1535"/>
      <c r="N12" s="1535"/>
      <c r="O12" s="1560"/>
      <c r="P12" s="295"/>
      <c r="Q12" s="310"/>
      <c r="R12" s="290"/>
      <c r="S12" s="1203"/>
      <c r="T12" s="300" t="s">
        <v>412</v>
      </c>
      <c r="U12" s="535"/>
      <c r="V12" s="535"/>
      <c r="W12" s="535"/>
      <c r="X12" s="535"/>
      <c r="Y12" s="535"/>
      <c r="Z12" s="535"/>
      <c r="AA12" s="535"/>
      <c r="AB12" s="535"/>
      <c r="AC12" s="301"/>
      <c r="AD12" s="535"/>
      <c r="AE12" s="535"/>
      <c r="AF12" s="535"/>
      <c r="AG12" s="535"/>
      <c r="AH12" s="535"/>
      <c r="AI12" s="535"/>
      <c r="AJ12" s="535"/>
      <c r="AK12" s="301"/>
      <c r="AL12" s="535"/>
      <c r="AM12" s="239"/>
      <c r="AO12" s="1549"/>
      <c r="AP12" s="1549" t="str">
        <f t="shared" si="0"/>
        <v>Добавить схему подключения</v>
      </c>
      <c r="AQ12" s="1549"/>
      <c r="AR12" s="1549"/>
      <c r="AS12" s="1556">
        <v>0</v>
      </c>
    </row>
    <row r="13" spans="1:45" s="1567" customFormat="1" ht="0.75" hidden="1" customHeight="1">
      <c r="A13" s="1299"/>
      <c r="B13" s="1299"/>
      <c r="C13" s="1299"/>
      <c r="D13" s="1299"/>
      <c r="E13" s="2211"/>
      <c r="F13" s="2211"/>
      <c r="G13" s="2210"/>
      <c r="H13" s="1299"/>
      <c r="I13" s="1299"/>
      <c r="J13" s="1299"/>
      <c r="K13" s="1299"/>
      <c r="L13" s="1302"/>
      <c r="M13" s="1303"/>
      <c r="N13" s="1303"/>
      <c r="O13" s="286"/>
      <c r="P13" s="1241"/>
      <c r="Q13" s="1242"/>
      <c r="R13" s="1241"/>
      <c r="S13" s="1243"/>
      <c r="T13" s="1244" t="s">
        <v>413</v>
      </c>
      <c r="U13" s="1245"/>
      <c r="V13" s="1245"/>
      <c r="W13" s="1245"/>
      <c r="X13" s="1245"/>
      <c r="Y13" s="1245"/>
      <c r="Z13" s="1245"/>
      <c r="AA13" s="1245"/>
      <c r="AB13" s="1245"/>
      <c r="AC13" s="1245"/>
      <c r="AD13" s="1245"/>
      <c r="AE13" s="1245"/>
      <c r="AF13" s="1245"/>
      <c r="AG13" s="1245"/>
      <c r="AH13" s="1245"/>
      <c r="AI13" s="1245"/>
      <c r="AJ13" s="1245"/>
      <c r="AK13" s="1245"/>
      <c r="AL13" s="1245"/>
      <c r="AM13" s="1245"/>
      <c r="AO13" s="1176"/>
      <c r="AP13" s="1176" t="str">
        <f t="shared" si="0"/>
        <v>Добавить источник для дифференциации</v>
      </c>
      <c r="AQ13" s="1176"/>
      <c r="AR13" s="1176"/>
      <c r="AS13" s="1567">
        <v>0</v>
      </c>
    </row>
    <row r="14" spans="1:45" s="1567" customFormat="1" ht="0.75" hidden="1" customHeight="1">
      <c r="A14" s="1299"/>
      <c r="B14" s="1299"/>
      <c r="C14" s="1299"/>
      <c r="D14" s="1299"/>
      <c r="E14" s="2211"/>
      <c r="F14" s="2210"/>
      <c r="G14" s="1299"/>
      <c r="H14" s="1299"/>
      <c r="I14" s="1299"/>
      <c r="J14" s="1299"/>
      <c r="K14" s="1299"/>
      <c r="L14" s="1302"/>
      <c r="M14" s="1304"/>
      <c r="N14" s="1304"/>
      <c r="O14" s="286"/>
      <c r="P14" s="1241"/>
      <c r="Q14" s="1242"/>
      <c r="R14" s="1241"/>
      <c r="S14" s="1247"/>
      <c r="T14" s="1248" t="s">
        <v>414</v>
      </c>
      <c r="U14" s="1249"/>
      <c r="V14" s="1249"/>
      <c r="W14" s="1249"/>
      <c r="X14" s="1249"/>
      <c r="Y14" s="1249"/>
      <c r="Z14" s="1249"/>
      <c r="AA14" s="1249"/>
      <c r="AB14" s="1249"/>
      <c r="AC14" s="1249"/>
      <c r="AD14" s="1249"/>
      <c r="AE14" s="1249"/>
      <c r="AF14" s="1249"/>
      <c r="AG14" s="1249"/>
      <c r="AH14" s="1249"/>
      <c r="AI14" s="1249"/>
      <c r="AJ14" s="1249"/>
      <c r="AK14" s="1249"/>
      <c r="AL14" s="1249"/>
      <c r="AM14" s="1249"/>
      <c r="AO14" s="1176"/>
      <c r="AP14" s="1176" t="str">
        <f t="shared" si="0"/>
        <v>Добавить централизованную систему для дифференциации</v>
      </c>
      <c r="AQ14" s="1176"/>
      <c r="AR14" s="1176"/>
      <c r="AS14" s="1567">
        <v>0</v>
      </c>
    </row>
    <row r="15" spans="1:45" s="1567" customFormat="1" ht="0.75" hidden="1" customHeight="1">
      <c r="A15" s="1299"/>
      <c r="B15" s="1299"/>
      <c r="C15" s="1299"/>
      <c r="D15" s="1299"/>
      <c r="E15" s="2210"/>
      <c r="F15" s="1299"/>
      <c r="G15" s="1299"/>
      <c r="H15" s="1299"/>
      <c r="I15" s="1299"/>
      <c r="J15" s="1299"/>
      <c r="K15" s="1299"/>
      <c r="L15" s="1302"/>
      <c r="M15" s="1304"/>
      <c r="N15" s="1304"/>
      <c r="O15" s="286"/>
      <c r="P15" s="1241"/>
      <c r="Q15" s="1242"/>
      <c r="R15" s="1241"/>
      <c r="S15" s="1247"/>
      <c r="T15" s="1250" t="s">
        <v>415</v>
      </c>
      <c r="U15" s="1249"/>
      <c r="V15" s="1249"/>
      <c r="W15" s="1249"/>
      <c r="X15" s="1249"/>
      <c r="Y15" s="1249"/>
      <c r="Z15" s="1249"/>
      <c r="AA15" s="1249"/>
      <c r="AB15" s="1249"/>
      <c r="AC15" s="1249"/>
      <c r="AD15" s="1249"/>
      <c r="AE15" s="1249"/>
      <c r="AF15" s="1249"/>
      <c r="AG15" s="1249"/>
      <c r="AH15" s="1249"/>
      <c r="AI15" s="1249"/>
      <c r="AJ15" s="1249"/>
      <c r="AK15" s="1249"/>
      <c r="AL15" s="1249"/>
      <c r="AM15" s="1249"/>
      <c r="AO15" s="1176"/>
      <c r="AP15" s="1176" t="str">
        <f t="shared" si="0"/>
        <v>Добавить территорию для дифференциации</v>
      </c>
      <c r="AQ15" s="1176"/>
      <c r="AR15" s="1176"/>
      <c r="AS15" s="1567">
        <v>0</v>
      </c>
    </row>
    <row r="16" spans="1:45" ht="14.25" hidden="1" customHeight="1">
      <c r="AS16" s="1556">
        <v>0</v>
      </c>
    </row>
    <row r="17" spans="1:45" ht="14.25" hidden="1" customHeight="1">
      <c r="AD17" s="1285"/>
      <c r="AE17" s="1285"/>
      <c r="AF17" s="1285"/>
      <c r="AG17" s="1286"/>
      <c r="AH17" s="2191"/>
      <c r="AI17" s="2192" t="s">
        <v>66</v>
      </c>
      <c r="AJ17" s="2191"/>
      <c r="AK17" s="2192" t="s">
        <v>66</v>
      </c>
      <c r="AS17" s="1556">
        <v>0</v>
      </c>
    </row>
    <row r="18" spans="1:45" ht="14.25" hidden="1" customHeight="1">
      <c r="AD18" s="1285"/>
      <c r="AE18" s="1285"/>
      <c r="AF18" s="1285"/>
      <c r="AG18" s="264" t="str">
        <f>AH17&amp;"-"&amp;AJ17</f>
        <v>-</v>
      </c>
      <c r="AH18" s="2192"/>
      <c r="AI18" s="2192"/>
      <c r="AJ18" s="2192"/>
      <c r="AK18" s="2192"/>
      <c r="AS18" s="1556">
        <v>0</v>
      </c>
    </row>
    <row r="19" spans="1:45" ht="14.25" hidden="1" customHeight="1">
      <c r="AS19" s="1556">
        <v>0</v>
      </c>
    </row>
    <row r="20" spans="1:45" s="1291" customFormat="1" ht="14.25" hidden="1" customHeight="1">
      <c r="A20" s="1556"/>
      <c r="B20" s="1556"/>
      <c r="C20" s="1556"/>
      <c r="D20" s="1556"/>
      <c r="E20" s="1556"/>
      <c r="F20" s="1556"/>
      <c r="G20" s="1556"/>
      <c r="H20" s="1556"/>
      <c r="I20" s="1556"/>
      <c r="J20" s="1556"/>
      <c r="K20" s="1556"/>
      <c r="L20" s="1860"/>
      <c r="M20" s="1886"/>
      <c r="N20" s="1886"/>
      <c r="O20" s="1270" t="s">
        <v>416</v>
      </c>
      <c r="P20" s="1287"/>
      <c r="Q20" s="1296"/>
      <c r="R20" s="1296"/>
      <c r="S20" s="664"/>
      <c r="Z20" s="1292"/>
      <c r="AB20" s="1292"/>
      <c r="AH20" s="1292"/>
      <c r="AJ20" s="1292"/>
      <c r="AN20" s="1561"/>
      <c r="AO20" s="1561"/>
      <c r="AP20" s="1561"/>
      <c r="AQ20" s="1561"/>
      <c r="AR20" s="1561"/>
      <c r="AS20" s="1291">
        <v>0</v>
      </c>
    </row>
    <row r="21" spans="1:45" s="1291" customFormat="1" ht="14.25" hidden="1" customHeight="1">
      <c r="A21" s="1556"/>
      <c r="B21" s="1556"/>
      <c r="C21" s="1556"/>
      <c r="D21" s="1556"/>
      <c r="E21" s="1556"/>
      <c r="F21" s="1556"/>
      <c r="G21" s="1556"/>
      <c r="H21" s="1556"/>
      <c r="I21" s="1556"/>
      <c r="J21" s="1556"/>
      <c r="K21" s="1556"/>
      <c r="L21" s="1860"/>
      <c r="M21" s="1886"/>
      <c r="N21" s="1886"/>
      <c r="O21" s="1886"/>
      <c r="P21" s="1287"/>
      <c r="Q21" s="1296"/>
      <c r="R21" s="1296"/>
      <c r="S21" s="664"/>
      <c r="AN21" s="1561"/>
      <c r="AO21" s="1561"/>
      <c r="AP21" s="1561"/>
      <c r="AQ21" s="1561"/>
      <c r="AR21" s="1561"/>
      <c r="AS21" s="1291">
        <v>0</v>
      </c>
    </row>
    <row r="22" spans="1:45" s="1291" customFormat="1" ht="14.25" hidden="1" customHeight="1">
      <c r="A22" s="1556"/>
      <c r="B22" s="1556"/>
      <c r="C22" s="1556"/>
      <c r="D22" s="1556"/>
      <c r="E22" s="1556"/>
      <c r="F22" s="1556"/>
      <c r="G22" s="1556"/>
      <c r="H22" s="1556"/>
      <c r="I22" s="1556"/>
      <c r="J22" s="1556"/>
      <c r="K22" s="1556"/>
      <c r="L22" s="1860"/>
      <c r="M22" s="1886"/>
      <c r="N22" s="1886"/>
      <c r="O22" s="1235" t="s">
        <v>417</v>
      </c>
      <c r="P22" s="1287"/>
      <c r="Q22" s="1296"/>
      <c r="R22" s="1296"/>
      <c r="S22" s="664"/>
      <c r="T22" s="1291" t="s">
        <v>418</v>
      </c>
      <c r="AA22" s="530" t="s">
        <v>419</v>
      </c>
      <c r="AC22" s="530" t="s">
        <v>420</v>
      </c>
      <c r="AD22" s="1291" t="s">
        <v>418</v>
      </c>
      <c r="AI22" s="530" t="s">
        <v>421</v>
      </c>
      <c r="AK22" s="530" t="s">
        <v>420</v>
      </c>
      <c r="AN22" s="1561"/>
      <c r="AO22" s="1561"/>
      <c r="AP22" s="1561"/>
      <c r="AQ22" s="1561"/>
      <c r="AR22" s="1561"/>
      <c r="AS22" s="1291">
        <v>0</v>
      </c>
    </row>
    <row r="23" spans="1:45" ht="14.25" hidden="1" customHeight="1">
      <c r="O23" s="1235"/>
      <c r="AS23" s="1556">
        <v>0</v>
      </c>
    </row>
    <row r="24" spans="1:45" ht="14.25" hidden="1" customHeight="1">
      <c r="O24" s="1235"/>
      <c r="AS24" s="1556">
        <v>0</v>
      </c>
    </row>
    <row r="25" spans="1:45" ht="14.65" customHeight="1">
      <c r="Q25" s="311"/>
      <c r="R25" s="311"/>
      <c r="S25" s="1200"/>
      <c r="T25" s="392"/>
      <c r="U25" s="392"/>
      <c r="AS25" s="1556">
        <v>14</v>
      </c>
    </row>
    <row r="26" spans="1:45" ht="14.65" customHeight="1">
      <c r="Q26" s="311"/>
      <c r="R26" s="311"/>
      <c r="S26" s="2170" t="str">
        <f>IF(TEMPLATE_GROUP="P",PT_P_FORM_HEAT_4_NAME_FORM,PT_R_FORM_HEAT_21_NAME_FORM)</f>
        <v>Форма 19. Информация о предложении регулируемой организации о расчетной величине тарифов в сфере теплоснабжения на очередной расчетный период регулирования</v>
      </c>
      <c r="T26" s="2170"/>
      <c r="U26" s="2170"/>
      <c r="V26" s="2170"/>
      <c r="W26" s="2170"/>
      <c r="X26" s="2170"/>
      <c r="Y26" s="2170"/>
      <c r="Z26" s="2170"/>
      <c r="AA26" s="2170"/>
      <c r="AB26" s="2170"/>
      <c r="AC26" s="2170"/>
      <c r="AD26" s="2170"/>
      <c r="AE26" s="2170"/>
      <c r="AF26" s="2170"/>
      <c r="AG26" s="2170"/>
      <c r="AH26" s="2170"/>
      <c r="AI26" s="2170"/>
      <c r="AJ26" s="2170"/>
      <c r="AK26" s="1168"/>
      <c r="AS26" s="1556">
        <v>14</v>
      </c>
    </row>
    <row r="27" spans="1:45" ht="14.65" customHeight="1">
      <c r="Q27" s="311"/>
      <c r="R27" s="311"/>
      <c r="S27" s="2115" t="str">
        <f>IF(org=0,"Не определено",org)</f>
        <v>ООО "ЗЕНИТ ЭНЕРГО"</v>
      </c>
      <c r="T27" s="2115"/>
      <c r="U27" s="2115"/>
      <c r="V27" s="2115"/>
      <c r="W27" s="2115"/>
      <c r="X27" s="2115"/>
      <c r="Y27" s="2115"/>
      <c r="Z27" s="2115"/>
      <c r="AA27" s="2115"/>
      <c r="AB27" s="2115"/>
      <c r="AC27" s="2115"/>
      <c r="AD27" s="2115"/>
      <c r="AE27" s="2115"/>
      <c r="AF27" s="2115"/>
      <c r="AG27" s="2115"/>
      <c r="AH27" s="2115"/>
      <c r="AI27" s="2115"/>
      <c r="AJ27" s="2115"/>
      <c r="AK27" s="1168"/>
      <c r="AS27" s="1556">
        <v>14</v>
      </c>
    </row>
    <row r="28" spans="1:45" ht="14.25" hidden="1" customHeight="1">
      <c r="Q28" s="311"/>
      <c r="R28" s="311"/>
      <c r="S28" s="1200"/>
      <c r="T28" s="392"/>
      <c r="U28" s="392"/>
      <c r="V28" s="258"/>
      <c r="W28" s="258"/>
      <c r="X28" s="258"/>
      <c r="Y28" s="258"/>
      <c r="Z28" s="258"/>
      <c r="AA28" s="258"/>
      <c r="AB28" s="258"/>
      <c r="AC28" s="258"/>
      <c r="AD28" s="258"/>
      <c r="AE28" s="258"/>
      <c r="AF28" s="258"/>
      <c r="AG28" s="258"/>
      <c r="AH28" s="258"/>
      <c r="AI28" s="258"/>
      <c r="AJ28" s="258"/>
      <c r="AK28" s="258"/>
      <c r="AS28" s="1556">
        <v>0</v>
      </c>
    </row>
    <row r="29" spans="1:45" s="1777" customFormat="1" ht="25.5" hidden="1" customHeight="1">
      <c r="A29" s="1173"/>
      <c r="B29" s="1173"/>
      <c r="C29" s="1173"/>
      <c r="D29" s="1173"/>
      <c r="E29" s="1173"/>
      <c r="F29" s="1173"/>
      <c r="G29" s="1173"/>
      <c r="H29" s="1173"/>
      <c r="I29" s="1173"/>
      <c r="J29" s="1173"/>
      <c r="K29" s="1173"/>
      <c r="L29" s="1305"/>
      <c r="M29" s="1173"/>
      <c r="N29" s="1173"/>
      <c r="O29" s="1173"/>
      <c r="S29" s="2178" t="s">
        <v>42</v>
      </c>
      <c r="T29" s="2178"/>
      <c r="U29" s="1297"/>
      <c r="V29" s="2179" t="str">
        <f>IF(TITLE_NAME_OR_PR_CHANGE="",IF(TITLE_NAME_OR_PR="","",TITLE_NAME_OR_PR),TITLE_NAME_OR_PR_CHANGE)</f>
        <v/>
      </c>
      <c r="W29" s="2179"/>
      <c r="X29" s="2179"/>
      <c r="Y29" s="2179"/>
      <c r="Z29" s="2179"/>
      <c r="AA29" s="2179"/>
      <c r="AB29" s="2179"/>
      <c r="AC29" s="1560"/>
      <c r="AD29" s="2179" t="str">
        <f>IF(TITLE_NAME_OR_PR_CHANGE="",IF(TITLE_NAME_OR_PR="","",TITLE_NAME_OR_PR),TITLE_NAME_OR_PR_CHANGE)</f>
        <v/>
      </c>
      <c r="AE29" s="2179"/>
      <c r="AF29" s="2179"/>
      <c r="AG29" s="2179"/>
      <c r="AH29" s="2179"/>
      <c r="AI29" s="2179"/>
      <c r="AJ29" s="2179"/>
      <c r="AK29" s="1560"/>
      <c r="AL29" s="1560"/>
      <c r="AM29" s="216"/>
      <c r="AN29" s="303"/>
      <c r="AO29" s="303"/>
      <c r="AP29" s="303"/>
      <c r="AQ29" s="303"/>
      <c r="AR29" s="303"/>
      <c r="AS29" s="353">
        <v>0</v>
      </c>
    </row>
    <row r="30" spans="1:45" s="1777" customFormat="1" ht="18.75" hidden="1" customHeight="1">
      <c r="A30" s="1173"/>
      <c r="B30" s="1173"/>
      <c r="C30" s="1173"/>
      <c r="D30" s="1173"/>
      <c r="E30" s="1173"/>
      <c r="F30" s="1173"/>
      <c r="G30" s="1173"/>
      <c r="H30" s="1173"/>
      <c r="I30" s="1173"/>
      <c r="J30" s="1173"/>
      <c r="K30" s="1173"/>
      <c r="L30" s="1305"/>
      <c r="M30" s="1173"/>
      <c r="N30" s="1173"/>
      <c r="O30" s="1173"/>
      <c r="S30" s="2178" t="s">
        <v>422</v>
      </c>
      <c r="T30" s="2178"/>
      <c r="U30" s="1297"/>
      <c r="V30" s="2188" t="str">
        <f>IF(TITLE_DATE_PR_CHANGE="",IF(TITLE_DATE_PR="","",TITLE_DATE_PR),TITLE_DATE_PR_CHANGE)</f>
        <v/>
      </c>
      <c r="W30" s="2188"/>
      <c r="X30" s="2188"/>
      <c r="Y30" s="2188"/>
      <c r="Z30" s="2188"/>
      <c r="AA30" s="2188"/>
      <c r="AB30" s="2188"/>
      <c r="AC30" s="1560"/>
      <c r="AD30" s="2188" t="str">
        <f>IF(TITLE_DATE_PR_CHANGE="",IF(TITLE_DATE_PR="","",TITLE_DATE_PR),TITLE_DATE_PR_CHANGE)</f>
        <v/>
      </c>
      <c r="AE30" s="2188"/>
      <c r="AF30" s="2188"/>
      <c r="AG30" s="2188"/>
      <c r="AH30" s="2188"/>
      <c r="AI30" s="2188"/>
      <c r="AJ30" s="2188"/>
      <c r="AK30" s="1560"/>
      <c r="AL30" s="1560"/>
      <c r="AM30" s="216"/>
      <c r="AN30" s="303"/>
      <c r="AO30" s="303"/>
      <c r="AP30" s="303"/>
      <c r="AQ30" s="303"/>
      <c r="AR30" s="303"/>
      <c r="AS30" s="353">
        <v>0</v>
      </c>
    </row>
    <row r="31" spans="1:45" s="1777" customFormat="1" ht="18.75" hidden="1" customHeight="1">
      <c r="A31" s="1173"/>
      <c r="B31" s="1173"/>
      <c r="C31" s="1173"/>
      <c r="D31" s="1173"/>
      <c r="E31" s="1173"/>
      <c r="F31" s="1173"/>
      <c r="G31" s="1173"/>
      <c r="H31" s="1173"/>
      <c r="I31" s="1173"/>
      <c r="J31" s="1173"/>
      <c r="K31" s="1173"/>
      <c r="L31" s="1305"/>
      <c r="M31" s="1173"/>
      <c r="N31" s="1173"/>
      <c r="O31" s="1173"/>
      <c r="S31" s="2178" t="s">
        <v>423</v>
      </c>
      <c r="T31" s="2178"/>
      <c r="U31" s="1297"/>
      <c r="V31" s="2179" t="str">
        <f>IF(TITLE_NUMBER_PR_CHANGE="",IF(TITLE_NUMBER_PR="","",TITLE_NUMBER_PR),TITLE_NUMBER_PR_CHANGE)</f>
        <v/>
      </c>
      <c r="W31" s="2179"/>
      <c r="X31" s="2179"/>
      <c r="Y31" s="2179"/>
      <c r="Z31" s="2179"/>
      <c r="AA31" s="2179"/>
      <c r="AB31" s="2179"/>
      <c r="AC31" s="1560"/>
      <c r="AD31" s="2179" t="str">
        <f>IF(TITLE_NUMBER_PR_CHANGE="",IF(TITLE_NUMBER_PR="","",TITLE_NUMBER_PR),TITLE_NUMBER_PR_CHANGE)</f>
        <v/>
      </c>
      <c r="AE31" s="2179"/>
      <c r="AF31" s="2179"/>
      <c r="AG31" s="2179"/>
      <c r="AH31" s="2179"/>
      <c r="AI31" s="2179"/>
      <c r="AJ31" s="2179"/>
      <c r="AK31" s="1560"/>
      <c r="AL31" s="1560"/>
      <c r="AM31" s="216"/>
      <c r="AN31" s="303"/>
      <c r="AO31" s="303"/>
      <c r="AP31" s="303"/>
      <c r="AQ31" s="303"/>
      <c r="AR31" s="303"/>
      <c r="AS31" s="353">
        <v>0</v>
      </c>
    </row>
    <row r="32" spans="1:45" s="1777" customFormat="1" ht="18.75" hidden="1" customHeight="1">
      <c r="A32" s="1173"/>
      <c r="B32" s="1173"/>
      <c r="C32" s="1173"/>
      <c r="D32" s="1173"/>
      <c r="E32" s="1173"/>
      <c r="F32" s="1173"/>
      <c r="G32" s="1173"/>
      <c r="H32" s="1173"/>
      <c r="I32" s="1173"/>
      <c r="J32" s="1173"/>
      <c r="K32" s="1173"/>
      <c r="L32" s="1305"/>
      <c r="M32" s="1173"/>
      <c r="N32" s="1173"/>
      <c r="O32" s="1173"/>
      <c r="S32" s="2178" t="s">
        <v>43</v>
      </c>
      <c r="T32" s="2178"/>
      <c r="U32" s="1297"/>
      <c r="V32" s="2179" t="str">
        <f>IF(TITLE_IST_PUB_CHANGE="",IF(TITLE_IST_PUB="","",TITLE_IST_PUB),TITLE_IST_PUB_CHANGE)</f>
        <v/>
      </c>
      <c r="W32" s="2179"/>
      <c r="X32" s="2179"/>
      <c r="Y32" s="2179"/>
      <c r="Z32" s="2179"/>
      <c r="AA32" s="2179"/>
      <c r="AB32" s="2179"/>
      <c r="AC32" s="1560"/>
      <c r="AD32" s="2179" t="str">
        <f>IF(TITLE_IST_PUB_CHANGE="",IF(TITLE_IST_PUB="","",TITLE_IST_PUB),TITLE_IST_PUB_CHANGE)</f>
        <v/>
      </c>
      <c r="AE32" s="2179"/>
      <c r="AF32" s="2179"/>
      <c r="AG32" s="2179"/>
      <c r="AH32" s="2179"/>
      <c r="AI32" s="2179"/>
      <c r="AJ32" s="2179"/>
      <c r="AK32" s="1560"/>
      <c r="AL32" s="1560"/>
      <c r="AM32" s="216"/>
      <c r="AN32" s="303"/>
      <c r="AO32" s="303"/>
      <c r="AP32" s="303"/>
      <c r="AQ32" s="303"/>
      <c r="AR32" s="303"/>
      <c r="AS32" s="353">
        <v>0</v>
      </c>
    </row>
    <row r="33" spans="1:45" ht="14.25" hidden="1" customHeight="1">
      <c r="Q33" s="311"/>
      <c r="R33" s="311"/>
      <c r="S33" s="1200"/>
      <c r="T33" s="392"/>
      <c r="U33" s="392"/>
      <c r="V33" s="258"/>
      <c r="W33" s="258"/>
      <c r="X33" s="258"/>
      <c r="Y33" s="258"/>
      <c r="Z33" s="258"/>
      <c r="AA33" s="258"/>
      <c r="AB33" s="258"/>
      <c r="AC33" s="258"/>
      <c r="AD33" s="258"/>
      <c r="AE33" s="258"/>
      <c r="AF33" s="258"/>
      <c r="AG33" s="258"/>
      <c r="AH33" s="258"/>
      <c r="AI33" s="258"/>
      <c r="AJ33" s="258"/>
      <c r="AK33" s="258"/>
      <c r="AS33" s="1556">
        <v>0</v>
      </c>
    </row>
    <row r="34" spans="1:45" s="1777" customFormat="1" ht="18.75" hidden="1" customHeight="1">
      <c r="A34" s="1173"/>
      <c r="B34" s="1173"/>
      <c r="C34" s="1173"/>
      <c r="D34" s="1173"/>
      <c r="E34" s="1173"/>
      <c r="F34" s="1173"/>
      <c r="G34" s="1173"/>
      <c r="H34" s="1173"/>
      <c r="I34" s="1173"/>
      <c r="J34" s="1173"/>
      <c r="K34" s="1173"/>
      <c r="L34" s="1305"/>
      <c r="M34" s="1173"/>
      <c r="N34" s="1173"/>
      <c r="O34" s="1173"/>
      <c r="S34" s="2178" t="s">
        <v>424</v>
      </c>
      <c r="T34" s="2178"/>
      <c r="U34" s="1297"/>
      <c r="V34" s="2188" t="str">
        <f>IF(TITLE_DATE_PR_CHANGE="",IF(TITLE_DATE_PR="","",TITLE_DATE_PR),TITLE_DATE_PR_CHANGE)</f>
        <v/>
      </c>
      <c r="W34" s="2188"/>
      <c r="X34" s="2188"/>
      <c r="Y34" s="2188"/>
      <c r="Z34" s="2188"/>
      <c r="AA34" s="2188"/>
      <c r="AB34" s="2188"/>
      <c r="AC34" s="1560"/>
      <c r="AD34" s="2188" t="str">
        <f>IF(TITLE_DATE_PR_CHANGE="",IF(TITLE_DATE_PR="","",TITLE_DATE_PR),TITLE_DATE_PR_CHANGE)</f>
        <v/>
      </c>
      <c r="AE34" s="2188"/>
      <c r="AF34" s="2188"/>
      <c r="AG34" s="2188"/>
      <c r="AH34" s="2188"/>
      <c r="AI34" s="2188"/>
      <c r="AJ34" s="2188"/>
      <c r="AK34" s="1560"/>
      <c r="AL34" s="1560"/>
      <c r="AM34" s="216"/>
      <c r="AN34" s="303"/>
      <c r="AO34" s="303"/>
      <c r="AP34" s="303"/>
      <c r="AQ34" s="303"/>
      <c r="AR34" s="303"/>
      <c r="AS34" s="353">
        <v>0</v>
      </c>
    </row>
    <row r="35" spans="1:45" s="1777" customFormat="1" ht="18.75" hidden="1" customHeight="1">
      <c r="A35" s="1173"/>
      <c r="B35" s="1173"/>
      <c r="C35" s="1173"/>
      <c r="D35" s="1173"/>
      <c r="E35" s="1173"/>
      <c r="F35" s="1173"/>
      <c r="G35" s="1173"/>
      <c r="H35" s="1173"/>
      <c r="I35" s="1173"/>
      <c r="J35" s="1173"/>
      <c r="K35" s="1173"/>
      <c r="L35" s="1305"/>
      <c r="M35" s="1173"/>
      <c r="N35" s="1173"/>
      <c r="O35" s="1173"/>
      <c r="S35" s="2178" t="s">
        <v>425</v>
      </c>
      <c r="T35" s="2178"/>
      <c r="U35" s="1297"/>
      <c r="V35" s="2179" t="str">
        <f>IF(TITLE_NUMBER_PR_CHANGE="",IF(TITLE_NUMBER_PR="","",TITLE_NUMBER_PR),TITLE_NUMBER_PR_CHANGE)</f>
        <v/>
      </c>
      <c r="W35" s="2179"/>
      <c r="X35" s="2179"/>
      <c r="Y35" s="2179"/>
      <c r="Z35" s="2179"/>
      <c r="AA35" s="2179"/>
      <c r="AB35" s="2179"/>
      <c r="AC35" s="1560"/>
      <c r="AD35" s="2179" t="str">
        <f>IF(TITLE_NUMBER_PR_CHANGE="",IF(TITLE_NUMBER_PR="","",TITLE_NUMBER_PR),TITLE_NUMBER_PR_CHANGE)</f>
        <v/>
      </c>
      <c r="AE35" s="2179"/>
      <c r="AF35" s="2179"/>
      <c r="AG35" s="2179"/>
      <c r="AH35" s="2179"/>
      <c r="AI35" s="2179"/>
      <c r="AJ35" s="2179"/>
      <c r="AK35" s="1560"/>
      <c r="AL35" s="1560"/>
      <c r="AM35" s="216"/>
      <c r="AN35" s="303"/>
      <c r="AO35" s="303"/>
      <c r="AP35" s="303"/>
      <c r="AQ35" s="303"/>
      <c r="AR35" s="303"/>
      <c r="AS35" s="353">
        <v>0</v>
      </c>
    </row>
    <row r="36" spans="1:45" s="1777" customFormat="1" ht="0" hidden="1" customHeight="1">
      <c r="A36" s="1173"/>
      <c r="B36" s="1173"/>
      <c r="C36" s="1173"/>
      <c r="D36" s="1173"/>
      <c r="E36" s="1173"/>
      <c r="F36" s="1173"/>
      <c r="G36" s="1173"/>
      <c r="H36" s="1173"/>
      <c r="I36" s="1173"/>
      <c r="J36" s="1173"/>
      <c r="K36" s="1173"/>
      <c r="L36" s="1305"/>
      <c r="M36" s="1173"/>
      <c r="N36" s="1173"/>
      <c r="O36" s="1173"/>
      <c r="S36" s="1560"/>
      <c r="T36" s="1560"/>
      <c r="U36" s="1891"/>
      <c r="V36" s="1560"/>
      <c r="W36" s="1560"/>
      <c r="X36" s="1560"/>
      <c r="Y36" s="1560"/>
      <c r="Z36" s="1560"/>
      <c r="AA36" s="1560"/>
      <c r="AB36" s="1560"/>
      <c r="AC36" s="1567" t="s">
        <v>426</v>
      </c>
      <c r="AD36" s="1560"/>
      <c r="AE36" s="1560"/>
      <c r="AF36" s="1560"/>
      <c r="AG36" s="1560"/>
      <c r="AH36" s="1560"/>
      <c r="AI36" s="1560"/>
      <c r="AJ36" s="1560"/>
      <c r="AK36" s="1567" t="s">
        <v>426</v>
      </c>
      <c r="AN36" s="303"/>
      <c r="AO36" s="303"/>
      <c r="AP36" s="303"/>
      <c r="AQ36" s="303"/>
      <c r="AR36" s="303"/>
      <c r="AS36" s="353">
        <v>0</v>
      </c>
    </row>
    <row r="37" spans="1:45" ht="14.65" customHeight="1">
      <c r="Q37" s="311"/>
      <c r="R37" s="311"/>
      <c r="S37" s="1200"/>
      <c r="T37" s="392"/>
      <c r="U37" s="1169"/>
      <c r="V37" s="2180"/>
      <c r="W37" s="2180"/>
      <c r="X37" s="2180"/>
      <c r="Y37" s="2180"/>
      <c r="Z37" s="2180"/>
      <c r="AA37" s="2180"/>
      <c r="AB37" s="2180"/>
      <c r="AC37" s="2180"/>
      <c r="AD37" s="2180"/>
      <c r="AE37" s="2180"/>
      <c r="AF37" s="2180"/>
      <c r="AG37" s="2180"/>
      <c r="AH37" s="2180"/>
      <c r="AI37" s="2180"/>
      <c r="AJ37" s="2180"/>
      <c r="AK37" s="2180"/>
      <c r="AS37" s="1556">
        <v>14</v>
      </c>
    </row>
    <row r="38" spans="1:45" ht="14.65" customHeight="1">
      <c r="Q38" s="311"/>
      <c r="R38" s="311"/>
      <c r="S38" s="2066" t="s">
        <v>299</v>
      </c>
      <c r="T38" s="2066"/>
      <c r="U38" s="2066"/>
      <c r="V38" s="2066"/>
      <c r="W38" s="2066"/>
      <c r="X38" s="2066"/>
      <c r="Y38" s="2066"/>
      <c r="Z38" s="2066"/>
      <c r="AA38" s="2066"/>
      <c r="AB38" s="2066"/>
      <c r="AC38" s="2066"/>
      <c r="AD38" s="2066"/>
      <c r="AE38" s="2066"/>
      <c r="AF38" s="2066"/>
      <c r="AG38" s="2066"/>
      <c r="AH38" s="2066"/>
      <c r="AI38" s="2066"/>
      <c r="AJ38" s="2066"/>
      <c r="AK38" s="2066"/>
      <c r="AL38" s="2066"/>
      <c r="AM38" s="2066" t="s">
        <v>300</v>
      </c>
      <c r="AS38" s="1556">
        <v>14</v>
      </c>
    </row>
    <row r="39" spans="1:45" ht="14.65" customHeight="1">
      <c r="Q39" s="311"/>
      <c r="R39" s="311"/>
      <c r="S39" s="2194" t="s">
        <v>88</v>
      </c>
      <c r="T39" s="2145" t="s">
        <v>427</v>
      </c>
      <c r="U39" s="273"/>
      <c r="V39" s="2195" t="s">
        <v>428</v>
      </c>
      <c r="W39" s="2196"/>
      <c r="X39" s="2196"/>
      <c r="Y39" s="2196"/>
      <c r="Z39" s="2196"/>
      <c r="AA39" s="2196"/>
      <c r="AB39" s="2197"/>
      <c r="AC39" s="2198" t="s">
        <v>429</v>
      </c>
      <c r="AD39" s="2195" t="s">
        <v>428</v>
      </c>
      <c r="AE39" s="2196"/>
      <c r="AF39" s="2196"/>
      <c r="AG39" s="2196"/>
      <c r="AH39" s="2196"/>
      <c r="AI39" s="2196"/>
      <c r="AJ39" s="2197"/>
      <c r="AK39" s="2198" t="s">
        <v>430</v>
      </c>
      <c r="AL39" s="2201" t="s">
        <v>431</v>
      </c>
      <c r="AM39" s="2066"/>
      <c r="AS39" s="1556">
        <v>14</v>
      </c>
    </row>
    <row r="40" spans="1:45" ht="35.65" customHeight="1">
      <c r="Q40" s="311"/>
      <c r="R40" s="311"/>
      <c r="S40" s="2194"/>
      <c r="T40" s="2145"/>
      <c r="U40" s="959"/>
      <c r="V40" s="2114" t="s">
        <v>432</v>
      </c>
      <c r="W40" s="2204" t="s">
        <v>433</v>
      </c>
      <c r="X40" s="2038" t="s">
        <v>434</v>
      </c>
      <c r="Y40" s="2037"/>
      <c r="Z40" s="2038" t="s">
        <v>448</v>
      </c>
      <c r="AA40" s="2043"/>
      <c r="AB40" s="2037"/>
      <c r="AC40" s="2199"/>
      <c r="AD40" s="2114" t="s">
        <v>432</v>
      </c>
      <c r="AE40" s="2204" t="s">
        <v>433</v>
      </c>
      <c r="AF40" s="2038" t="s">
        <v>434</v>
      </c>
      <c r="AG40" s="2037"/>
      <c r="AH40" s="2038" t="s">
        <v>435</v>
      </c>
      <c r="AI40" s="2043"/>
      <c r="AJ40" s="2037"/>
      <c r="AK40" s="2199"/>
      <c r="AL40" s="2202"/>
      <c r="AM40" s="2066"/>
      <c r="AS40" s="1556">
        <v>34</v>
      </c>
    </row>
    <row r="41" spans="1:45" ht="35.65" customHeight="1">
      <c r="A41" s="1191"/>
      <c r="B41" s="1191" t="s">
        <v>136</v>
      </c>
      <c r="C41" s="1191" t="s">
        <v>137</v>
      </c>
      <c r="D41" s="1191" t="s">
        <v>138</v>
      </c>
      <c r="E41" s="1235" t="s">
        <v>436</v>
      </c>
      <c r="F41" s="1235" t="s">
        <v>437</v>
      </c>
      <c r="G41" s="1235" t="s">
        <v>438</v>
      </c>
      <c r="H41" s="1235" t="s">
        <v>439</v>
      </c>
      <c r="I41" s="1235" t="s">
        <v>440</v>
      </c>
      <c r="J41" s="1235" t="s">
        <v>441</v>
      </c>
      <c r="K41" s="1235" t="s">
        <v>442</v>
      </c>
      <c r="L41" s="1235" t="s">
        <v>417</v>
      </c>
      <c r="Q41" s="311"/>
      <c r="R41" s="311"/>
      <c r="S41" s="2194"/>
      <c r="T41" s="2145"/>
      <c r="U41" s="238"/>
      <c r="V41" s="2165"/>
      <c r="W41" s="2205"/>
      <c r="X41" s="1859" t="s">
        <v>443</v>
      </c>
      <c r="Y41" s="1859" t="s">
        <v>444</v>
      </c>
      <c r="Z41" s="1859" t="s">
        <v>445</v>
      </c>
      <c r="AA41" s="2154" t="s">
        <v>446</v>
      </c>
      <c r="AB41" s="2156"/>
      <c r="AC41" s="2200"/>
      <c r="AD41" s="2165"/>
      <c r="AE41" s="2205"/>
      <c r="AF41" s="1859" t="s">
        <v>443</v>
      </c>
      <c r="AG41" s="1859" t="s">
        <v>444</v>
      </c>
      <c r="AH41" s="1859" t="s">
        <v>445</v>
      </c>
      <c r="AI41" s="2154" t="s">
        <v>446</v>
      </c>
      <c r="AJ41" s="2156"/>
      <c r="AK41" s="2200"/>
      <c r="AL41" s="2203"/>
      <c r="AM41" s="2066"/>
      <c r="AS41" s="1556">
        <v>34</v>
      </c>
    </row>
    <row r="42" spans="1:45" s="1566" customFormat="1" ht="11.25" hidden="1" customHeight="1">
      <c r="A42" s="1191"/>
      <c r="B42" s="1191"/>
      <c r="C42" s="1191"/>
      <c r="D42" s="1191"/>
      <c r="E42" s="1191"/>
      <c r="F42" s="1191"/>
      <c r="G42" s="1191"/>
      <c r="H42" s="1191"/>
      <c r="I42" s="1191"/>
      <c r="J42" s="1191"/>
      <c r="K42" s="1191"/>
      <c r="L42" s="1235"/>
      <c r="M42" s="1886"/>
      <c r="N42" s="1886"/>
      <c r="O42" s="1886"/>
      <c r="P42" s="1171"/>
      <c r="Q42" s="1172"/>
      <c r="R42" s="1179">
        <v>1</v>
      </c>
      <c r="S42" s="1202" t="s">
        <v>109</v>
      </c>
      <c r="T42" s="1180" t="s">
        <v>110</v>
      </c>
      <c r="U42" s="1170" t="str">
        <f ca="1">OFFSET(U42,0,-1)</f>
        <v>2</v>
      </c>
      <c r="V42" s="1877">
        <f ca="1">OFFSET(V42,0,-1)+1</f>
        <v>3</v>
      </c>
      <c r="W42" s="1877"/>
      <c r="X42" s="1877">
        <f ca="1">OFFSET(X42,0,-1)+1</f>
        <v>1</v>
      </c>
      <c r="Y42" s="1877">
        <f ca="1">OFFSET(Y42,0,-1)+1</f>
        <v>2</v>
      </c>
      <c r="Z42" s="1877">
        <f ca="1">OFFSET(Z42,0,-1)+1</f>
        <v>3</v>
      </c>
      <c r="AA42" s="2193">
        <f ca="1">OFFSET(AA42,0,-1)+1</f>
        <v>4</v>
      </c>
      <c r="AB42" s="2193"/>
      <c r="AC42" s="1877">
        <f ca="1">OFFSET(AC42,0,-2)+1</f>
        <v>5</v>
      </c>
      <c r="AD42" s="1877">
        <f ca="1">OFFSET(AD42,0,-1)+1</f>
        <v>6</v>
      </c>
      <c r="AE42" s="1877"/>
      <c r="AF42" s="1877">
        <f ca="1">OFFSET(AF42,0,-1)+1</f>
        <v>1</v>
      </c>
      <c r="AG42" s="1877">
        <f ca="1">OFFSET(AG42,0,-1)+1</f>
        <v>2</v>
      </c>
      <c r="AH42" s="1877">
        <f ca="1">OFFSET(AH42,0,-1)+1</f>
        <v>3</v>
      </c>
      <c r="AI42" s="2193">
        <f ca="1">OFFSET(AI42,0,-1)+1</f>
        <v>4</v>
      </c>
      <c r="AJ42" s="2193"/>
      <c r="AK42" s="1877">
        <f ca="1">OFFSET(AK42,0,-2)+1</f>
        <v>5</v>
      </c>
      <c r="AL42" s="1170">
        <f ca="1">OFFSET(AL42,0,-1)</f>
        <v>5</v>
      </c>
      <c r="AM42" s="1877">
        <f ca="1">OFFSET(AM42,0,-1)+1</f>
        <v>6</v>
      </c>
      <c r="AN42" s="1561"/>
      <c r="AO42" s="1561"/>
      <c r="AP42" s="1561"/>
      <c r="AQ42" s="1561"/>
      <c r="AR42" s="1561"/>
      <c r="AS42" s="1566">
        <v>0</v>
      </c>
    </row>
    <row r="43" spans="1:45" ht="21.95" customHeight="1">
      <c r="A43" s="1192" t="s">
        <v>211</v>
      </c>
      <c r="B43" s="1192"/>
      <c r="C43" s="1192"/>
      <c r="D43" s="1192"/>
      <c r="E43" s="2210">
        <v>1</v>
      </c>
      <c r="F43" s="1192"/>
      <c r="G43" s="1192"/>
      <c r="H43" s="1192"/>
      <c r="I43" s="1192"/>
      <c r="J43" s="1192"/>
      <c r="K43" s="1192"/>
      <c r="L43" s="1235"/>
      <c r="M43" s="1535"/>
      <c r="N43" s="1535"/>
      <c r="O43" s="1535"/>
      <c r="P43" s="1515"/>
      <c r="Q43" s="295"/>
      <c r="R43" s="290"/>
      <c r="S43" s="1879">
        <f>INDEX(PT_DIFFERENTIATION_NUM_NTAR,MATCH(A43,PT_DIFFERENTIATION_NTAR_ID,0))</f>
        <v>0</v>
      </c>
      <c r="T43" s="1450" t="s">
        <v>124</v>
      </c>
      <c r="U43" s="236"/>
      <c r="V43" s="2172"/>
      <c r="W43" s="2173"/>
      <c r="X43" s="2173"/>
      <c r="Y43" s="2173"/>
      <c r="Z43" s="2173"/>
      <c r="AA43" s="2173"/>
      <c r="AB43" s="2173"/>
      <c r="AC43" s="2174"/>
      <c r="AD43" s="2172" t="str">
        <f>INDEX(PT_DIFFERENTIATION_NTAR,MATCH(A43,PT_DIFFERENTIATION_NTAR_ID,0))</f>
        <v/>
      </c>
      <c r="AE43" s="2173"/>
      <c r="AF43" s="2173"/>
      <c r="AG43" s="2173"/>
      <c r="AH43" s="2173"/>
      <c r="AI43" s="2173"/>
      <c r="AJ43" s="2173"/>
      <c r="AK43" s="2173"/>
      <c r="AL43" s="2174"/>
      <c r="AM43" s="1183" t="str">
        <f>IF(TEMPLATE_GROUP="P","По данной форме раскрывается в том числе информация об индикативном предельном уровне цены на тепловую энергию (мощность), который определен в соответствии с Правилами определения в ценовых зонах теплоснабжения предельного уровня "&amp;"цены на тепловую энергию (мощность), включая правила индексации предельного уровня цены на тепловую энергию (мощность), "&amp;"утвержденными постановлением Правительства Российской Федерации от 15 декабря 2017 г. N 1562 (далее - Правила), о графике поэтапного равномерного доведения предельного уровня цены на тепловую энергию (мощность) до уровня, "&amp;"определяемого в соответствии с указанными "&amp;"Правилами, а также информация о тарифах на товары (услуги) в сфере теплоснабжения в случаях, указанных частях 12 1 - 12 4 статьи 10 Федерального закона от 27 июля 2010 г. N 190-ФЗ ""О теплоснабжении"", "&amp;"теплоснабжающей организации, теплосетевой организации в ценовых зонах теплоснабжения. Для каждого вида тарифа в сфере теплоснабжения форма заполняется отдельно."&amp;"
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"&amp;"об установлении цены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"&amp;"Указывается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Для каждого вида тарифа в сфере теплоснабжения форма заполняется отдельно.
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Указывается наименование тарифа в случае предложения нескольких тарифов.
В случае наличия нескольких тарифов информация по ним указывается в отдельных строках.</v>
      </c>
      <c r="AO43" s="1549"/>
      <c r="AP43" s="1549" t="str">
        <f t="shared" ref="AP43:AP57" si="1">IF(T43="","",T43)</f>
        <v>Наименование тарифа</v>
      </c>
      <c r="AQ43" s="1549"/>
      <c r="AR43" s="1549"/>
      <c r="AS43" s="1556">
        <v>21</v>
      </c>
    </row>
    <row r="44" spans="1:45" ht="21.95" customHeight="1">
      <c r="A44" s="1192" t="s">
        <v>211</v>
      </c>
      <c r="B44" s="1192" t="s">
        <v>212</v>
      </c>
      <c r="C44" s="1192"/>
      <c r="D44" s="1192"/>
      <c r="E44" s="2211"/>
      <c r="F44" s="2210">
        <v>1</v>
      </c>
      <c r="G44" s="1192"/>
      <c r="H44" s="1192"/>
      <c r="I44" s="1192"/>
      <c r="J44" s="1192"/>
      <c r="K44" s="1192"/>
      <c r="L44" s="1235"/>
      <c r="M44" s="1535"/>
      <c r="N44" s="1535"/>
      <c r="O44" s="1535"/>
      <c r="P44" s="1861"/>
      <c r="Q44" s="287"/>
      <c r="R44" s="288"/>
      <c r="S44" s="1879" t="str">
        <f>INDEX(PT_DIFFERENTIATION_NUM_TER,MATCH(B44,PT_DIFFERENTIATION_TER_ID,0))</f>
        <v>.</v>
      </c>
      <c r="T44" s="1447" t="s">
        <v>396</v>
      </c>
      <c r="U44" s="236"/>
      <c r="V44" s="2172"/>
      <c r="W44" s="2173"/>
      <c r="X44" s="2173"/>
      <c r="Y44" s="2173"/>
      <c r="Z44" s="2173"/>
      <c r="AA44" s="2173"/>
      <c r="AB44" s="2173"/>
      <c r="AC44" s="2174"/>
      <c r="AD44" s="2172" t="str">
        <f>INDEX(PT_DIFFERENTIATION_TER,MATCH(B44,PT_DIFFERENTIATION_TER_ID,0))</f>
        <v/>
      </c>
      <c r="AE44" s="2173"/>
      <c r="AF44" s="2173"/>
      <c r="AG44" s="2173"/>
      <c r="AH44" s="2173"/>
      <c r="AI44" s="2173"/>
      <c r="AJ44" s="2173"/>
      <c r="AK44" s="2173"/>
      <c r="AL44" s="2174"/>
      <c r="AM44" s="1183" t="s">
        <v>397</v>
      </c>
      <c r="AO44" s="1549"/>
      <c r="AP44" s="1549" t="str">
        <f t="shared" si="1"/>
        <v>Территория действия тарифа</v>
      </c>
      <c r="AQ44" s="1549"/>
      <c r="AR44" s="1549"/>
      <c r="AS44" s="1556">
        <v>21</v>
      </c>
    </row>
    <row r="45" spans="1:45" ht="24" customHeight="1">
      <c r="A45" s="1192" t="s">
        <v>211</v>
      </c>
      <c r="B45" s="1192" t="s">
        <v>212</v>
      </c>
      <c r="C45" s="1192" t="s">
        <v>213</v>
      </c>
      <c r="D45" s="1192"/>
      <c r="E45" s="2211"/>
      <c r="F45" s="2211"/>
      <c r="G45" s="2210">
        <v>1</v>
      </c>
      <c r="H45" s="1192"/>
      <c r="I45" s="1192"/>
      <c r="J45" s="1192"/>
      <c r="K45" s="1192"/>
      <c r="L45" s="1235"/>
      <c r="M45" s="1535"/>
      <c r="N45" s="1535"/>
      <c r="O45" s="1535"/>
      <c r="P45" s="289"/>
      <c r="Q45" s="287"/>
      <c r="R45" s="288"/>
      <c r="S45" s="1879" t="str">
        <f>INDEX(PT_DIFFERENTIATION_NUM_CS,MATCH(C45,PT_DIFFERENTIATION_CS_ID,0))</f>
        <v>..</v>
      </c>
      <c r="T45" s="245" t="s">
        <v>398</v>
      </c>
      <c r="U45" s="236"/>
      <c r="V45" s="2172"/>
      <c r="W45" s="2173"/>
      <c r="X45" s="2173"/>
      <c r="Y45" s="2173"/>
      <c r="Z45" s="2173"/>
      <c r="AA45" s="2173"/>
      <c r="AB45" s="2173"/>
      <c r="AC45" s="2174"/>
      <c r="AD45" s="2172" t="str">
        <f>INDEX(PT_DIFFERENTIATION_CS,MATCH(C45,PT_DIFFERENTIATION_CS_ID,0))</f>
        <v/>
      </c>
      <c r="AE45" s="2173"/>
      <c r="AF45" s="2173"/>
      <c r="AG45" s="2173"/>
      <c r="AH45" s="2173"/>
      <c r="AI45" s="2173"/>
      <c r="AJ45" s="2173"/>
      <c r="AK45" s="2173"/>
      <c r="AL45" s="2174"/>
      <c r="AM45" s="1183" t="s">
        <v>399</v>
      </c>
      <c r="AO45" s="1549"/>
      <c r="AP45" s="1549" t="str">
        <f t="shared" si="1"/>
        <v xml:space="preserve">Наименование системы теплоснабжения </v>
      </c>
      <c r="AQ45" s="1549"/>
      <c r="AR45" s="1549"/>
      <c r="AS45" s="1556">
        <v>23</v>
      </c>
    </row>
    <row r="46" spans="1:45" ht="21.95" customHeight="1">
      <c r="A46" s="1192" t="s">
        <v>211</v>
      </c>
      <c r="B46" s="1192" t="s">
        <v>212</v>
      </c>
      <c r="C46" s="1192" t="s">
        <v>213</v>
      </c>
      <c r="D46" s="1192" t="s">
        <v>214</v>
      </c>
      <c r="E46" s="2211"/>
      <c r="F46" s="2211"/>
      <c r="G46" s="2211"/>
      <c r="H46" s="2210">
        <v>1</v>
      </c>
      <c r="I46" s="1192"/>
      <c r="J46" s="1192"/>
      <c r="K46" s="1192"/>
      <c r="L46" s="1235"/>
      <c r="M46" s="1535"/>
      <c r="N46" s="1535"/>
      <c r="O46" s="1535"/>
      <c r="P46" s="289"/>
      <c r="Q46" s="287"/>
      <c r="R46" s="288"/>
      <c r="S46" s="1879" t="str">
        <f>INDEX(PT_DIFFERENTIATION_NUM_IST_TE,MATCH(D46,PT_DIFFERENTIATION_IST_TE_ID,0))</f>
        <v>...</v>
      </c>
      <c r="T46" s="246" t="s">
        <v>400</v>
      </c>
      <c r="U46" s="236"/>
      <c r="V46" s="2172"/>
      <c r="W46" s="2173"/>
      <c r="X46" s="2173"/>
      <c r="Y46" s="2173"/>
      <c r="Z46" s="2173"/>
      <c r="AA46" s="2173"/>
      <c r="AB46" s="2173"/>
      <c r="AC46" s="2174"/>
      <c r="AD46" s="2172" t="str">
        <f>INDEX(PT_DIFFERENTIATION_IST_TE,MATCH(D46,PT_DIFFERENTIATION_IST_TE_ID,0))</f>
        <v/>
      </c>
      <c r="AE46" s="2173"/>
      <c r="AF46" s="2173"/>
      <c r="AG46" s="2173"/>
      <c r="AH46" s="2173"/>
      <c r="AI46" s="2173"/>
      <c r="AJ46" s="2173"/>
      <c r="AK46" s="2173"/>
      <c r="AL46" s="2174"/>
      <c r="AM46" s="1183" t="s">
        <v>401</v>
      </c>
      <c r="AO46" s="1549"/>
      <c r="AP46" s="1549" t="str">
        <f t="shared" si="1"/>
        <v xml:space="preserve">Источник тепловой энергии  </v>
      </c>
      <c r="AQ46" s="1549"/>
      <c r="AR46" s="1549"/>
      <c r="AS46" s="1556">
        <v>21</v>
      </c>
    </row>
    <row r="47" spans="1:45" ht="49.5" customHeight="1">
      <c r="A47" s="1192" t="s">
        <v>211</v>
      </c>
      <c r="B47" s="1192" t="s">
        <v>212</v>
      </c>
      <c r="C47" s="1192" t="s">
        <v>213</v>
      </c>
      <c r="D47" s="1192" t="s">
        <v>214</v>
      </c>
      <c r="E47" s="2211"/>
      <c r="F47" s="2211"/>
      <c r="G47" s="2211"/>
      <c r="H47" s="2211"/>
      <c r="I47" s="2066" t="str">
        <f>S46&amp;".1"</f>
        <v>....1</v>
      </c>
      <c r="J47" s="1192"/>
      <c r="K47" s="1192"/>
      <c r="L47" s="1235" t="s">
        <v>402</v>
      </c>
      <c r="P47" s="2185">
        <v>1</v>
      </c>
      <c r="Q47" s="1875"/>
      <c r="R47" s="291"/>
      <c r="S47" s="1879" t="str">
        <f>$I47</f>
        <v>....1</v>
      </c>
      <c r="T47" s="221" t="s">
        <v>403</v>
      </c>
      <c r="U47" s="236"/>
      <c r="V47" s="2175"/>
      <c r="W47" s="2176"/>
      <c r="X47" s="2176"/>
      <c r="Y47" s="2176"/>
      <c r="Z47" s="2176"/>
      <c r="AA47" s="2176"/>
      <c r="AB47" s="2176"/>
      <c r="AC47" s="2177"/>
      <c r="AD47" s="2175"/>
      <c r="AE47" s="2176"/>
      <c r="AF47" s="2176"/>
      <c r="AG47" s="2176"/>
      <c r="AH47" s="2176"/>
      <c r="AI47" s="2176"/>
      <c r="AJ47" s="2176"/>
      <c r="AK47" s="2176"/>
      <c r="AL47" s="2177"/>
      <c r="AM47" s="1183" t="s">
        <v>404</v>
      </c>
      <c r="AO47" s="1549"/>
      <c r="AP47" s="1549" t="str">
        <f t="shared" si="1"/>
        <v>Схема подключения теплопотребляющей установки к коллектору источника тепловой энергии</v>
      </c>
      <c r="AQ47" s="1549"/>
      <c r="AR47" s="1549"/>
      <c r="AS47" s="1556">
        <v>47</v>
      </c>
    </row>
    <row r="48" spans="1:45" ht="21.95" customHeight="1">
      <c r="A48" s="1192" t="s">
        <v>211</v>
      </c>
      <c r="B48" s="1192" t="s">
        <v>212</v>
      </c>
      <c r="C48" s="1192" t="s">
        <v>213</v>
      </c>
      <c r="D48" s="1192" t="s">
        <v>214</v>
      </c>
      <c r="E48" s="2211"/>
      <c r="F48" s="2211"/>
      <c r="G48" s="2211"/>
      <c r="H48" s="2211"/>
      <c r="I48" s="2038"/>
      <c r="J48" s="2066" t="str">
        <f>I47&amp;".1"</f>
        <v>....1.1</v>
      </c>
      <c r="K48" s="1192"/>
      <c r="L48" s="1235" t="s">
        <v>405</v>
      </c>
      <c r="P48" s="2185"/>
      <c r="Q48" s="2185">
        <v>1</v>
      </c>
      <c r="R48" s="292"/>
      <c r="S48" s="1879" t="str">
        <f>$J48</f>
        <v>....1.1</v>
      </c>
      <c r="T48" s="222" t="s">
        <v>406</v>
      </c>
      <c r="U48" s="236"/>
      <c r="V48" s="2175"/>
      <c r="W48" s="2176"/>
      <c r="X48" s="2176"/>
      <c r="Y48" s="2176"/>
      <c r="Z48" s="2176"/>
      <c r="AA48" s="2176"/>
      <c r="AB48" s="2176"/>
      <c r="AC48" s="2177"/>
      <c r="AD48" s="2175"/>
      <c r="AE48" s="2176"/>
      <c r="AF48" s="2176"/>
      <c r="AG48" s="2176"/>
      <c r="AH48" s="2176"/>
      <c r="AI48" s="2176"/>
      <c r="AJ48" s="2176"/>
      <c r="AK48" s="2176"/>
      <c r="AL48" s="2177"/>
      <c r="AM48" s="1183" t="s">
        <v>407</v>
      </c>
      <c r="AO48" s="1549"/>
      <c r="AP48" s="1549" t="str">
        <f t="shared" si="1"/>
        <v>Группа потребителей</v>
      </c>
      <c r="AQ48" s="1549"/>
      <c r="AR48" s="1549"/>
      <c r="AS48" s="1556">
        <v>21</v>
      </c>
    </row>
    <row r="49" spans="1:45" ht="21.95" customHeight="1">
      <c r="A49" s="1192" t="s">
        <v>211</v>
      </c>
      <c r="B49" s="1192" t="s">
        <v>212</v>
      </c>
      <c r="C49" s="1192" t="s">
        <v>213</v>
      </c>
      <c r="D49" s="1192" t="s">
        <v>214</v>
      </c>
      <c r="E49" s="2211"/>
      <c r="F49" s="2211"/>
      <c r="G49" s="2211"/>
      <c r="H49" s="2211"/>
      <c r="I49" s="2038"/>
      <c r="J49" s="2038"/>
      <c r="K49" s="2066" t="str">
        <f>J48&amp;".1"</f>
        <v>....1.1.1</v>
      </c>
      <c r="L49" s="1235" t="s">
        <v>408</v>
      </c>
      <c r="P49" s="2185"/>
      <c r="Q49" s="2185"/>
      <c r="R49" s="292">
        <v>1</v>
      </c>
      <c r="S49" s="1879" t="str">
        <f>$K49</f>
        <v>....1.1.1</v>
      </c>
      <c r="T49" s="1272"/>
      <c r="U49" s="236"/>
      <c r="V49" s="686"/>
      <c r="W49" s="261"/>
      <c r="X49" s="686"/>
      <c r="Y49" s="1182"/>
      <c r="Z49" s="2189"/>
      <c r="AA49" s="2047" t="s">
        <v>66</v>
      </c>
      <c r="AB49" s="2189"/>
      <c r="AC49" s="2047" t="s">
        <v>66</v>
      </c>
      <c r="AD49" s="686"/>
      <c r="AE49" s="261"/>
      <c r="AF49" s="686"/>
      <c r="AG49" s="1182"/>
      <c r="AH49" s="2189"/>
      <c r="AI49" s="2047" t="s">
        <v>66</v>
      </c>
      <c r="AJ49" s="2208"/>
      <c r="AK49" s="2047" t="s">
        <v>66</v>
      </c>
      <c r="AL49" s="1273"/>
      <c r="AM49" s="2181" t="s">
        <v>409</v>
      </c>
      <c r="AN49" s="1561" t="e">
        <f ca="1">STRCHECKDATE(V50:AL50)</f>
        <v>#NAME?</v>
      </c>
      <c r="AO49" s="1549"/>
      <c r="AP49" s="1549" t="str">
        <f t="shared" si="1"/>
        <v/>
      </c>
      <c r="AQ49" s="1549"/>
      <c r="AR49" s="1549"/>
      <c r="AS49" s="1556">
        <v>21</v>
      </c>
    </row>
    <row r="50" spans="1:45" ht="1.1499999999999999" customHeight="1">
      <c r="A50" s="1192" t="s">
        <v>211</v>
      </c>
      <c r="B50" s="1192" t="s">
        <v>212</v>
      </c>
      <c r="C50" s="1192" t="s">
        <v>213</v>
      </c>
      <c r="D50" s="1192" t="s">
        <v>214</v>
      </c>
      <c r="E50" s="2211"/>
      <c r="F50" s="2211"/>
      <c r="G50" s="2211"/>
      <c r="H50" s="2211"/>
      <c r="I50" s="2038"/>
      <c r="J50" s="2038"/>
      <c r="K50" s="2066"/>
      <c r="L50" s="1235"/>
      <c r="P50" s="2185"/>
      <c r="Q50" s="2185"/>
      <c r="R50" s="292"/>
      <c r="S50" s="1888"/>
      <c r="T50" s="236"/>
      <c r="U50" s="236"/>
      <c r="V50" s="261"/>
      <c r="W50" s="261"/>
      <c r="X50" s="261"/>
      <c r="Y50" s="264" t="str">
        <f>Z49&amp;"-"&amp;AB49</f>
        <v>-</v>
      </c>
      <c r="Z50" s="2190"/>
      <c r="AA50" s="2047"/>
      <c r="AB50" s="2190"/>
      <c r="AC50" s="2047"/>
      <c r="AD50" s="261"/>
      <c r="AE50" s="261"/>
      <c r="AF50" s="261"/>
      <c r="AG50" s="264" t="str">
        <f>AH49&amp;"-"&amp;AJ49</f>
        <v>-</v>
      </c>
      <c r="AH50" s="2190"/>
      <c r="AI50" s="2047"/>
      <c r="AJ50" s="2209"/>
      <c r="AK50" s="2047"/>
      <c r="AL50" s="1274"/>
      <c r="AM50" s="2182"/>
      <c r="AO50" s="1549"/>
      <c r="AP50" s="1549" t="str">
        <f t="shared" si="1"/>
        <v/>
      </c>
      <c r="AQ50" s="1549"/>
      <c r="AR50" s="1549"/>
      <c r="AS50" s="1556">
        <v>1</v>
      </c>
    </row>
    <row r="51" spans="1:45" ht="11.45" customHeight="1">
      <c r="A51" s="1192" t="s">
        <v>211</v>
      </c>
      <c r="B51" s="1192" t="s">
        <v>212</v>
      </c>
      <c r="C51" s="1192" t="s">
        <v>213</v>
      </c>
      <c r="D51" s="1192" t="s">
        <v>214</v>
      </c>
      <c r="E51" s="2211"/>
      <c r="F51" s="2211"/>
      <c r="G51" s="2211"/>
      <c r="H51" s="2211"/>
      <c r="I51" s="2038"/>
      <c r="J51" s="2066"/>
      <c r="K51" s="1192"/>
      <c r="L51" s="1235"/>
      <c r="P51" s="2185"/>
      <c r="Q51" s="2185"/>
      <c r="R51" s="291"/>
      <c r="S51" s="1203"/>
      <c r="T51" s="224" t="s">
        <v>410</v>
      </c>
      <c r="U51" s="535"/>
      <c r="V51" s="535"/>
      <c r="W51" s="535"/>
      <c r="X51" s="535"/>
      <c r="Y51" s="535"/>
      <c r="Z51" s="535"/>
      <c r="AA51" s="535"/>
      <c r="AB51" s="535"/>
      <c r="AC51" s="535"/>
      <c r="AD51" s="535"/>
      <c r="AE51" s="535"/>
      <c r="AF51" s="535"/>
      <c r="AG51" s="535"/>
      <c r="AH51" s="535"/>
      <c r="AI51" s="535"/>
      <c r="AJ51" s="535"/>
      <c r="AK51" s="535"/>
      <c r="AL51" s="260"/>
      <c r="AM51" s="2183"/>
      <c r="AO51" s="1549"/>
      <c r="AP51" s="1549" t="str">
        <f t="shared" si="1"/>
        <v>Добавить вид теплоносителя (параметры теплоносителя)</v>
      </c>
      <c r="AQ51" s="1549"/>
      <c r="AR51" s="1549"/>
      <c r="AS51" s="1556">
        <v>11</v>
      </c>
    </row>
    <row r="52" spans="1:45" ht="11.45" customHeight="1">
      <c r="A52" s="1192" t="s">
        <v>211</v>
      </c>
      <c r="B52" s="1192" t="s">
        <v>212</v>
      </c>
      <c r="C52" s="1192" t="s">
        <v>213</v>
      </c>
      <c r="D52" s="1192" t="s">
        <v>214</v>
      </c>
      <c r="E52" s="2211"/>
      <c r="F52" s="2211"/>
      <c r="G52" s="2211"/>
      <c r="H52" s="2211"/>
      <c r="I52" s="2066"/>
      <c r="J52" s="1192"/>
      <c r="K52" s="1192"/>
      <c r="L52" s="1235"/>
      <c r="P52" s="2185"/>
      <c r="Q52" s="1875"/>
      <c r="R52" s="291"/>
      <c r="S52" s="1203"/>
      <c r="T52" s="223" t="s">
        <v>411</v>
      </c>
      <c r="U52" s="535"/>
      <c r="V52" s="535"/>
      <c r="W52" s="535"/>
      <c r="X52" s="535"/>
      <c r="Y52" s="535"/>
      <c r="Z52" s="535"/>
      <c r="AA52" s="535"/>
      <c r="AB52" s="535"/>
      <c r="AC52" s="301"/>
      <c r="AD52" s="535"/>
      <c r="AE52" s="535"/>
      <c r="AF52" s="535"/>
      <c r="AG52" s="535"/>
      <c r="AH52" s="535"/>
      <c r="AI52" s="535"/>
      <c r="AJ52" s="535"/>
      <c r="AK52" s="301"/>
      <c r="AL52" s="535"/>
      <c r="AM52" s="239"/>
      <c r="AO52" s="1549"/>
      <c r="AP52" s="1549" t="str">
        <f t="shared" si="1"/>
        <v>Добавить группу потребителей</v>
      </c>
      <c r="AQ52" s="1549"/>
      <c r="AR52" s="1549"/>
      <c r="AS52" s="1556">
        <v>11</v>
      </c>
    </row>
    <row r="53" spans="1:45" ht="14.65" customHeight="1">
      <c r="A53" s="1192" t="s">
        <v>211</v>
      </c>
      <c r="B53" s="1192" t="s">
        <v>212</v>
      </c>
      <c r="C53" s="1192" t="s">
        <v>213</v>
      </c>
      <c r="D53" s="1192" t="s">
        <v>214</v>
      </c>
      <c r="E53" s="2211"/>
      <c r="F53" s="2211"/>
      <c r="G53" s="2211"/>
      <c r="H53" s="2210"/>
      <c r="I53" s="1192"/>
      <c r="J53" s="1192"/>
      <c r="K53" s="1192"/>
      <c r="L53" s="1235"/>
      <c r="M53" s="1535"/>
      <c r="N53" s="1535"/>
      <c r="O53" s="1560"/>
      <c r="P53" s="295"/>
      <c r="Q53" s="310"/>
      <c r="R53" s="290"/>
      <c r="S53" s="1203"/>
      <c r="T53" s="300" t="s">
        <v>412</v>
      </c>
      <c r="U53" s="535"/>
      <c r="V53" s="535"/>
      <c r="W53" s="535"/>
      <c r="X53" s="535"/>
      <c r="Y53" s="535"/>
      <c r="Z53" s="535"/>
      <c r="AA53" s="535"/>
      <c r="AB53" s="535"/>
      <c r="AC53" s="301"/>
      <c r="AD53" s="535"/>
      <c r="AE53" s="535"/>
      <c r="AF53" s="535"/>
      <c r="AG53" s="535"/>
      <c r="AH53" s="535"/>
      <c r="AI53" s="535"/>
      <c r="AJ53" s="535"/>
      <c r="AK53" s="301"/>
      <c r="AL53" s="535"/>
      <c r="AM53" s="239"/>
      <c r="AO53" s="1549"/>
      <c r="AP53" s="1549" t="str">
        <f t="shared" si="1"/>
        <v>Добавить схему подключения</v>
      </c>
      <c r="AQ53" s="1549"/>
      <c r="AR53" s="1549"/>
      <c r="AS53" s="1556">
        <v>14</v>
      </c>
    </row>
    <row r="54" spans="1:45" s="1567" customFormat="1" ht="4.1500000000000004" customHeight="1">
      <c r="A54" s="1300" t="s">
        <v>211</v>
      </c>
      <c r="B54" s="1300" t="s">
        <v>212</v>
      </c>
      <c r="C54" s="1300" t="s">
        <v>213</v>
      </c>
      <c r="D54" s="1299"/>
      <c r="E54" s="2211"/>
      <c r="F54" s="2211"/>
      <c r="G54" s="2210"/>
      <c r="H54" s="1299"/>
      <c r="I54" s="1299"/>
      <c r="J54" s="1299"/>
      <c r="K54" s="1299"/>
      <c r="L54" s="1302"/>
      <c r="M54" s="1303"/>
      <c r="N54" s="1303"/>
      <c r="O54" s="286"/>
      <c r="P54" s="1241"/>
      <c r="Q54" s="1242"/>
      <c r="R54" s="1241"/>
      <c r="S54" s="1247"/>
      <c r="T54" s="1250" t="s">
        <v>413</v>
      </c>
      <c r="U54" s="1249"/>
      <c r="V54" s="1249"/>
      <c r="W54" s="1249"/>
      <c r="X54" s="1249"/>
      <c r="Y54" s="1249"/>
      <c r="Z54" s="1249"/>
      <c r="AA54" s="1249"/>
      <c r="AB54" s="1249"/>
      <c r="AC54" s="1249"/>
      <c r="AD54" s="1249"/>
      <c r="AE54" s="1249"/>
      <c r="AF54" s="1249"/>
      <c r="AG54" s="1249"/>
      <c r="AH54" s="1249"/>
      <c r="AI54" s="1249"/>
      <c r="AJ54" s="1249"/>
      <c r="AK54" s="1249"/>
      <c r="AL54" s="1249"/>
      <c r="AM54" s="1249"/>
      <c r="AO54" s="1176"/>
      <c r="AP54" s="1176" t="str">
        <f t="shared" si="1"/>
        <v>Добавить источник для дифференциации</v>
      </c>
      <c r="AQ54" s="1176"/>
      <c r="AR54" s="1176"/>
      <c r="AS54" s="1567">
        <v>4</v>
      </c>
    </row>
    <row r="55" spans="1:45" s="1567" customFormat="1" ht="4.1500000000000004" customHeight="1">
      <c r="A55" s="1300" t="s">
        <v>211</v>
      </c>
      <c r="B55" s="1300" t="s">
        <v>212</v>
      </c>
      <c r="C55" s="1299"/>
      <c r="D55" s="1299"/>
      <c r="E55" s="2211"/>
      <c r="F55" s="2210"/>
      <c r="G55" s="1299"/>
      <c r="H55" s="1299"/>
      <c r="I55" s="1299"/>
      <c r="J55" s="1299"/>
      <c r="K55" s="1299"/>
      <c r="L55" s="1302"/>
      <c r="M55" s="1304"/>
      <c r="N55" s="1304"/>
      <c r="O55" s="286"/>
      <c r="P55" s="1241"/>
      <c r="Q55" s="1242"/>
      <c r="R55" s="1241"/>
      <c r="S55" s="1247"/>
      <c r="T55" s="1250" t="s">
        <v>414</v>
      </c>
      <c r="U55" s="1249"/>
      <c r="V55" s="1249"/>
      <c r="W55" s="1249"/>
      <c r="X55" s="1249"/>
      <c r="Y55" s="1249"/>
      <c r="Z55" s="1249"/>
      <c r="AA55" s="1249"/>
      <c r="AB55" s="1249"/>
      <c r="AC55" s="1249"/>
      <c r="AD55" s="1249"/>
      <c r="AE55" s="1249"/>
      <c r="AF55" s="1249"/>
      <c r="AG55" s="1249"/>
      <c r="AH55" s="1249"/>
      <c r="AI55" s="1249"/>
      <c r="AJ55" s="1249"/>
      <c r="AK55" s="1249"/>
      <c r="AL55" s="1249"/>
      <c r="AM55" s="1249"/>
      <c r="AO55" s="1176"/>
      <c r="AP55" s="1176" t="str">
        <f t="shared" si="1"/>
        <v>Добавить централизованную систему для дифференциации</v>
      </c>
      <c r="AQ55" s="1176"/>
      <c r="AR55" s="1176"/>
      <c r="AS55" s="1567">
        <v>4</v>
      </c>
    </row>
    <row r="56" spans="1:45" s="1567" customFormat="1" ht="4.1500000000000004" customHeight="1">
      <c r="A56" s="1300" t="s">
        <v>211</v>
      </c>
      <c r="B56" s="1300"/>
      <c r="C56" s="1300"/>
      <c r="D56" s="1300"/>
      <c r="E56" s="2210"/>
      <c r="F56" s="1300"/>
      <c r="G56" s="1300"/>
      <c r="H56" s="1300"/>
      <c r="I56" s="1300"/>
      <c r="J56" s="1300"/>
      <c r="K56" s="1300"/>
      <c r="L56" s="1306"/>
      <c r="M56" s="1304"/>
      <c r="N56" s="1304"/>
      <c r="O56" s="286"/>
      <c r="P56" s="315"/>
      <c r="Q56" s="1269"/>
      <c r="R56" s="315"/>
      <c r="S56" s="1247"/>
      <c r="T56" s="1250" t="s">
        <v>415</v>
      </c>
      <c r="U56" s="1249"/>
      <c r="V56" s="1249"/>
      <c r="W56" s="1249"/>
      <c r="X56" s="1249"/>
      <c r="Y56" s="1249"/>
      <c r="Z56" s="1249"/>
      <c r="AA56" s="1249"/>
      <c r="AB56" s="1249"/>
      <c r="AC56" s="1249"/>
      <c r="AD56" s="1249"/>
      <c r="AE56" s="1249"/>
      <c r="AF56" s="1249"/>
      <c r="AG56" s="1249"/>
      <c r="AH56" s="1249"/>
      <c r="AI56" s="1249"/>
      <c r="AJ56" s="1249"/>
      <c r="AK56" s="1249"/>
      <c r="AL56" s="1249"/>
      <c r="AM56" s="1249"/>
      <c r="AO56" s="1549"/>
      <c r="AP56" s="1549" t="str">
        <f t="shared" si="1"/>
        <v>Добавить территорию для дифференциации</v>
      </c>
      <c r="AQ56" s="1549"/>
      <c r="AR56" s="1549"/>
      <c r="AS56" s="1561">
        <v>4</v>
      </c>
    </row>
    <row r="57" spans="1:45" s="1567" customFormat="1" ht="4.1500000000000004" customHeight="1">
      <c r="A57" s="1299"/>
      <c r="B57" s="1299"/>
      <c r="C57" s="1299"/>
      <c r="D57" s="1299"/>
      <c r="E57" s="1300"/>
      <c r="F57" s="1299"/>
      <c r="G57" s="1299"/>
      <c r="H57" s="1299"/>
      <c r="I57" s="1299"/>
      <c r="J57" s="1299"/>
      <c r="K57" s="1299"/>
      <c r="L57" s="1302"/>
      <c r="M57" s="1304"/>
      <c r="N57" s="1304"/>
      <c r="O57" s="286"/>
      <c r="P57" s="1241"/>
      <c r="Q57" s="1242"/>
      <c r="R57" s="1241"/>
      <c r="S57" s="1247"/>
      <c r="T57" s="1250" t="s">
        <v>447</v>
      </c>
      <c r="U57" s="1249"/>
      <c r="V57" s="1249"/>
      <c r="W57" s="1249"/>
      <c r="X57" s="1249"/>
      <c r="Y57" s="1249"/>
      <c r="Z57" s="1249"/>
      <c r="AA57" s="1249"/>
      <c r="AB57" s="1249"/>
      <c r="AC57" s="1249"/>
      <c r="AD57" s="1249"/>
      <c r="AE57" s="1249"/>
      <c r="AF57" s="1249"/>
      <c r="AG57" s="1249"/>
      <c r="AH57" s="1249"/>
      <c r="AI57" s="1249"/>
      <c r="AJ57" s="1249"/>
      <c r="AK57" s="1249"/>
      <c r="AL57" s="1249"/>
      <c r="AM57" s="1249"/>
      <c r="AO57" s="1176"/>
      <c r="AP57" s="1176" t="str">
        <f t="shared" si="1"/>
        <v>Добавить наименование тарифа</v>
      </c>
      <c r="AQ57" s="1176"/>
      <c r="AR57" s="1176"/>
      <c r="AS57" s="1567">
        <v>4</v>
      </c>
    </row>
    <row r="58" spans="1:45" ht="11.45" customHeight="1">
      <c r="M58" s="1556"/>
      <c r="N58" s="1556"/>
      <c r="O58" s="1560"/>
      <c r="P58" s="1556"/>
      <c r="Q58" s="1556"/>
      <c r="R58" s="1556"/>
      <c r="S58" s="1556"/>
      <c r="AN58" s="1556"/>
      <c r="AO58" s="1556"/>
      <c r="AP58" s="1556"/>
      <c r="AQ58" s="1556"/>
      <c r="AR58" s="1556"/>
      <c r="AS58" s="1556">
        <v>11</v>
      </c>
    </row>
    <row r="59" spans="1:45" ht="28.5" customHeight="1">
      <c r="O59" s="1560"/>
      <c r="S59" s="1178"/>
      <c r="T59" s="2206"/>
      <c r="U59" s="2206"/>
      <c r="V59" s="2206"/>
      <c r="W59" s="2206"/>
      <c r="X59" s="2206"/>
      <c r="Y59" s="2206"/>
      <c r="Z59" s="2206"/>
      <c r="AA59" s="2206"/>
      <c r="AB59" s="2206"/>
      <c r="AC59" s="2206"/>
      <c r="AD59" s="2206"/>
      <c r="AE59" s="2206"/>
      <c r="AF59" s="2206"/>
      <c r="AG59" s="2206"/>
      <c r="AH59" s="2206"/>
      <c r="AI59" s="2206"/>
      <c r="AJ59" s="2206"/>
      <c r="AK59" s="2206"/>
      <c r="AL59" s="2206"/>
      <c r="AM59" s="2206"/>
      <c r="AS59" s="1556">
        <v>27</v>
      </c>
    </row>
    <row r="60" spans="1:45" ht="65.25" customHeight="1">
      <c r="O60" s="1560"/>
      <c r="T60" s="2206"/>
      <c r="U60" s="2206"/>
      <c r="V60" s="2206"/>
      <c r="W60" s="2206"/>
      <c r="X60" s="2206"/>
      <c r="Y60" s="2206"/>
      <c r="Z60" s="2206"/>
      <c r="AA60" s="2206"/>
      <c r="AB60" s="2206"/>
      <c r="AC60" s="2206"/>
      <c r="AD60" s="2206"/>
      <c r="AE60" s="2206"/>
      <c r="AF60" s="2206"/>
      <c r="AG60" s="2206"/>
      <c r="AH60" s="2206"/>
      <c r="AI60" s="2206"/>
      <c r="AJ60" s="2206"/>
      <c r="AK60" s="2206"/>
      <c r="AL60" s="2206"/>
      <c r="AM60" s="2206"/>
      <c r="AS60" s="1556">
        <v>62</v>
      </c>
    </row>
    <row r="61" spans="1:45" ht="14.65" customHeight="1">
      <c r="O61" s="1560"/>
      <c r="AS61" s="1556">
        <v>14</v>
      </c>
    </row>
    <row r="62" spans="1:45" ht="18.75" customHeight="1">
      <c r="O62" s="1560"/>
      <c r="S62" s="1178"/>
      <c r="T62" s="2206"/>
      <c r="U62" s="2206"/>
      <c r="V62" s="2206"/>
      <c r="W62" s="2206"/>
      <c r="X62" s="2206"/>
      <c r="Y62" s="2206"/>
      <c r="Z62" s="2206"/>
      <c r="AA62" s="2206"/>
      <c r="AB62" s="2206"/>
      <c r="AC62" s="2206"/>
      <c r="AD62" s="2206"/>
      <c r="AE62" s="2206"/>
      <c r="AF62" s="2206"/>
      <c r="AG62" s="2206"/>
      <c r="AH62" s="2206"/>
      <c r="AI62" s="2206"/>
      <c r="AJ62" s="2206"/>
      <c r="AK62" s="2206"/>
      <c r="AL62" s="2206"/>
      <c r="AM62" s="2206"/>
      <c r="AS62" s="1556">
        <v>18</v>
      </c>
    </row>
    <row r="63" spans="1:45" ht="18.75" customHeight="1">
      <c r="O63" s="1560"/>
      <c r="T63" s="2206"/>
      <c r="U63" s="2206"/>
      <c r="V63" s="2206"/>
      <c r="W63" s="2206"/>
      <c r="X63" s="2206"/>
      <c r="Y63" s="2206"/>
      <c r="Z63" s="2206"/>
      <c r="AA63" s="2206"/>
      <c r="AB63" s="2206"/>
      <c r="AC63" s="2206"/>
      <c r="AD63" s="2206"/>
      <c r="AE63" s="2206"/>
      <c r="AF63" s="2206"/>
      <c r="AG63" s="2206"/>
      <c r="AH63" s="2206"/>
      <c r="AI63" s="2206"/>
      <c r="AJ63" s="2206"/>
      <c r="AK63" s="2206"/>
      <c r="AL63" s="2206"/>
      <c r="AM63" s="2206"/>
      <c r="AS63" s="1556">
        <v>18</v>
      </c>
    </row>
    <row r="64" spans="1:45" ht="29.25" customHeight="1">
      <c r="O64" s="1560"/>
      <c r="S64" s="1178"/>
      <c r="T64" s="2206"/>
      <c r="U64" s="2206"/>
      <c r="V64" s="2206"/>
      <c r="W64" s="2206"/>
      <c r="X64" s="2206"/>
      <c r="Y64" s="2206"/>
      <c r="Z64" s="2206"/>
      <c r="AA64" s="2206"/>
      <c r="AB64" s="2206"/>
      <c r="AC64" s="2206"/>
      <c r="AD64" s="2206"/>
      <c r="AE64" s="2206"/>
      <c r="AF64" s="2206"/>
      <c r="AG64" s="2206"/>
      <c r="AH64" s="2206"/>
      <c r="AI64" s="2206"/>
      <c r="AJ64" s="2206"/>
      <c r="AK64" s="2206"/>
      <c r="AL64" s="2206"/>
      <c r="AM64" s="2206"/>
      <c r="AS64" s="1556">
        <v>28</v>
      </c>
    </row>
    <row r="65" spans="1:45" ht="22.5" hidden="1" customHeight="1">
      <c r="A65" s="1556" t="s">
        <v>82</v>
      </c>
      <c r="B65" s="1556">
        <v>0</v>
      </c>
      <c r="C65" s="1556">
        <v>0</v>
      </c>
      <c r="D65" s="1556">
        <v>0</v>
      </c>
      <c r="E65" s="1556">
        <v>0</v>
      </c>
      <c r="F65" s="1556">
        <v>0</v>
      </c>
      <c r="G65" s="1556">
        <v>0</v>
      </c>
      <c r="H65" s="1556">
        <v>0</v>
      </c>
      <c r="I65" s="1556">
        <v>0</v>
      </c>
      <c r="J65" s="1556">
        <v>0</v>
      </c>
      <c r="K65" s="1556">
        <v>0</v>
      </c>
      <c r="L65" s="1860">
        <v>0</v>
      </c>
      <c r="M65" s="1886">
        <v>0</v>
      </c>
      <c r="N65" s="1886">
        <v>0</v>
      </c>
      <c r="O65" s="1886">
        <v>0</v>
      </c>
      <c r="P65" s="1886">
        <v>3</v>
      </c>
      <c r="Q65" s="280">
        <v>3</v>
      </c>
      <c r="R65" s="280">
        <v>3</v>
      </c>
      <c r="S65" s="516">
        <v>12</v>
      </c>
      <c r="T65" s="1556">
        <v>31</v>
      </c>
      <c r="U65" s="1556">
        <v>0</v>
      </c>
      <c r="V65" s="1556">
        <v>0</v>
      </c>
      <c r="W65" s="1556">
        <v>0</v>
      </c>
      <c r="X65" s="1556">
        <v>0</v>
      </c>
      <c r="Y65" s="1556">
        <v>0</v>
      </c>
      <c r="Z65" s="1556">
        <v>0</v>
      </c>
      <c r="AA65" s="1556">
        <v>0</v>
      </c>
      <c r="AB65" s="1556">
        <v>0</v>
      </c>
      <c r="AC65" s="1556">
        <v>0</v>
      </c>
      <c r="AD65" s="1556">
        <v>24</v>
      </c>
      <c r="AE65" s="1556">
        <v>0</v>
      </c>
      <c r="AF65" s="1556">
        <v>24</v>
      </c>
      <c r="AG65" s="1556">
        <v>24</v>
      </c>
      <c r="AH65" s="1556">
        <v>11</v>
      </c>
      <c r="AI65" s="1556">
        <v>3</v>
      </c>
      <c r="AJ65" s="1556">
        <v>11</v>
      </c>
      <c r="AK65" s="1556">
        <v>0</v>
      </c>
      <c r="AL65" s="1556">
        <v>4</v>
      </c>
      <c r="AM65" s="1556">
        <v>115</v>
      </c>
      <c r="AN65" s="1561">
        <v>10</v>
      </c>
      <c r="AO65" s="1561">
        <v>10</v>
      </c>
      <c r="AP65" s="1561">
        <v>10</v>
      </c>
      <c r="AQ65" s="1561">
        <v>10</v>
      </c>
      <c r="AR65" s="1561">
        <v>10</v>
      </c>
      <c r="AS65" s="1556">
        <v>23</v>
      </c>
    </row>
  </sheetData>
  <sheetProtection insertRows="0" deleteColumns="0" deleteRows="0" sort="0" autoFilter="0"/>
  <mergeCells count="112">
    <mergeCell ref="E2:E15"/>
    <mergeCell ref="V2:AC2"/>
    <mergeCell ref="AD2:AL2"/>
    <mergeCell ref="F3:F14"/>
    <mergeCell ref="V3:AC3"/>
    <mergeCell ref="AD3:AL3"/>
    <mergeCell ref="G4:G13"/>
    <mergeCell ref="V4:AC4"/>
    <mergeCell ref="AD4:AL4"/>
    <mergeCell ref="H5:H12"/>
    <mergeCell ref="V5:AC5"/>
    <mergeCell ref="AD5:AL5"/>
    <mergeCell ref="I6:I11"/>
    <mergeCell ref="P6:P11"/>
    <mergeCell ref="V6:AC6"/>
    <mergeCell ref="AD6:AL6"/>
    <mergeCell ref="J7:J10"/>
    <mergeCell ref="Q7:Q10"/>
    <mergeCell ref="V7:AC7"/>
    <mergeCell ref="AD7:AL7"/>
    <mergeCell ref="AK8:AK9"/>
    <mergeCell ref="AM8:AM10"/>
    <mergeCell ref="AH17:AH18"/>
    <mergeCell ref="AI17:AI18"/>
    <mergeCell ref="AJ17:AJ18"/>
    <mergeCell ref="AK17:AK18"/>
    <mergeCell ref="K8:K9"/>
    <mergeCell ref="Z8:Z9"/>
    <mergeCell ref="AA8:AA9"/>
    <mergeCell ref="AB8:AB9"/>
    <mergeCell ref="AC8:AC9"/>
    <mergeCell ref="AH8:AH9"/>
    <mergeCell ref="S26:AJ26"/>
    <mergeCell ref="S27:AJ27"/>
    <mergeCell ref="S29:T29"/>
    <mergeCell ref="V29:AB29"/>
    <mergeCell ref="AD29:AJ29"/>
    <mergeCell ref="S30:T30"/>
    <mergeCell ref="V30:AB30"/>
    <mergeCell ref="AD30:AJ30"/>
    <mergeCell ref="AI8:AI9"/>
    <mergeCell ref="AJ8:AJ9"/>
    <mergeCell ref="S34:T34"/>
    <mergeCell ref="V34:AB34"/>
    <mergeCell ref="AD34:AJ34"/>
    <mergeCell ref="S35:T35"/>
    <mergeCell ref="V35:AB35"/>
    <mergeCell ref="AD35:AJ35"/>
    <mergeCell ref="S31:T31"/>
    <mergeCell ref="V31:AB31"/>
    <mergeCell ref="AD31:AJ31"/>
    <mergeCell ref="S32:T32"/>
    <mergeCell ref="V32:AB32"/>
    <mergeCell ref="AD32:AJ32"/>
    <mergeCell ref="V37:AC37"/>
    <mergeCell ref="AD37:AK37"/>
    <mergeCell ref="S38:AL38"/>
    <mergeCell ref="AM38:AM41"/>
    <mergeCell ref="S39:S41"/>
    <mergeCell ref="T39:T41"/>
    <mergeCell ref="V39:AB39"/>
    <mergeCell ref="AC39:AC41"/>
    <mergeCell ref="AD39:AJ39"/>
    <mergeCell ref="AK39:AK41"/>
    <mergeCell ref="E43:E56"/>
    <mergeCell ref="V43:AC43"/>
    <mergeCell ref="AD43:AL43"/>
    <mergeCell ref="F44:F55"/>
    <mergeCell ref="V44:AC44"/>
    <mergeCell ref="AD44:AL44"/>
    <mergeCell ref="G45:G54"/>
    <mergeCell ref="AL39:AL41"/>
    <mergeCell ref="V40:V41"/>
    <mergeCell ref="W40:W41"/>
    <mergeCell ref="X40:Y40"/>
    <mergeCell ref="Z40:AB40"/>
    <mergeCell ref="AD40:AD41"/>
    <mergeCell ref="AE40:AE41"/>
    <mergeCell ref="AF40:AG40"/>
    <mergeCell ref="AH40:AJ40"/>
    <mergeCell ref="AA41:AB41"/>
    <mergeCell ref="H46:H53"/>
    <mergeCell ref="V46:AC46"/>
    <mergeCell ref="AD46:AL46"/>
    <mergeCell ref="I47:I52"/>
    <mergeCell ref="P47:P52"/>
    <mergeCell ref="V47:AC47"/>
    <mergeCell ref="AD47:AL47"/>
    <mergeCell ref="J48:J51"/>
    <mergeCell ref="AI41:AJ41"/>
    <mergeCell ref="AA42:AB42"/>
    <mergeCell ref="AI42:AJ42"/>
    <mergeCell ref="K49:K50"/>
    <mergeCell ref="Z49:Z50"/>
    <mergeCell ref="AA49:AA50"/>
    <mergeCell ref="AB49:AB50"/>
    <mergeCell ref="AC49:AC50"/>
    <mergeCell ref="AH49:AH50"/>
    <mergeCell ref="AI49:AI50"/>
    <mergeCell ref="V45:AC45"/>
    <mergeCell ref="AD45:AL45"/>
    <mergeCell ref="T63:AM63"/>
    <mergeCell ref="T64:AM64"/>
    <mergeCell ref="AJ49:AJ50"/>
    <mergeCell ref="AK49:AK50"/>
    <mergeCell ref="AM49:AM51"/>
    <mergeCell ref="T59:AM59"/>
    <mergeCell ref="T60:AM60"/>
    <mergeCell ref="T62:AM62"/>
    <mergeCell ref="Q48:Q51"/>
    <mergeCell ref="V48:AC48"/>
    <mergeCell ref="AD48:AL48"/>
  </mergeCells>
  <dataValidations count="8">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formula1>kind_of_cons</formula1>
    </dataValidation>
    <dataValidation allowBlank="1" sqref="S131123:AM131129 S196659:AM196665 S262195:AM262201 S327731:AM327737 S393267:AM393273 S458803:AM458809 S524339:AM524345 S589875:AM589881 S655411:AM655417 S720947:AM720953 S786483:AM786489 S852019:AM852025 S917555:AM917561 S983091:AM983097 S65587:AM65593"/>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formula1>kind_of_scheme_in</formula1>
    </dataValidation>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formula1>900</formula1>
    </dataValidation>
    <dataValidation type="list" allowBlank="1" showInputMessage="1" showErrorMessage="1" errorTitle="Ошибка" error="Выберите значение из списка" sqref="T65585 T131121 T196657 T262193 T327729 T393265 T458801 T524337 T589873 T655409 T720945 T786481 T852017 T917553 T983089">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327729 AK393265 AK49 AK524337 AK8 AK589873 AK655409 AK17 AK720945 AK786481 AK852017 AK917553 AK983089 AK65585 AK131121 AI49 AK458801 AI8 AC8 AA8 AI17 AK196657 AA49 AC49 AK262193"/>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AG50 AG18 Y50"/>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6" tint="0.39997558519241921"/>
  </sheetPr>
  <dimension ref="A1:AS65"/>
  <sheetViews>
    <sheetView showGridLines="0" zoomScale="90" workbookViewId="0">
      <pane xSplit="29" ySplit="42" topLeftCell="AD43" activePane="bottomRight" state="frozen"/>
      <selection pane="topRight" activeCell="AD1" sqref="AD1"/>
      <selection pane="bottomLeft" activeCell="A43" sqref="A43"/>
      <selection pane="bottomRight"/>
    </sheetView>
  </sheetViews>
  <sheetFormatPr defaultColWidth="10.5703125" defaultRowHeight="14.25" customHeight="1"/>
  <cols>
    <col min="1" max="1" width="10.5703125" style="1560" hidden="1"/>
    <col min="2" max="2" width="11" style="1560" hidden="1" customWidth="1"/>
    <col min="3" max="3" width="10.5703125" style="1560" hidden="1"/>
    <col min="4" max="4" width="11.85546875" style="1560" hidden="1" customWidth="1"/>
    <col min="5" max="5" width="10" style="1560" hidden="1" customWidth="1"/>
    <col min="6" max="6" width="8.7109375" style="1560" hidden="1" customWidth="1"/>
    <col min="7" max="7" width="7.5703125" style="1560" hidden="1" customWidth="1"/>
    <col min="8" max="8" width="11.42578125" style="1560" hidden="1" customWidth="1"/>
    <col min="9" max="9" width="12" style="1560" hidden="1" customWidth="1"/>
    <col min="10" max="10" width="9.85546875" style="1560" hidden="1" customWidth="1"/>
    <col min="11" max="11" width="11.42578125" style="1560" hidden="1" customWidth="1"/>
    <col min="12" max="12" width="19.140625" style="1998" hidden="1" customWidth="1"/>
    <col min="13" max="14" width="12.28515625" style="2000" hidden="1" customWidth="1"/>
    <col min="15" max="15" width="23.42578125" style="2000" hidden="1" customWidth="1"/>
    <col min="16" max="16" width="3" style="2000" customWidth="1"/>
    <col min="17" max="18" width="3" style="280" customWidth="1"/>
    <col min="19" max="19" width="12" style="2001" customWidth="1"/>
    <col min="20" max="20" width="31" style="1560" customWidth="1"/>
    <col min="21" max="21" width="0.140625" style="1560" customWidth="1"/>
    <col min="22" max="22" width="24.7109375" style="1560" hidden="1" customWidth="1"/>
    <col min="23" max="23" width="0.140625" style="1560" hidden="1" customWidth="1"/>
    <col min="24" max="25" width="24.7109375" style="1560" hidden="1" customWidth="1"/>
    <col min="26" max="26" width="11.7109375" style="1560" hidden="1" customWidth="1"/>
    <col min="27" max="27" width="3.7109375" style="1560" hidden="1" customWidth="1"/>
    <col min="28" max="28" width="11.7109375" style="1560" hidden="1" customWidth="1"/>
    <col min="29" max="29" width="8.5703125" style="1560" hidden="1" customWidth="1"/>
    <col min="30" max="30" width="24.7109375" style="1560" customWidth="1"/>
    <col min="31" max="31" width="0.140625" style="1560" customWidth="1"/>
    <col min="32" max="33" width="24" style="1560" customWidth="1"/>
    <col min="34" max="34" width="11" style="1560" customWidth="1"/>
    <col min="35" max="35" width="3.7109375" style="1560" customWidth="1"/>
    <col min="36" max="36" width="11" style="1560" customWidth="1"/>
    <col min="37" max="37" width="8.5703125" style="1560" hidden="1" customWidth="1"/>
    <col min="38" max="38" width="4" style="1560" customWidth="1"/>
    <col min="39" max="39" width="115" style="1560" customWidth="1"/>
    <col min="40" max="44" width="10" style="1567" customWidth="1"/>
    <col min="45" max="45" width="10.5703125" style="1560" hidden="1"/>
  </cols>
  <sheetData>
    <row r="1" spans="1:45" ht="22.5" hidden="1" customHeight="1">
      <c r="AS1" s="1556" t="s">
        <v>14</v>
      </c>
    </row>
    <row r="2" spans="1:45" ht="21" hidden="1" customHeight="1">
      <c r="A2" s="1192"/>
      <c r="B2" s="1192"/>
      <c r="C2" s="1192"/>
      <c r="D2" s="1192"/>
      <c r="E2" s="2210">
        <v>1</v>
      </c>
      <c r="F2" s="1192"/>
      <c r="G2" s="1192"/>
      <c r="H2" s="1192"/>
      <c r="I2" s="1192"/>
      <c r="J2" s="1192"/>
      <c r="K2" s="1192"/>
      <c r="L2" s="1235"/>
      <c r="M2" s="1535"/>
      <c r="N2" s="1535"/>
      <c r="O2" s="1535"/>
      <c r="P2" s="1515"/>
      <c r="Q2" s="295"/>
      <c r="R2" s="290"/>
      <c r="S2" s="1879" t="e">
        <f>INDEX(PT_DIFFERENTIATION_NUM_NTAR,MATCH(A2,PT_DIFFERENTIATION_NTAR_ID,0))</f>
        <v>#N/A</v>
      </c>
      <c r="T2" s="1450" t="s">
        <v>124</v>
      </c>
      <c r="U2" s="236"/>
      <c r="V2" s="2172"/>
      <c r="W2" s="2173"/>
      <c r="X2" s="2173"/>
      <c r="Y2" s="2173"/>
      <c r="Z2" s="2173"/>
      <c r="AA2" s="2173"/>
      <c r="AB2" s="2173"/>
      <c r="AC2" s="2174"/>
      <c r="AD2" s="2172" t="e">
        <f>INDEX(PT_DIFFERENTIATION_NTAR,MATCH(A2,PT_DIFFERENTIATION_NTAR_ID,0))</f>
        <v>#N/A</v>
      </c>
      <c r="AE2" s="2173"/>
      <c r="AF2" s="2173"/>
      <c r="AG2" s="2173"/>
      <c r="AH2" s="2173"/>
      <c r="AI2" s="2173"/>
      <c r="AJ2" s="2173"/>
      <c r="AK2" s="2173"/>
      <c r="AL2" s="2174"/>
      <c r="AM2" s="1183" t="s">
        <v>395</v>
      </c>
      <c r="AO2" s="1549"/>
      <c r="AP2" s="1549" t="str">
        <f t="shared" ref="AP2:AP15" si="0">IF(T2="","",T2)</f>
        <v>Наименование тарифа</v>
      </c>
      <c r="AQ2" s="1549"/>
      <c r="AR2" s="1549"/>
      <c r="AS2" s="1556">
        <v>0</v>
      </c>
    </row>
    <row r="3" spans="1:45" ht="21" hidden="1" customHeight="1">
      <c r="A3" s="1192"/>
      <c r="B3" s="1192"/>
      <c r="C3" s="1192"/>
      <c r="D3" s="1192"/>
      <c r="E3" s="2211"/>
      <c r="F3" s="2210">
        <v>1</v>
      </c>
      <c r="G3" s="1192"/>
      <c r="H3" s="1192"/>
      <c r="I3" s="1192"/>
      <c r="J3" s="1192"/>
      <c r="K3" s="1192"/>
      <c r="L3" s="1235"/>
      <c r="M3" s="1535"/>
      <c r="N3" s="1535"/>
      <c r="O3" s="1535"/>
      <c r="P3" s="1861"/>
      <c r="Q3" s="287"/>
      <c r="R3" s="288"/>
      <c r="S3" s="1879" t="e">
        <f>INDEX(PT_DIFFERENTIATION_NUM_TER,MATCH(B3,PT_DIFFERENTIATION_TER_ID,0))</f>
        <v>#N/A</v>
      </c>
      <c r="T3" s="1447" t="s">
        <v>396</v>
      </c>
      <c r="U3" s="236"/>
      <c r="V3" s="2172"/>
      <c r="W3" s="2173"/>
      <c r="X3" s="2173"/>
      <c r="Y3" s="2173"/>
      <c r="Z3" s="2173"/>
      <c r="AA3" s="2173"/>
      <c r="AB3" s="2173"/>
      <c r="AC3" s="2174"/>
      <c r="AD3" s="2172" t="e">
        <f>INDEX(PT_DIFFERENTIATION_TER,MATCH(B3,PT_DIFFERENTIATION_TER_ID,0))</f>
        <v>#N/A</v>
      </c>
      <c r="AE3" s="2173"/>
      <c r="AF3" s="2173"/>
      <c r="AG3" s="2173"/>
      <c r="AH3" s="2173"/>
      <c r="AI3" s="2173"/>
      <c r="AJ3" s="2173"/>
      <c r="AK3" s="2173"/>
      <c r="AL3" s="2174"/>
      <c r="AM3" s="1183" t="s">
        <v>397</v>
      </c>
      <c r="AO3" s="1549"/>
      <c r="AP3" s="1549" t="str">
        <f t="shared" si="0"/>
        <v>Территория действия тарифа</v>
      </c>
      <c r="AQ3" s="1549"/>
      <c r="AR3" s="1549"/>
      <c r="AS3" s="1556">
        <v>0</v>
      </c>
    </row>
    <row r="4" spans="1:45" ht="23.25" hidden="1" customHeight="1">
      <c r="A4" s="1192"/>
      <c r="B4" s="1192"/>
      <c r="C4" s="1192"/>
      <c r="D4" s="1192"/>
      <c r="E4" s="2211"/>
      <c r="F4" s="2211"/>
      <c r="G4" s="2210">
        <v>1</v>
      </c>
      <c r="H4" s="1192"/>
      <c r="I4" s="1192"/>
      <c r="J4" s="1192"/>
      <c r="K4" s="1192"/>
      <c r="L4" s="1235"/>
      <c r="M4" s="1535"/>
      <c r="N4" s="1535"/>
      <c r="O4" s="1535"/>
      <c r="P4" s="289"/>
      <c r="Q4" s="287"/>
      <c r="R4" s="288"/>
      <c r="S4" s="1879" t="e">
        <f>INDEX(PT_DIFFERENTIATION_NUM_CS,MATCH(C4,PT_DIFFERENTIATION_CS_ID,0))</f>
        <v>#N/A</v>
      </c>
      <c r="T4" s="245" t="s">
        <v>398</v>
      </c>
      <c r="U4" s="236"/>
      <c r="V4" s="2172"/>
      <c r="W4" s="2173"/>
      <c r="X4" s="2173"/>
      <c r="Y4" s="2173"/>
      <c r="Z4" s="2173"/>
      <c r="AA4" s="2173"/>
      <c r="AB4" s="2173"/>
      <c r="AC4" s="2174"/>
      <c r="AD4" s="2172" t="e">
        <f>INDEX(PT_DIFFERENTIATION_CS,MATCH(C4,PT_DIFFERENTIATION_CS_ID,0))</f>
        <v>#N/A</v>
      </c>
      <c r="AE4" s="2173"/>
      <c r="AF4" s="2173"/>
      <c r="AG4" s="2173"/>
      <c r="AH4" s="2173"/>
      <c r="AI4" s="2173"/>
      <c r="AJ4" s="2173"/>
      <c r="AK4" s="2173"/>
      <c r="AL4" s="2174"/>
      <c r="AM4" s="1183" t="s">
        <v>399</v>
      </c>
      <c r="AO4" s="1549"/>
      <c r="AP4" s="1549" t="str">
        <f t="shared" si="0"/>
        <v xml:space="preserve">Наименование системы теплоснабжения </v>
      </c>
      <c r="AQ4" s="1549"/>
      <c r="AR4" s="1549"/>
      <c r="AS4" s="1556">
        <v>0</v>
      </c>
    </row>
    <row r="5" spans="1:45" ht="21" hidden="1" customHeight="1">
      <c r="A5" s="1192"/>
      <c r="B5" s="1192"/>
      <c r="C5" s="1192"/>
      <c r="D5" s="1192"/>
      <c r="E5" s="2211"/>
      <c r="F5" s="2211"/>
      <c r="G5" s="2211"/>
      <c r="H5" s="2210">
        <v>1</v>
      </c>
      <c r="I5" s="1192"/>
      <c r="J5" s="1192"/>
      <c r="K5" s="1192"/>
      <c r="L5" s="1235"/>
      <c r="M5" s="1535"/>
      <c r="N5" s="1535"/>
      <c r="O5" s="1535"/>
      <c r="P5" s="289"/>
      <c r="Q5" s="287"/>
      <c r="R5" s="288"/>
      <c r="S5" s="1879" t="e">
        <f>INDEX(PT_DIFFERENTIATION_NUM_IST_TE,MATCH(D5,PT_DIFFERENTIATION_IST_TE_ID,0))</f>
        <v>#N/A</v>
      </c>
      <c r="T5" s="246" t="s">
        <v>400</v>
      </c>
      <c r="U5" s="236"/>
      <c r="V5" s="2172"/>
      <c r="W5" s="2173"/>
      <c r="X5" s="2173"/>
      <c r="Y5" s="2173"/>
      <c r="Z5" s="2173"/>
      <c r="AA5" s="2173"/>
      <c r="AB5" s="2173"/>
      <c r="AC5" s="2174"/>
      <c r="AD5" s="2172" t="e">
        <f>INDEX(PT_DIFFERENTIATION_IST_TE,MATCH(D5,PT_DIFFERENTIATION_IST_TE_ID,0))</f>
        <v>#N/A</v>
      </c>
      <c r="AE5" s="2173"/>
      <c r="AF5" s="2173"/>
      <c r="AG5" s="2173"/>
      <c r="AH5" s="2173"/>
      <c r="AI5" s="2173"/>
      <c r="AJ5" s="2173"/>
      <c r="AK5" s="2173"/>
      <c r="AL5" s="2174"/>
      <c r="AM5" s="1183" t="s">
        <v>401</v>
      </c>
      <c r="AO5" s="1549"/>
      <c r="AP5" s="1549" t="str">
        <f t="shared" si="0"/>
        <v xml:space="preserve">Источник тепловой энергии  </v>
      </c>
      <c r="AQ5" s="1549"/>
      <c r="AR5" s="1549"/>
      <c r="AS5" s="1556">
        <v>0</v>
      </c>
    </row>
    <row r="6" spans="1:45" ht="47.25" hidden="1" customHeight="1">
      <c r="A6" s="1192"/>
      <c r="B6" s="1192"/>
      <c r="C6" s="1192"/>
      <c r="D6" s="1192"/>
      <c r="E6" s="2211"/>
      <c r="F6" s="2211"/>
      <c r="G6" s="2211"/>
      <c r="H6" s="2211"/>
      <c r="I6" s="2066" t="e">
        <f>S5&amp;".1"</f>
        <v>#N/A</v>
      </c>
      <c r="J6" s="1192"/>
      <c r="K6" s="1192"/>
      <c r="L6" s="1235" t="s">
        <v>402</v>
      </c>
      <c r="M6" s="1560"/>
      <c r="P6" s="2185">
        <v>1</v>
      </c>
      <c r="Q6" s="1875"/>
      <c r="R6" s="291"/>
      <c r="S6" s="1879" t="e">
        <f>$I6</f>
        <v>#N/A</v>
      </c>
      <c r="T6" s="221" t="s">
        <v>403</v>
      </c>
      <c r="U6" s="236"/>
      <c r="V6" s="2175"/>
      <c r="W6" s="2176"/>
      <c r="X6" s="2176"/>
      <c r="Y6" s="2176"/>
      <c r="Z6" s="2176"/>
      <c r="AA6" s="2176"/>
      <c r="AB6" s="2176"/>
      <c r="AC6" s="2177"/>
      <c r="AD6" s="2175"/>
      <c r="AE6" s="2176"/>
      <c r="AF6" s="2176"/>
      <c r="AG6" s="2176"/>
      <c r="AH6" s="2176"/>
      <c r="AI6" s="2176"/>
      <c r="AJ6" s="2176"/>
      <c r="AK6" s="2176"/>
      <c r="AL6" s="2177"/>
      <c r="AM6" s="1183" t="s">
        <v>404</v>
      </c>
      <c r="AO6" s="1549"/>
      <c r="AP6" s="1549" t="str">
        <f t="shared" si="0"/>
        <v>Схема подключения теплопотребляющей установки к коллектору источника тепловой энергии</v>
      </c>
      <c r="AQ6" s="1549"/>
      <c r="AR6" s="1549"/>
      <c r="AS6" s="1556">
        <v>0</v>
      </c>
    </row>
    <row r="7" spans="1:45" ht="21" hidden="1" customHeight="1">
      <c r="A7" s="1192"/>
      <c r="B7" s="1192"/>
      <c r="C7" s="1192"/>
      <c r="D7" s="1192"/>
      <c r="E7" s="2211"/>
      <c r="F7" s="2211"/>
      <c r="G7" s="2211"/>
      <c r="H7" s="2211"/>
      <c r="I7" s="2038"/>
      <c r="J7" s="2066" t="e">
        <f>I6&amp;".1"</f>
        <v>#N/A</v>
      </c>
      <c r="K7" s="1192"/>
      <c r="L7" s="1235" t="s">
        <v>405</v>
      </c>
      <c r="M7" s="1560"/>
      <c r="N7" s="1556"/>
      <c r="P7" s="2185"/>
      <c r="Q7" s="2185">
        <v>1</v>
      </c>
      <c r="R7" s="292"/>
      <c r="S7" s="1879" t="e">
        <f>$J7</f>
        <v>#N/A</v>
      </c>
      <c r="T7" s="222" t="s">
        <v>406</v>
      </c>
      <c r="U7" s="236"/>
      <c r="V7" s="2175"/>
      <c r="W7" s="2176"/>
      <c r="X7" s="2176"/>
      <c r="Y7" s="2176"/>
      <c r="Z7" s="2176"/>
      <c r="AA7" s="2176"/>
      <c r="AB7" s="2176"/>
      <c r="AC7" s="2177"/>
      <c r="AD7" s="2175"/>
      <c r="AE7" s="2176"/>
      <c r="AF7" s="2176"/>
      <c r="AG7" s="2176"/>
      <c r="AH7" s="2176"/>
      <c r="AI7" s="2176"/>
      <c r="AJ7" s="2176"/>
      <c r="AK7" s="2176"/>
      <c r="AL7" s="2177"/>
      <c r="AM7" s="1183" t="s">
        <v>407</v>
      </c>
      <c r="AO7" s="1549"/>
      <c r="AP7" s="1549" t="str">
        <f t="shared" si="0"/>
        <v>Группа потребителей</v>
      </c>
      <c r="AQ7" s="1549"/>
      <c r="AR7" s="1549"/>
      <c r="AS7" s="1556">
        <v>0</v>
      </c>
    </row>
    <row r="8" spans="1:45" ht="21" hidden="1" customHeight="1">
      <c r="A8" s="1192"/>
      <c r="B8" s="1192"/>
      <c r="C8" s="1192"/>
      <c r="D8" s="1192"/>
      <c r="E8" s="2211"/>
      <c r="F8" s="2211"/>
      <c r="G8" s="2211"/>
      <c r="H8" s="2211"/>
      <c r="I8" s="2038"/>
      <c r="J8" s="2038"/>
      <c r="K8" s="2066" t="e">
        <f>J7&amp;".1"</f>
        <v>#N/A</v>
      </c>
      <c r="L8" s="1235" t="s">
        <v>408</v>
      </c>
      <c r="M8" s="1560"/>
      <c r="N8" s="1556"/>
      <c r="O8" s="1556"/>
      <c r="P8" s="2185"/>
      <c r="Q8" s="2185"/>
      <c r="R8" s="292">
        <v>1</v>
      </c>
      <c r="S8" s="1879" t="e">
        <f>$K8</f>
        <v>#N/A</v>
      </c>
      <c r="T8" s="1272"/>
      <c r="U8" s="236"/>
      <c r="V8" s="686"/>
      <c r="W8" s="261"/>
      <c r="X8" s="686"/>
      <c r="Y8" s="1182"/>
      <c r="Z8" s="2189"/>
      <c r="AA8" s="2047" t="s">
        <v>66</v>
      </c>
      <c r="AB8" s="2189"/>
      <c r="AC8" s="2047" t="s">
        <v>66</v>
      </c>
      <c r="AD8" s="686"/>
      <c r="AE8" s="261"/>
      <c r="AF8" s="686"/>
      <c r="AG8" s="1182"/>
      <c r="AH8" s="2189"/>
      <c r="AI8" s="2047" t="s">
        <v>66</v>
      </c>
      <c r="AJ8" s="2189"/>
      <c r="AK8" s="2047" t="s">
        <v>66</v>
      </c>
      <c r="AL8" s="261"/>
      <c r="AM8" s="2181" t="s">
        <v>409</v>
      </c>
      <c r="AN8" s="1561" t="e">
        <f ca="1">STRCHECKDATE(V9:AL9)</f>
        <v>#NAME?</v>
      </c>
      <c r="AO8" s="1549"/>
      <c r="AP8" s="1549" t="str">
        <f t="shared" si="0"/>
        <v/>
      </c>
      <c r="AQ8" s="1549"/>
      <c r="AR8" s="1549"/>
      <c r="AS8" s="1556">
        <v>0</v>
      </c>
    </row>
    <row r="9" spans="1:45" ht="0.75" hidden="1" customHeight="1">
      <c r="A9" s="1192"/>
      <c r="B9" s="1192"/>
      <c r="C9" s="1192"/>
      <c r="D9" s="1192"/>
      <c r="E9" s="2211"/>
      <c r="F9" s="2211"/>
      <c r="G9" s="2211"/>
      <c r="H9" s="2211"/>
      <c r="I9" s="2038"/>
      <c r="J9" s="2038"/>
      <c r="K9" s="2066"/>
      <c r="L9" s="1235"/>
      <c r="M9" s="1560"/>
      <c r="N9" s="1556"/>
      <c r="O9" s="1556"/>
      <c r="P9" s="2185"/>
      <c r="Q9" s="2185"/>
      <c r="R9" s="292"/>
      <c r="S9" s="1888"/>
      <c r="T9" s="236"/>
      <c r="U9" s="236"/>
      <c r="V9" s="261"/>
      <c r="W9" s="261"/>
      <c r="X9" s="261"/>
      <c r="Y9" s="264" t="str">
        <f>Z8&amp;"-"&amp;AB8</f>
        <v>-</v>
      </c>
      <c r="Z9" s="2190"/>
      <c r="AA9" s="2047"/>
      <c r="AB9" s="2190"/>
      <c r="AC9" s="2047"/>
      <c r="AD9" s="261"/>
      <c r="AE9" s="261"/>
      <c r="AF9" s="261"/>
      <c r="AG9" s="264" t="str">
        <f>AH8&amp;"-"&amp;AJ8</f>
        <v>-</v>
      </c>
      <c r="AH9" s="2190"/>
      <c r="AI9" s="2047"/>
      <c r="AJ9" s="2190"/>
      <c r="AK9" s="2047"/>
      <c r="AL9" s="261"/>
      <c r="AM9" s="2182"/>
      <c r="AO9" s="1549"/>
      <c r="AP9" s="1549" t="str">
        <f t="shared" si="0"/>
        <v/>
      </c>
      <c r="AQ9" s="1549"/>
      <c r="AR9" s="1549"/>
      <c r="AS9" s="1556">
        <v>0</v>
      </c>
    </row>
    <row r="10" spans="1:45" ht="15" hidden="1" customHeight="1">
      <c r="A10" s="1192"/>
      <c r="B10" s="1192"/>
      <c r="C10" s="1192"/>
      <c r="D10" s="1192"/>
      <c r="E10" s="2211"/>
      <c r="F10" s="2211"/>
      <c r="G10" s="2211"/>
      <c r="H10" s="2211"/>
      <c r="I10" s="2038"/>
      <c r="J10" s="2066"/>
      <c r="K10" s="1192"/>
      <c r="L10" s="1235"/>
      <c r="M10" s="1560"/>
      <c r="N10" s="1556"/>
      <c r="P10" s="2185"/>
      <c r="Q10" s="2185"/>
      <c r="R10" s="291"/>
      <c r="S10" s="1203"/>
      <c r="T10" s="224" t="s">
        <v>410</v>
      </c>
      <c r="U10" s="535"/>
      <c r="V10" s="535"/>
      <c r="W10" s="535"/>
      <c r="X10" s="535"/>
      <c r="Y10" s="535"/>
      <c r="Z10" s="535"/>
      <c r="AA10" s="535"/>
      <c r="AB10" s="535"/>
      <c r="AC10" s="535"/>
      <c r="AD10" s="535"/>
      <c r="AE10" s="535"/>
      <c r="AF10" s="535"/>
      <c r="AG10" s="535"/>
      <c r="AH10" s="535"/>
      <c r="AI10" s="535"/>
      <c r="AJ10" s="535"/>
      <c r="AK10" s="535"/>
      <c r="AL10" s="260"/>
      <c r="AM10" s="2183"/>
      <c r="AO10" s="1549"/>
      <c r="AP10" s="1549" t="str">
        <f t="shared" si="0"/>
        <v>Добавить вид теплоносителя (параметры теплоносителя)</v>
      </c>
      <c r="AQ10" s="1549"/>
      <c r="AR10" s="1549"/>
      <c r="AS10" s="1556">
        <v>0</v>
      </c>
    </row>
    <row r="11" spans="1:45" ht="15" hidden="1" customHeight="1">
      <c r="A11" s="1192"/>
      <c r="B11" s="1192"/>
      <c r="C11" s="1192"/>
      <c r="D11" s="1192"/>
      <c r="E11" s="2211"/>
      <c r="F11" s="2211"/>
      <c r="G11" s="2211"/>
      <c r="H11" s="2211"/>
      <c r="I11" s="2066"/>
      <c r="J11" s="1192"/>
      <c r="K11" s="1192"/>
      <c r="L11" s="1235"/>
      <c r="M11" s="1560"/>
      <c r="P11" s="2185"/>
      <c r="Q11" s="1875"/>
      <c r="R11" s="291"/>
      <c r="S11" s="1203"/>
      <c r="T11" s="223" t="s">
        <v>411</v>
      </c>
      <c r="U11" s="535"/>
      <c r="V11" s="535"/>
      <c r="W11" s="535"/>
      <c r="X11" s="535"/>
      <c r="Y11" s="535"/>
      <c r="Z11" s="535"/>
      <c r="AA11" s="535"/>
      <c r="AB11" s="535"/>
      <c r="AC11" s="301"/>
      <c r="AD11" s="535"/>
      <c r="AE11" s="535"/>
      <c r="AF11" s="535"/>
      <c r="AG11" s="535"/>
      <c r="AH11" s="535"/>
      <c r="AI11" s="535"/>
      <c r="AJ11" s="535"/>
      <c r="AK11" s="301"/>
      <c r="AL11" s="535"/>
      <c r="AM11" s="239"/>
      <c r="AO11" s="1549"/>
      <c r="AP11" s="1549" t="str">
        <f t="shared" si="0"/>
        <v>Добавить группу потребителей</v>
      </c>
      <c r="AQ11" s="1549"/>
      <c r="AR11" s="1549"/>
      <c r="AS11" s="1556">
        <v>0</v>
      </c>
    </row>
    <row r="12" spans="1:45" ht="14.25" hidden="1" customHeight="1">
      <c r="A12" s="1192"/>
      <c r="B12" s="1192"/>
      <c r="C12" s="1192"/>
      <c r="D12" s="1192"/>
      <c r="E12" s="2211"/>
      <c r="F12" s="2211"/>
      <c r="G12" s="2211"/>
      <c r="H12" s="2210"/>
      <c r="I12" s="1192"/>
      <c r="J12" s="1192"/>
      <c r="K12" s="1192"/>
      <c r="L12" s="1235"/>
      <c r="M12" s="1535"/>
      <c r="N12" s="1535"/>
      <c r="O12" s="1560"/>
      <c r="P12" s="295"/>
      <c r="Q12" s="310"/>
      <c r="R12" s="290"/>
      <c r="S12" s="1203"/>
      <c r="T12" s="300" t="s">
        <v>412</v>
      </c>
      <c r="U12" s="535"/>
      <c r="V12" s="535"/>
      <c r="W12" s="535"/>
      <c r="X12" s="535"/>
      <c r="Y12" s="535"/>
      <c r="Z12" s="535"/>
      <c r="AA12" s="535"/>
      <c r="AB12" s="535"/>
      <c r="AC12" s="301"/>
      <c r="AD12" s="535"/>
      <c r="AE12" s="535"/>
      <c r="AF12" s="535"/>
      <c r="AG12" s="535"/>
      <c r="AH12" s="535"/>
      <c r="AI12" s="535"/>
      <c r="AJ12" s="535"/>
      <c r="AK12" s="301"/>
      <c r="AL12" s="535"/>
      <c r="AM12" s="239"/>
      <c r="AO12" s="1549"/>
      <c r="AP12" s="1549" t="str">
        <f t="shared" si="0"/>
        <v>Добавить схему подключения</v>
      </c>
      <c r="AQ12" s="1549"/>
      <c r="AR12" s="1549"/>
      <c r="AS12" s="1556">
        <v>0</v>
      </c>
    </row>
    <row r="13" spans="1:45" s="1567" customFormat="1" ht="0.75" hidden="1" customHeight="1">
      <c r="A13" s="1895"/>
      <c r="B13" s="1895"/>
      <c r="C13" s="1895"/>
      <c r="D13" s="1895"/>
      <c r="E13" s="2211"/>
      <c r="F13" s="2211"/>
      <c r="G13" s="2210"/>
      <c r="H13" s="1895"/>
      <c r="I13" s="1895"/>
      <c r="J13" s="1895"/>
      <c r="K13" s="1895"/>
      <c r="L13" s="1305"/>
      <c r="M13" s="1535"/>
      <c r="N13" s="1535"/>
      <c r="O13" s="1560"/>
      <c r="P13" s="1241"/>
      <c r="Q13" s="1242"/>
      <c r="R13" s="1241"/>
      <c r="S13" s="1243"/>
      <c r="T13" s="1244" t="s">
        <v>413</v>
      </c>
      <c r="U13" s="1245"/>
      <c r="V13" s="1245"/>
      <c r="W13" s="1245"/>
      <c r="X13" s="1245"/>
      <c r="Y13" s="1245"/>
      <c r="Z13" s="1245"/>
      <c r="AA13" s="1245"/>
      <c r="AB13" s="1245"/>
      <c r="AC13" s="1245"/>
      <c r="AD13" s="1245"/>
      <c r="AE13" s="1245"/>
      <c r="AF13" s="1245"/>
      <c r="AG13" s="1245"/>
      <c r="AH13" s="1245"/>
      <c r="AI13" s="1245"/>
      <c r="AJ13" s="1245"/>
      <c r="AK13" s="1245"/>
      <c r="AL13" s="1245"/>
      <c r="AM13" s="1245"/>
      <c r="AO13" s="1176"/>
      <c r="AP13" s="1176" t="str">
        <f t="shared" si="0"/>
        <v>Добавить источник для дифференциации</v>
      </c>
      <c r="AQ13" s="1176"/>
      <c r="AR13" s="1176"/>
      <c r="AS13" s="1567">
        <v>0</v>
      </c>
    </row>
    <row r="14" spans="1:45" s="1567" customFormat="1" ht="0.75" hidden="1" customHeight="1">
      <c r="A14" s="1895"/>
      <c r="B14" s="1895"/>
      <c r="C14" s="1895"/>
      <c r="D14" s="1895"/>
      <c r="E14" s="2211"/>
      <c r="F14" s="2210"/>
      <c r="G14" s="1895"/>
      <c r="H14" s="1895"/>
      <c r="I14" s="1895"/>
      <c r="J14" s="1895"/>
      <c r="K14" s="1895"/>
      <c r="L14" s="1305"/>
      <c r="M14" s="1896"/>
      <c r="N14" s="1896"/>
      <c r="O14" s="1560"/>
      <c r="P14" s="1241"/>
      <c r="Q14" s="1242"/>
      <c r="R14" s="1241"/>
      <c r="S14" s="1247"/>
      <c r="T14" s="1248" t="s">
        <v>414</v>
      </c>
      <c r="U14" s="1249"/>
      <c r="V14" s="1249"/>
      <c r="W14" s="1249"/>
      <c r="X14" s="1249"/>
      <c r="Y14" s="1249"/>
      <c r="Z14" s="1249"/>
      <c r="AA14" s="1249"/>
      <c r="AB14" s="1249"/>
      <c r="AC14" s="1249"/>
      <c r="AD14" s="1249"/>
      <c r="AE14" s="1249"/>
      <c r="AF14" s="1249"/>
      <c r="AG14" s="1249"/>
      <c r="AH14" s="1249"/>
      <c r="AI14" s="1249"/>
      <c r="AJ14" s="1249"/>
      <c r="AK14" s="1249"/>
      <c r="AL14" s="1249"/>
      <c r="AM14" s="1249"/>
      <c r="AO14" s="1176"/>
      <c r="AP14" s="1176" t="str">
        <f t="shared" si="0"/>
        <v>Добавить централизованную систему для дифференциации</v>
      </c>
      <c r="AQ14" s="1176"/>
      <c r="AR14" s="1176"/>
      <c r="AS14" s="1567">
        <v>0</v>
      </c>
    </row>
    <row r="15" spans="1:45" s="1567" customFormat="1" ht="0.75" hidden="1" customHeight="1">
      <c r="A15" s="1895"/>
      <c r="B15" s="1895"/>
      <c r="C15" s="1895"/>
      <c r="D15" s="1895"/>
      <c r="E15" s="2210"/>
      <c r="F15" s="1895"/>
      <c r="G15" s="1895"/>
      <c r="H15" s="1895"/>
      <c r="I15" s="1895"/>
      <c r="J15" s="1895"/>
      <c r="K15" s="1895"/>
      <c r="L15" s="1305"/>
      <c r="M15" s="1896"/>
      <c r="N15" s="1896"/>
      <c r="O15" s="1560"/>
      <c r="P15" s="1241"/>
      <c r="Q15" s="1242"/>
      <c r="R15" s="1241"/>
      <c r="S15" s="1247"/>
      <c r="T15" s="1250" t="s">
        <v>415</v>
      </c>
      <c r="U15" s="1249"/>
      <c r="V15" s="1249"/>
      <c r="W15" s="1249"/>
      <c r="X15" s="1249"/>
      <c r="Y15" s="1249"/>
      <c r="Z15" s="1249"/>
      <c r="AA15" s="1249"/>
      <c r="AB15" s="1249"/>
      <c r="AC15" s="1249"/>
      <c r="AD15" s="1249"/>
      <c r="AE15" s="1249"/>
      <c r="AF15" s="1249"/>
      <c r="AG15" s="1249"/>
      <c r="AH15" s="1249"/>
      <c r="AI15" s="1249"/>
      <c r="AJ15" s="1249"/>
      <c r="AK15" s="1249"/>
      <c r="AL15" s="1249"/>
      <c r="AM15" s="1249"/>
      <c r="AO15" s="1176"/>
      <c r="AP15" s="1176" t="str">
        <f t="shared" si="0"/>
        <v>Добавить территорию для дифференциации</v>
      </c>
      <c r="AQ15" s="1176"/>
      <c r="AR15" s="1176"/>
      <c r="AS15" s="1567">
        <v>0</v>
      </c>
    </row>
    <row r="16" spans="1:45" ht="14.25" hidden="1" customHeight="1">
      <c r="AS16" s="1556">
        <v>0</v>
      </c>
    </row>
    <row r="17" spans="1:45" ht="14.25" hidden="1" customHeight="1">
      <c r="AD17" s="1285"/>
      <c r="AE17" s="1285"/>
      <c r="AF17" s="1285"/>
      <c r="AG17" s="1286"/>
      <c r="AH17" s="2191"/>
      <c r="AI17" s="2192" t="s">
        <v>66</v>
      </c>
      <c r="AJ17" s="2191"/>
      <c r="AK17" s="2192" t="s">
        <v>66</v>
      </c>
      <c r="AS17" s="1556">
        <v>0</v>
      </c>
    </row>
    <row r="18" spans="1:45" ht="14.25" hidden="1" customHeight="1">
      <c r="AD18" s="1285"/>
      <c r="AE18" s="1285"/>
      <c r="AF18" s="1285"/>
      <c r="AG18" s="264" t="str">
        <f>AH17&amp;"-"&amp;AJ17</f>
        <v>-</v>
      </c>
      <c r="AH18" s="2192"/>
      <c r="AI18" s="2192"/>
      <c r="AJ18" s="2192"/>
      <c r="AK18" s="2192"/>
      <c r="AS18" s="1556">
        <v>0</v>
      </c>
    </row>
    <row r="19" spans="1:45" ht="14.25" hidden="1" customHeight="1">
      <c r="AS19" s="1556">
        <v>0</v>
      </c>
    </row>
    <row r="20" spans="1:45" s="1291" customFormat="1" ht="14.25" hidden="1" customHeight="1">
      <c r="A20" s="1556"/>
      <c r="B20" s="1556"/>
      <c r="C20" s="1556"/>
      <c r="D20" s="1556"/>
      <c r="E20" s="1556"/>
      <c r="F20" s="1556"/>
      <c r="G20" s="1556"/>
      <c r="H20" s="1556"/>
      <c r="I20" s="1556"/>
      <c r="J20" s="1556"/>
      <c r="K20" s="1556"/>
      <c r="L20" s="1860"/>
      <c r="M20" s="1886"/>
      <c r="N20" s="1886"/>
      <c r="O20" s="1270" t="s">
        <v>416</v>
      </c>
      <c r="P20" s="1287"/>
      <c r="Q20" s="1296"/>
      <c r="R20" s="1296"/>
      <c r="S20" s="664"/>
      <c r="Z20" s="1292"/>
      <c r="AB20" s="1292"/>
      <c r="AH20" s="1292"/>
      <c r="AJ20" s="1292"/>
      <c r="AN20" s="1561"/>
      <c r="AO20" s="1561"/>
      <c r="AP20" s="1561"/>
      <c r="AQ20" s="1561"/>
      <c r="AR20" s="1561"/>
      <c r="AS20" s="1291">
        <v>0</v>
      </c>
    </row>
    <row r="21" spans="1:45" s="1291" customFormat="1" ht="14.25" hidden="1" customHeight="1">
      <c r="A21" s="1556"/>
      <c r="B21" s="1556"/>
      <c r="C21" s="1556"/>
      <c r="D21" s="1556"/>
      <c r="E21" s="1556"/>
      <c r="F21" s="1556"/>
      <c r="G21" s="1556"/>
      <c r="H21" s="1556"/>
      <c r="I21" s="1556"/>
      <c r="J21" s="1556"/>
      <c r="K21" s="1556"/>
      <c r="L21" s="1860"/>
      <c r="M21" s="1886"/>
      <c r="N21" s="1886"/>
      <c r="O21" s="1886"/>
      <c r="P21" s="1287"/>
      <c r="Q21" s="1296"/>
      <c r="R21" s="1296"/>
      <c r="S21" s="664"/>
      <c r="AN21" s="1561"/>
      <c r="AO21" s="1561"/>
      <c r="AP21" s="1561"/>
      <c r="AQ21" s="1561"/>
      <c r="AR21" s="1561"/>
      <c r="AS21" s="1291">
        <v>0</v>
      </c>
    </row>
    <row r="22" spans="1:45" s="1291" customFormat="1" ht="14.25" hidden="1" customHeight="1">
      <c r="A22" s="1556"/>
      <c r="B22" s="1556"/>
      <c r="C22" s="1556"/>
      <c r="D22" s="1556"/>
      <c r="E22" s="1556"/>
      <c r="F22" s="1556"/>
      <c r="G22" s="1556"/>
      <c r="H22" s="1556"/>
      <c r="I22" s="1556"/>
      <c r="J22" s="1556"/>
      <c r="K22" s="1556"/>
      <c r="L22" s="1860"/>
      <c r="M22" s="1886"/>
      <c r="N22" s="1886"/>
      <c r="O22" s="1235" t="s">
        <v>417</v>
      </c>
      <c r="P22" s="1287"/>
      <c r="Q22" s="1296"/>
      <c r="R22" s="1296"/>
      <c r="S22" s="664"/>
      <c r="T22" s="1291" t="s">
        <v>418</v>
      </c>
      <c r="AA22" s="530" t="s">
        <v>419</v>
      </c>
      <c r="AC22" s="530" t="s">
        <v>420</v>
      </c>
      <c r="AD22" s="1291" t="s">
        <v>418</v>
      </c>
      <c r="AI22" s="530" t="s">
        <v>421</v>
      </c>
      <c r="AK22" s="530" t="s">
        <v>420</v>
      </c>
      <c r="AN22" s="1561"/>
      <c r="AO22" s="1561"/>
      <c r="AP22" s="1561"/>
      <c r="AQ22" s="1561"/>
      <c r="AR22" s="1561"/>
      <c r="AS22" s="1291">
        <v>0</v>
      </c>
    </row>
    <row r="23" spans="1:45" ht="14.25" hidden="1" customHeight="1">
      <c r="O23" s="1235"/>
      <c r="AS23" s="1556">
        <v>0</v>
      </c>
    </row>
    <row r="24" spans="1:45" ht="14.25" hidden="1" customHeight="1">
      <c r="O24" s="1235"/>
      <c r="AS24" s="1556">
        <v>0</v>
      </c>
    </row>
    <row r="25" spans="1:45" ht="14.65" customHeight="1">
      <c r="Q25" s="311"/>
      <c r="R25" s="311"/>
      <c r="S25" s="1200"/>
      <c r="T25" s="392"/>
      <c r="U25" s="392"/>
      <c r="AS25" s="1556">
        <v>14</v>
      </c>
    </row>
    <row r="26" spans="1:45" ht="14.65" customHeight="1">
      <c r="Q26" s="311"/>
      <c r="R26" s="311"/>
      <c r="S26" s="2170" t="str">
        <f>IF(TEMPLATE_GROUP="P",PT_P_FORM_HEAT_4_NAME_FORM,PT_R_FORM_HEAT_21_NAME_FORM)</f>
        <v>Форма 19. Информация о предложении регулируемой организации о расчетной величине тарифов в сфере теплоснабжения на очередной расчетный период регулирования</v>
      </c>
      <c r="T26" s="2170"/>
      <c r="U26" s="2170"/>
      <c r="V26" s="2170"/>
      <c r="W26" s="2170"/>
      <c r="X26" s="2170"/>
      <c r="Y26" s="2170"/>
      <c r="Z26" s="2170"/>
      <c r="AA26" s="2170"/>
      <c r="AB26" s="2170"/>
      <c r="AC26" s="2170"/>
      <c r="AD26" s="2170"/>
      <c r="AE26" s="2170"/>
      <c r="AF26" s="2170"/>
      <c r="AG26" s="2170"/>
      <c r="AH26" s="2170"/>
      <c r="AI26" s="2170"/>
      <c r="AJ26" s="2170"/>
      <c r="AK26" s="1168"/>
      <c r="AS26" s="1556">
        <v>14</v>
      </c>
    </row>
    <row r="27" spans="1:45" ht="14.65" customHeight="1">
      <c r="Q27" s="311"/>
      <c r="R27" s="311"/>
      <c r="S27" s="2115" t="str">
        <f>IF(org=0,"Не определено",org)</f>
        <v>ООО "ЗЕНИТ ЭНЕРГО"</v>
      </c>
      <c r="T27" s="2115"/>
      <c r="U27" s="2115"/>
      <c r="V27" s="2115"/>
      <c r="W27" s="2115"/>
      <c r="X27" s="2115"/>
      <c r="Y27" s="2115"/>
      <c r="Z27" s="2115"/>
      <c r="AA27" s="2115"/>
      <c r="AB27" s="2115"/>
      <c r="AC27" s="2115"/>
      <c r="AD27" s="2115"/>
      <c r="AE27" s="2115"/>
      <c r="AF27" s="2115"/>
      <c r="AG27" s="2115"/>
      <c r="AH27" s="2115"/>
      <c r="AI27" s="2115"/>
      <c r="AJ27" s="2115"/>
      <c r="AK27" s="1168"/>
      <c r="AS27" s="1556">
        <v>14</v>
      </c>
    </row>
    <row r="28" spans="1:45" ht="14.25" hidden="1" customHeight="1">
      <c r="Q28" s="311"/>
      <c r="R28" s="311"/>
      <c r="S28" s="1200"/>
      <c r="T28" s="392"/>
      <c r="U28" s="392"/>
      <c r="V28" s="258"/>
      <c r="W28" s="258"/>
      <c r="X28" s="258"/>
      <c r="Y28" s="258"/>
      <c r="Z28" s="258"/>
      <c r="AA28" s="258"/>
      <c r="AB28" s="258"/>
      <c r="AC28" s="258"/>
      <c r="AD28" s="258"/>
      <c r="AE28" s="258"/>
      <c r="AF28" s="258"/>
      <c r="AG28" s="258"/>
      <c r="AH28" s="258"/>
      <c r="AI28" s="258"/>
      <c r="AJ28" s="258"/>
      <c r="AK28" s="258"/>
      <c r="AS28" s="1556">
        <v>0</v>
      </c>
    </row>
    <row r="29" spans="1:45" s="1777" customFormat="1" ht="25.5" hidden="1" customHeight="1">
      <c r="A29" s="1173"/>
      <c r="B29" s="1173"/>
      <c r="C29" s="1173"/>
      <c r="D29" s="1173"/>
      <c r="E29" s="1173"/>
      <c r="F29" s="1173"/>
      <c r="G29" s="1173"/>
      <c r="H29" s="1173"/>
      <c r="I29" s="1173"/>
      <c r="J29" s="1173"/>
      <c r="K29" s="1173"/>
      <c r="L29" s="1305"/>
      <c r="M29" s="1173"/>
      <c r="N29" s="1173"/>
      <c r="O29" s="1173"/>
      <c r="S29" s="2178" t="s">
        <v>42</v>
      </c>
      <c r="T29" s="2178"/>
      <c r="U29" s="1297"/>
      <c r="V29" s="2179" t="str">
        <f>IF(TITLE_NAME_OR_PR_CHANGE="",IF(TITLE_NAME_OR_PR="","",TITLE_NAME_OR_PR),TITLE_NAME_OR_PR_CHANGE)</f>
        <v/>
      </c>
      <c r="W29" s="2179"/>
      <c r="X29" s="2179"/>
      <c r="Y29" s="2179"/>
      <c r="Z29" s="2179"/>
      <c r="AA29" s="2179"/>
      <c r="AB29" s="2179"/>
      <c r="AC29" s="1560"/>
      <c r="AD29" s="2179" t="str">
        <f>IF(TITLE_NAME_OR_PR_CHANGE="",IF(TITLE_NAME_OR_PR="","",TITLE_NAME_OR_PR),TITLE_NAME_OR_PR_CHANGE)</f>
        <v/>
      </c>
      <c r="AE29" s="2179"/>
      <c r="AF29" s="2179"/>
      <c r="AG29" s="2179"/>
      <c r="AH29" s="2179"/>
      <c r="AI29" s="2179"/>
      <c r="AJ29" s="2179"/>
      <c r="AK29" s="1560"/>
      <c r="AL29" s="1560"/>
      <c r="AM29" s="216"/>
      <c r="AN29" s="303"/>
      <c r="AO29" s="303"/>
      <c r="AP29" s="303"/>
      <c r="AQ29" s="303"/>
      <c r="AR29" s="303"/>
      <c r="AS29" s="353">
        <v>0</v>
      </c>
    </row>
    <row r="30" spans="1:45" s="1777" customFormat="1" ht="18.75" hidden="1" customHeight="1">
      <c r="A30" s="1173"/>
      <c r="B30" s="1173"/>
      <c r="C30" s="1173"/>
      <c r="D30" s="1173"/>
      <c r="E30" s="1173"/>
      <c r="F30" s="1173"/>
      <c r="G30" s="1173"/>
      <c r="H30" s="1173"/>
      <c r="I30" s="1173"/>
      <c r="J30" s="1173"/>
      <c r="K30" s="1173"/>
      <c r="L30" s="1305"/>
      <c r="M30" s="1173"/>
      <c r="N30" s="1173"/>
      <c r="O30" s="1173"/>
      <c r="S30" s="2178" t="s">
        <v>422</v>
      </c>
      <c r="T30" s="2178"/>
      <c r="U30" s="1297"/>
      <c r="V30" s="2188" t="str">
        <f>IF(TITLE_DATE_PR_CHANGE="",IF(TITLE_DATE_PR="","",TITLE_DATE_PR),TITLE_DATE_PR_CHANGE)</f>
        <v/>
      </c>
      <c r="W30" s="2188"/>
      <c r="X30" s="2188"/>
      <c r="Y30" s="2188"/>
      <c r="Z30" s="2188"/>
      <c r="AA30" s="2188"/>
      <c r="AB30" s="2188"/>
      <c r="AC30" s="1560"/>
      <c r="AD30" s="2188" t="str">
        <f>IF(TITLE_DATE_PR_CHANGE="",IF(TITLE_DATE_PR="","",TITLE_DATE_PR),TITLE_DATE_PR_CHANGE)</f>
        <v/>
      </c>
      <c r="AE30" s="2188"/>
      <c r="AF30" s="2188"/>
      <c r="AG30" s="2188"/>
      <c r="AH30" s="2188"/>
      <c r="AI30" s="2188"/>
      <c r="AJ30" s="2188"/>
      <c r="AK30" s="1560"/>
      <c r="AL30" s="1560"/>
      <c r="AM30" s="216"/>
      <c r="AN30" s="303"/>
      <c r="AO30" s="303"/>
      <c r="AP30" s="303"/>
      <c r="AQ30" s="303"/>
      <c r="AR30" s="303"/>
      <c r="AS30" s="353">
        <v>0</v>
      </c>
    </row>
    <row r="31" spans="1:45" s="1777" customFormat="1" ht="18.75" hidden="1" customHeight="1">
      <c r="A31" s="1173"/>
      <c r="B31" s="1173"/>
      <c r="C31" s="1173"/>
      <c r="D31" s="1173"/>
      <c r="E31" s="1173"/>
      <c r="F31" s="1173"/>
      <c r="G31" s="1173"/>
      <c r="H31" s="1173"/>
      <c r="I31" s="1173"/>
      <c r="J31" s="1173"/>
      <c r="K31" s="1173"/>
      <c r="L31" s="1305"/>
      <c r="M31" s="1173"/>
      <c r="N31" s="1173"/>
      <c r="O31" s="1173"/>
      <c r="S31" s="2178" t="s">
        <v>423</v>
      </c>
      <c r="T31" s="2178"/>
      <c r="U31" s="1297"/>
      <c r="V31" s="2179" t="str">
        <f>IF(TITLE_NUMBER_PR_CHANGE="",IF(TITLE_NUMBER_PR="","",TITLE_NUMBER_PR),TITLE_NUMBER_PR_CHANGE)</f>
        <v/>
      </c>
      <c r="W31" s="2179"/>
      <c r="X31" s="2179"/>
      <c r="Y31" s="2179"/>
      <c r="Z31" s="2179"/>
      <c r="AA31" s="2179"/>
      <c r="AB31" s="2179"/>
      <c r="AC31" s="1560"/>
      <c r="AD31" s="2179" t="str">
        <f>IF(TITLE_NUMBER_PR_CHANGE="",IF(TITLE_NUMBER_PR="","",TITLE_NUMBER_PR),TITLE_NUMBER_PR_CHANGE)</f>
        <v/>
      </c>
      <c r="AE31" s="2179"/>
      <c r="AF31" s="2179"/>
      <c r="AG31" s="2179"/>
      <c r="AH31" s="2179"/>
      <c r="AI31" s="2179"/>
      <c r="AJ31" s="2179"/>
      <c r="AK31" s="1560"/>
      <c r="AL31" s="1560"/>
      <c r="AM31" s="216"/>
      <c r="AN31" s="303"/>
      <c r="AO31" s="303"/>
      <c r="AP31" s="303"/>
      <c r="AQ31" s="303"/>
      <c r="AR31" s="303"/>
      <c r="AS31" s="353">
        <v>0</v>
      </c>
    </row>
    <row r="32" spans="1:45" s="1777" customFormat="1" ht="18.75" hidden="1" customHeight="1">
      <c r="A32" s="1173"/>
      <c r="B32" s="1173"/>
      <c r="C32" s="1173"/>
      <c r="D32" s="1173"/>
      <c r="E32" s="1173"/>
      <c r="F32" s="1173"/>
      <c r="G32" s="1173"/>
      <c r="H32" s="1173"/>
      <c r="I32" s="1173"/>
      <c r="J32" s="1173"/>
      <c r="K32" s="1173"/>
      <c r="L32" s="1305"/>
      <c r="M32" s="1173"/>
      <c r="N32" s="1173"/>
      <c r="O32" s="1173"/>
      <c r="S32" s="2178" t="s">
        <v>43</v>
      </c>
      <c r="T32" s="2178"/>
      <c r="U32" s="1297"/>
      <c r="V32" s="2179" t="str">
        <f>IF(TITLE_IST_PUB_CHANGE="",IF(TITLE_IST_PUB="","",TITLE_IST_PUB),TITLE_IST_PUB_CHANGE)</f>
        <v/>
      </c>
      <c r="W32" s="2179"/>
      <c r="X32" s="2179"/>
      <c r="Y32" s="2179"/>
      <c r="Z32" s="2179"/>
      <c r="AA32" s="2179"/>
      <c r="AB32" s="2179"/>
      <c r="AC32" s="1560"/>
      <c r="AD32" s="2179" t="str">
        <f>IF(TITLE_IST_PUB_CHANGE="",IF(TITLE_IST_PUB="","",TITLE_IST_PUB),TITLE_IST_PUB_CHANGE)</f>
        <v/>
      </c>
      <c r="AE32" s="2179"/>
      <c r="AF32" s="2179"/>
      <c r="AG32" s="2179"/>
      <c r="AH32" s="2179"/>
      <c r="AI32" s="2179"/>
      <c r="AJ32" s="2179"/>
      <c r="AK32" s="1560"/>
      <c r="AL32" s="1560"/>
      <c r="AM32" s="216"/>
      <c r="AN32" s="303"/>
      <c r="AO32" s="303"/>
      <c r="AP32" s="303"/>
      <c r="AQ32" s="303"/>
      <c r="AR32" s="303"/>
      <c r="AS32" s="353">
        <v>0</v>
      </c>
    </row>
    <row r="33" spans="1:45" ht="14.25" hidden="1" customHeight="1">
      <c r="Q33" s="311"/>
      <c r="R33" s="311"/>
      <c r="S33" s="1200"/>
      <c r="T33" s="392"/>
      <c r="U33" s="392"/>
      <c r="V33" s="258"/>
      <c r="W33" s="258"/>
      <c r="X33" s="258"/>
      <c r="Y33" s="258"/>
      <c r="Z33" s="258"/>
      <c r="AA33" s="258"/>
      <c r="AB33" s="258"/>
      <c r="AC33" s="258"/>
      <c r="AD33" s="258"/>
      <c r="AE33" s="258"/>
      <c r="AF33" s="258"/>
      <c r="AG33" s="258"/>
      <c r="AH33" s="258"/>
      <c r="AI33" s="258"/>
      <c r="AJ33" s="258"/>
      <c r="AK33" s="258"/>
      <c r="AS33" s="1556">
        <v>0</v>
      </c>
    </row>
    <row r="34" spans="1:45" s="1777" customFormat="1" ht="18.75" hidden="1" customHeight="1">
      <c r="A34" s="1173"/>
      <c r="B34" s="1173"/>
      <c r="C34" s="1173"/>
      <c r="D34" s="1173"/>
      <c r="E34" s="1173"/>
      <c r="F34" s="1173"/>
      <c r="G34" s="1173"/>
      <c r="H34" s="1173"/>
      <c r="I34" s="1173"/>
      <c r="J34" s="1173"/>
      <c r="K34" s="1173"/>
      <c r="L34" s="1305"/>
      <c r="M34" s="1173"/>
      <c r="N34" s="1173"/>
      <c r="O34" s="1173"/>
      <c r="S34" s="2178" t="s">
        <v>424</v>
      </c>
      <c r="T34" s="2178"/>
      <c r="U34" s="1297"/>
      <c r="V34" s="2188" t="str">
        <f>IF(TITLE_DATE_PR_CHANGE="",IF(TITLE_DATE_PR="","",TITLE_DATE_PR),TITLE_DATE_PR_CHANGE)</f>
        <v/>
      </c>
      <c r="W34" s="2188"/>
      <c r="X34" s="2188"/>
      <c r="Y34" s="2188"/>
      <c r="Z34" s="2188"/>
      <c r="AA34" s="2188"/>
      <c r="AB34" s="2188"/>
      <c r="AC34" s="1560"/>
      <c r="AD34" s="2188" t="str">
        <f>IF(TITLE_DATE_PR_CHANGE="",IF(TITLE_DATE_PR="","",TITLE_DATE_PR),TITLE_DATE_PR_CHANGE)</f>
        <v/>
      </c>
      <c r="AE34" s="2188"/>
      <c r="AF34" s="2188"/>
      <c r="AG34" s="2188"/>
      <c r="AH34" s="2188"/>
      <c r="AI34" s="2188"/>
      <c r="AJ34" s="2188"/>
      <c r="AK34" s="1560"/>
      <c r="AL34" s="1560"/>
      <c r="AM34" s="216"/>
      <c r="AN34" s="303"/>
      <c r="AO34" s="303"/>
      <c r="AP34" s="303"/>
      <c r="AQ34" s="303"/>
      <c r="AR34" s="303"/>
      <c r="AS34" s="353">
        <v>0</v>
      </c>
    </row>
    <row r="35" spans="1:45" s="1777" customFormat="1" ht="18.75" hidden="1" customHeight="1">
      <c r="A35" s="1173"/>
      <c r="B35" s="1173"/>
      <c r="C35" s="1173"/>
      <c r="D35" s="1173"/>
      <c r="E35" s="1173"/>
      <c r="F35" s="1173"/>
      <c r="G35" s="1173"/>
      <c r="H35" s="1173"/>
      <c r="I35" s="1173"/>
      <c r="J35" s="1173"/>
      <c r="K35" s="1173"/>
      <c r="L35" s="1305"/>
      <c r="M35" s="1173"/>
      <c r="N35" s="1173"/>
      <c r="O35" s="1173"/>
      <c r="S35" s="2178" t="s">
        <v>425</v>
      </c>
      <c r="T35" s="2178"/>
      <c r="U35" s="1297"/>
      <c r="V35" s="2179" t="str">
        <f>IF(TITLE_NUMBER_PR_CHANGE="",IF(TITLE_NUMBER_PR="","",TITLE_NUMBER_PR),TITLE_NUMBER_PR_CHANGE)</f>
        <v/>
      </c>
      <c r="W35" s="2179"/>
      <c r="X35" s="2179"/>
      <c r="Y35" s="2179"/>
      <c r="Z35" s="2179"/>
      <c r="AA35" s="2179"/>
      <c r="AB35" s="2179"/>
      <c r="AC35" s="1560"/>
      <c r="AD35" s="2179" t="str">
        <f>IF(TITLE_NUMBER_PR_CHANGE="",IF(TITLE_NUMBER_PR="","",TITLE_NUMBER_PR),TITLE_NUMBER_PR_CHANGE)</f>
        <v/>
      </c>
      <c r="AE35" s="2179"/>
      <c r="AF35" s="2179"/>
      <c r="AG35" s="2179"/>
      <c r="AH35" s="2179"/>
      <c r="AI35" s="2179"/>
      <c r="AJ35" s="2179"/>
      <c r="AK35" s="1560"/>
      <c r="AL35" s="1560"/>
      <c r="AM35" s="216"/>
      <c r="AN35" s="303"/>
      <c r="AO35" s="303"/>
      <c r="AP35" s="303"/>
      <c r="AQ35" s="303"/>
      <c r="AR35" s="303"/>
      <c r="AS35" s="353">
        <v>0</v>
      </c>
    </row>
    <row r="36" spans="1:45" s="1777" customFormat="1" ht="0" hidden="1" customHeight="1">
      <c r="A36" s="1173"/>
      <c r="B36" s="1173"/>
      <c r="C36" s="1173"/>
      <c r="D36" s="1173"/>
      <c r="E36" s="1173"/>
      <c r="F36" s="1173"/>
      <c r="G36" s="1173"/>
      <c r="H36" s="1173"/>
      <c r="I36" s="1173"/>
      <c r="J36" s="1173"/>
      <c r="K36" s="1173"/>
      <c r="L36" s="1305"/>
      <c r="M36" s="1173"/>
      <c r="N36" s="1173"/>
      <c r="O36" s="1173"/>
      <c r="S36" s="1560"/>
      <c r="T36" s="1560"/>
      <c r="U36" s="1891"/>
      <c r="V36" s="1560"/>
      <c r="W36" s="1560"/>
      <c r="X36" s="1560"/>
      <c r="Y36" s="1560"/>
      <c r="Z36" s="1560"/>
      <c r="AA36" s="1560"/>
      <c r="AB36" s="1560"/>
      <c r="AC36" s="1567" t="s">
        <v>426</v>
      </c>
      <c r="AD36" s="1560"/>
      <c r="AE36" s="1560"/>
      <c r="AF36" s="1560"/>
      <c r="AG36" s="1560"/>
      <c r="AH36" s="1560"/>
      <c r="AI36" s="1560"/>
      <c r="AJ36" s="1560"/>
      <c r="AK36" s="1567" t="s">
        <v>426</v>
      </c>
      <c r="AN36" s="303"/>
      <c r="AO36" s="303"/>
      <c r="AP36" s="303"/>
      <c r="AQ36" s="303"/>
      <c r="AR36" s="303"/>
      <c r="AS36" s="353">
        <v>0</v>
      </c>
    </row>
    <row r="37" spans="1:45" ht="14.65" customHeight="1">
      <c r="Q37" s="311"/>
      <c r="R37" s="311"/>
      <c r="S37" s="1200"/>
      <c r="T37" s="392"/>
      <c r="U37" s="1169"/>
      <c r="V37" s="2180"/>
      <c r="W37" s="2180"/>
      <c r="X37" s="2180"/>
      <c r="Y37" s="2180"/>
      <c r="Z37" s="2180"/>
      <c r="AA37" s="2180"/>
      <c r="AB37" s="2180"/>
      <c r="AC37" s="2180"/>
      <c r="AD37" s="2180"/>
      <c r="AE37" s="2180"/>
      <c r="AF37" s="2180"/>
      <c r="AG37" s="2180"/>
      <c r="AH37" s="2180"/>
      <c r="AI37" s="2180"/>
      <c r="AJ37" s="2180"/>
      <c r="AK37" s="2180"/>
      <c r="AS37" s="1556">
        <v>14</v>
      </c>
    </row>
    <row r="38" spans="1:45" ht="14.65" customHeight="1">
      <c r="Q38" s="311"/>
      <c r="R38" s="311"/>
      <c r="S38" s="2066" t="s">
        <v>299</v>
      </c>
      <c r="T38" s="2066"/>
      <c r="U38" s="2066"/>
      <c r="V38" s="2066"/>
      <c r="W38" s="2066"/>
      <c r="X38" s="2066"/>
      <c r="Y38" s="2066"/>
      <c r="Z38" s="2066"/>
      <c r="AA38" s="2066"/>
      <c r="AB38" s="2066"/>
      <c r="AC38" s="2066"/>
      <c r="AD38" s="2066"/>
      <c r="AE38" s="2066"/>
      <c r="AF38" s="2066"/>
      <c r="AG38" s="2066"/>
      <c r="AH38" s="2066"/>
      <c r="AI38" s="2066"/>
      <c r="AJ38" s="2066"/>
      <c r="AK38" s="2066"/>
      <c r="AL38" s="2066"/>
      <c r="AM38" s="2066" t="s">
        <v>300</v>
      </c>
      <c r="AS38" s="1556">
        <v>14</v>
      </c>
    </row>
    <row r="39" spans="1:45" ht="14.65" customHeight="1">
      <c r="Q39" s="311"/>
      <c r="R39" s="311"/>
      <c r="S39" s="2194" t="s">
        <v>88</v>
      </c>
      <c r="T39" s="2145" t="s">
        <v>427</v>
      </c>
      <c r="U39" s="273"/>
      <c r="V39" s="2195" t="s">
        <v>428</v>
      </c>
      <c r="W39" s="2196"/>
      <c r="X39" s="2196"/>
      <c r="Y39" s="2196"/>
      <c r="Z39" s="2196"/>
      <c r="AA39" s="2196"/>
      <c r="AB39" s="2197"/>
      <c r="AC39" s="2198" t="s">
        <v>429</v>
      </c>
      <c r="AD39" s="2195" t="s">
        <v>428</v>
      </c>
      <c r="AE39" s="2196"/>
      <c r="AF39" s="2196"/>
      <c r="AG39" s="2196"/>
      <c r="AH39" s="2196"/>
      <c r="AI39" s="2196"/>
      <c r="AJ39" s="2197"/>
      <c r="AK39" s="2198" t="s">
        <v>430</v>
      </c>
      <c r="AL39" s="2201" t="s">
        <v>431</v>
      </c>
      <c r="AM39" s="2066"/>
      <c r="AS39" s="1556">
        <v>14</v>
      </c>
    </row>
    <row r="40" spans="1:45" ht="35.65" customHeight="1">
      <c r="Q40" s="311"/>
      <c r="R40" s="311"/>
      <c r="S40" s="2194"/>
      <c r="T40" s="2145"/>
      <c r="U40" s="959"/>
      <c r="V40" s="2114" t="s">
        <v>432</v>
      </c>
      <c r="W40" s="2204" t="s">
        <v>433</v>
      </c>
      <c r="X40" s="2038" t="s">
        <v>434</v>
      </c>
      <c r="Y40" s="2037"/>
      <c r="Z40" s="2038" t="s">
        <v>448</v>
      </c>
      <c r="AA40" s="2043"/>
      <c r="AB40" s="2037"/>
      <c r="AC40" s="2199"/>
      <c r="AD40" s="2114" t="s">
        <v>432</v>
      </c>
      <c r="AE40" s="2204" t="s">
        <v>433</v>
      </c>
      <c r="AF40" s="2038" t="s">
        <v>434</v>
      </c>
      <c r="AG40" s="2037"/>
      <c r="AH40" s="2038" t="s">
        <v>435</v>
      </c>
      <c r="AI40" s="2043"/>
      <c r="AJ40" s="2037"/>
      <c r="AK40" s="2199"/>
      <c r="AL40" s="2202"/>
      <c r="AM40" s="2066"/>
      <c r="AS40" s="1556">
        <v>34</v>
      </c>
    </row>
    <row r="41" spans="1:45" ht="35.65" customHeight="1">
      <c r="A41" s="1191"/>
      <c r="B41" s="1191" t="s">
        <v>136</v>
      </c>
      <c r="C41" s="1191" t="s">
        <v>137</v>
      </c>
      <c r="D41" s="1191" t="s">
        <v>138</v>
      </c>
      <c r="E41" s="1235" t="s">
        <v>436</v>
      </c>
      <c r="F41" s="1235" t="s">
        <v>437</v>
      </c>
      <c r="G41" s="1235" t="s">
        <v>438</v>
      </c>
      <c r="H41" s="1235" t="s">
        <v>439</v>
      </c>
      <c r="I41" s="1235" t="s">
        <v>440</v>
      </c>
      <c r="J41" s="1235" t="s">
        <v>441</v>
      </c>
      <c r="K41" s="1235" t="s">
        <v>442</v>
      </c>
      <c r="L41" s="1235" t="s">
        <v>417</v>
      </c>
      <c r="Q41" s="311"/>
      <c r="R41" s="311"/>
      <c r="S41" s="2194"/>
      <c r="T41" s="2145"/>
      <c r="U41" s="238"/>
      <c r="V41" s="2165"/>
      <c r="W41" s="2205"/>
      <c r="X41" s="1859" t="s">
        <v>443</v>
      </c>
      <c r="Y41" s="1859" t="s">
        <v>444</v>
      </c>
      <c r="Z41" s="1859" t="s">
        <v>445</v>
      </c>
      <c r="AA41" s="2154" t="s">
        <v>446</v>
      </c>
      <c r="AB41" s="2156"/>
      <c r="AC41" s="2200"/>
      <c r="AD41" s="2165"/>
      <c r="AE41" s="2205"/>
      <c r="AF41" s="1859" t="s">
        <v>443</v>
      </c>
      <c r="AG41" s="1859" t="s">
        <v>444</v>
      </c>
      <c r="AH41" s="1859" t="s">
        <v>445</v>
      </c>
      <c r="AI41" s="2154" t="s">
        <v>446</v>
      </c>
      <c r="AJ41" s="2156"/>
      <c r="AK41" s="2200"/>
      <c r="AL41" s="2203"/>
      <c r="AM41" s="2066"/>
      <c r="AS41" s="1556">
        <v>34</v>
      </c>
    </row>
    <row r="42" spans="1:45" s="1566" customFormat="1" ht="11.25" hidden="1" customHeight="1">
      <c r="A42" s="1191"/>
      <c r="B42" s="1191"/>
      <c r="C42" s="1191"/>
      <c r="D42" s="1191"/>
      <c r="E42" s="1191"/>
      <c r="F42" s="1191"/>
      <c r="G42" s="1191"/>
      <c r="H42" s="1191"/>
      <c r="I42" s="1191"/>
      <c r="J42" s="1191"/>
      <c r="K42" s="1191"/>
      <c r="L42" s="1235"/>
      <c r="M42" s="1886"/>
      <c r="N42" s="1886"/>
      <c r="O42" s="1886"/>
      <c r="P42" s="1171"/>
      <c r="Q42" s="1172"/>
      <c r="R42" s="1179">
        <v>1</v>
      </c>
      <c r="S42" s="1202" t="s">
        <v>109</v>
      </c>
      <c r="T42" s="1180" t="s">
        <v>110</v>
      </c>
      <c r="U42" s="1170" t="str">
        <f ca="1">OFFSET(U42,0,-1)</f>
        <v>2</v>
      </c>
      <c r="V42" s="1877">
        <f ca="1">OFFSET(V42,0,-1)+1</f>
        <v>3</v>
      </c>
      <c r="W42" s="1877"/>
      <c r="X42" s="1877">
        <f ca="1">OFFSET(X42,0,-1)+1</f>
        <v>1</v>
      </c>
      <c r="Y42" s="1877">
        <f ca="1">OFFSET(Y42,0,-1)+1</f>
        <v>2</v>
      </c>
      <c r="Z42" s="1877">
        <f ca="1">OFFSET(Z42,0,-1)+1</f>
        <v>3</v>
      </c>
      <c r="AA42" s="2193">
        <f ca="1">OFFSET(AA42,0,-1)+1</f>
        <v>4</v>
      </c>
      <c r="AB42" s="2193"/>
      <c r="AC42" s="1877">
        <f ca="1">OFFSET(AC42,0,-2)+1</f>
        <v>5</v>
      </c>
      <c r="AD42" s="1877">
        <f ca="1">OFFSET(AD42,0,-1)+1</f>
        <v>6</v>
      </c>
      <c r="AE42" s="1877"/>
      <c r="AF42" s="1877">
        <f ca="1">OFFSET(AF42,0,-1)+1</f>
        <v>1</v>
      </c>
      <c r="AG42" s="1877">
        <f ca="1">OFFSET(AG42,0,-1)+1</f>
        <v>2</v>
      </c>
      <c r="AH42" s="1877">
        <f ca="1">OFFSET(AH42,0,-1)+1</f>
        <v>3</v>
      </c>
      <c r="AI42" s="2193">
        <f ca="1">OFFSET(AI42,0,-1)+1</f>
        <v>4</v>
      </c>
      <c r="AJ42" s="2193"/>
      <c r="AK42" s="1877">
        <f ca="1">OFFSET(AK42,0,-2)+1</f>
        <v>5</v>
      </c>
      <c r="AL42" s="1170">
        <f ca="1">OFFSET(AL42,0,-1)</f>
        <v>5</v>
      </c>
      <c r="AM42" s="1877">
        <f ca="1">OFFSET(AM42,0,-1)+1</f>
        <v>6</v>
      </c>
      <c r="AN42" s="1561"/>
      <c r="AO42" s="1561"/>
      <c r="AP42" s="1561"/>
      <c r="AQ42" s="1561"/>
      <c r="AR42" s="1561"/>
      <c r="AS42" s="1566">
        <v>0</v>
      </c>
    </row>
    <row r="43" spans="1:45" ht="21.95" customHeight="1">
      <c r="A43" s="1192" t="s">
        <v>211</v>
      </c>
      <c r="B43" s="1192"/>
      <c r="C43" s="1192"/>
      <c r="D43" s="1192"/>
      <c r="E43" s="2210">
        <v>1</v>
      </c>
      <c r="F43" s="1192"/>
      <c r="G43" s="1192"/>
      <c r="H43" s="1192"/>
      <c r="I43" s="1192"/>
      <c r="J43" s="1192"/>
      <c r="K43" s="1192"/>
      <c r="L43" s="1235"/>
      <c r="M43" s="1535"/>
      <c r="N43" s="1535"/>
      <c r="O43" s="1535"/>
      <c r="P43" s="1515"/>
      <c r="Q43" s="295"/>
      <c r="R43" s="290"/>
      <c r="S43" s="1879">
        <f>INDEX(PT_DIFFERENTIATION_NUM_NTAR,MATCH(A43,PT_DIFFERENTIATION_NTAR_ID,0))</f>
        <v>0</v>
      </c>
      <c r="T43" s="1450" t="s">
        <v>124</v>
      </c>
      <c r="U43" s="236"/>
      <c r="V43" s="2172"/>
      <c r="W43" s="2173"/>
      <c r="X43" s="2173"/>
      <c r="Y43" s="2173"/>
      <c r="Z43" s="2173"/>
      <c r="AA43" s="2173"/>
      <c r="AB43" s="2173"/>
      <c r="AC43" s="2174"/>
      <c r="AD43" s="2172" t="str">
        <f>INDEX(PT_DIFFERENTIATION_NTAR,MATCH(A43,PT_DIFFERENTIATION_NTAR_ID,0))</f>
        <v/>
      </c>
      <c r="AE43" s="2173"/>
      <c r="AF43" s="2173"/>
      <c r="AG43" s="2173"/>
      <c r="AH43" s="2173"/>
      <c r="AI43" s="2173"/>
      <c r="AJ43" s="2173"/>
      <c r="AK43" s="2173"/>
      <c r="AL43" s="2174"/>
      <c r="AM43" s="1183" t="str">
        <f>IF(TEMPLATE_GROUP="P","По данной форме раскрывается в том числе информация об индикативном предельном уровне цены на тепловую энергию (мощность), который определен в соответствии с Правилами определения в ценовых зонах теплоснабжения предельного уровня "&amp;"цены на тепловую энергию (мощность), включая правила индексации предельного уровня цены на тепловую энергию (мощность), "&amp;"утвержденными постановлением Правительства Российской Федерации от 15 декабря 2017 г. N 1562 (далее - Правила), о графике поэтапного равномерного доведения предельного уровня цены на тепловую энергию (мощность) до уровня, "&amp;"определяемого в соответствии с указанными "&amp;"Правилами, а также информация о тарифах на товары (услуги) в сфере теплоснабжения в случаях, указанных частях 12 1 - 12 4 статьи 10 Федерального закона от 27 июля 2010 г. N 190-ФЗ ""О теплоснабжении"", "&amp;"теплоснабжающей организации, теплосетевой организации в ценовых зонах теплоснабжения. Для каждого вида тарифа в сфере теплоснабжения форма заполняется отдельно."&amp;"
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"&amp;"об установлении цены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"&amp;"Указывается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Для каждого вида тарифа в сфере теплоснабжения форма заполняется отдельно.
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Указывается наименование тарифа в случае предложения нескольких тарифов.
В случае наличия нескольких тарифов информация по ним указывается в отдельных строках.</v>
      </c>
      <c r="AO43" s="1549"/>
      <c r="AP43" s="1549" t="str">
        <f t="shared" ref="AP43:AP57" si="1">IF(T43="","",T43)</f>
        <v>Наименование тарифа</v>
      </c>
      <c r="AQ43" s="1549"/>
      <c r="AR43" s="1549"/>
      <c r="AS43" s="1556">
        <v>21</v>
      </c>
    </row>
    <row r="44" spans="1:45" ht="21.95" customHeight="1">
      <c r="A44" s="1192" t="s">
        <v>211</v>
      </c>
      <c r="B44" s="1192" t="s">
        <v>212</v>
      </c>
      <c r="C44" s="1192"/>
      <c r="D44" s="1192"/>
      <c r="E44" s="2211"/>
      <c r="F44" s="2210">
        <v>1</v>
      </c>
      <c r="G44" s="1192"/>
      <c r="H44" s="1192"/>
      <c r="I44" s="1192"/>
      <c r="J44" s="1192"/>
      <c r="K44" s="1192"/>
      <c r="L44" s="1235"/>
      <c r="M44" s="1535"/>
      <c r="N44" s="1535"/>
      <c r="O44" s="1535"/>
      <c r="P44" s="1861"/>
      <c r="Q44" s="287"/>
      <c r="R44" s="288"/>
      <c r="S44" s="1879" t="str">
        <f>INDEX(PT_DIFFERENTIATION_NUM_TER,MATCH(B44,PT_DIFFERENTIATION_TER_ID,0))</f>
        <v>.</v>
      </c>
      <c r="T44" s="1447" t="s">
        <v>396</v>
      </c>
      <c r="U44" s="236"/>
      <c r="V44" s="2172"/>
      <c r="W44" s="2173"/>
      <c r="X44" s="2173"/>
      <c r="Y44" s="2173"/>
      <c r="Z44" s="2173"/>
      <c r="AA44" s="2173"/>
      <c r="AB44" s="2173"/>
      <c r="AC44" s="2174"/>
      <c r="AD44" s="2172" t="str">
        <f>INDEX(PT_DIFFERENTIATION_TER,MATCH(B44,PT_DIFFERENTIATION_TER_ID,0))</f>
        <v/>
      </c>
      <c r="AE44" s="2173"/>
      <c r="AF44" s="2173"/>
      <c r="AG44" s="2173"/>
      <c r="AH44" s="2173"/>
      <c r="AI44" s="2173"/>
      <c r="AJ44" s="2173"/>
      <c r="AK44" s="2173"/>
      <c r="AL44" s="2174"/>
      <c r="AM44" s="1183" t="s">
        <v>397</v>
      </c>
      <c r="AO44" s="1549"/>
      <c r="AP44" s="1549" t="str">
        <f t="shared" si="1"/>
        <v>Территория действия тарифа</v>
      </c>
      <c r="AQ44" s="1549"/>
      <c r="AR44" s="1549"/>
      <c r="AS44" s="1556">
        <v>21</v>
      </c>
    </row>
    <row r="45" spans="1:45" ht="24" customHeight="1">
      <c r="A45" s="1192" t="s">
        <v>211</v>
      </c>
      <c r="B45" s="1192" t="s">
        <v>212</v>
      </c>
      <c r="C45" s="1192" t="s">
        <v>213</v>
      </c>
      <c r="D45" s="1192"/>
      <c r="E45" s="2211"/>
      <c r="F45" s="2211"/>
      <c r="G45" s="2210">
        <v>1</v>
      </c>
      <c r="H45" s="1192"/>
      <c r="I45" s="1192"/>
      <c r="J45" s="1192"/>
      <c r="K45" s="1192"/>
      <c r="L45" s="1235"/>
      <c r="M45" s="1535"/>
      <c r="N45" s="1535"/>
      <c r="O45" s="1535"/>
      <c r="P45" s="289"/>
      <c r="Q45" s="287"/>
      <c r="R45" s="288"/>
      <c r="S45" s="1879" t="str">
        <f>INDEX(PT_DIFFERENTIATION_NUM_CS,MATCH(C45,PT_DIFFERENTIATION_CS_ID,0))</f>
        <v>..</v>
      </c>
      <c r="T45" s="245" t="s">
        <v>398</v>
      </c>
      <c r="U45" s="236"/>
      <c r="V45" s="2172"/>
      <c r="W45" s="2173"/>
      <c r="X45" s="2173"/>
      <c r="Y45" s="2173"/>
      <c r="Z45" s="2173"/>
      <c r="AA45" s="2173"/>
      <c r="AB45" s="2173"/>
      <c r="AC45" s="2174"/>
      <c r="AD45" s="2172" t="str">
        <f>INDEX(PT_DIFFERENTIATION_CS,MATCH(C45,PT_DIFFERENTIATION_CS_ID,0))</f>
        <v/>
      </c>
      <c r="AE45" s="2173"/>
      <c r="AF45" s="2173"/>
      <c r="AG45" s="2173"/>
      <c r="AH45" s="2173"/>
      <c r="AI45" s="2173"/>
      <c r="AJ45" s="2173"/>
      <c r="AK45" s="2173"/>
      <c r="AL45" s="2174"/>
      <c r="AM45" s="1183" t="s">
        <v>399</v>
      </c>
      <c r="AO45" s="1549"/>
      <c r="AP45" s="1549" t="str">
        <f t="shared" si="1"/>
        <v xml:space="preserve">Наименование системы теплоснабжения </v>
      </c>
      <c r="AQ45" s="1549"/>
      <c r="AR45" s="1549"/>
      <c r="AS45" s="1556">
        <v>23</v>
      </c>
    </row>
    <row r="46" spans="1:45" ht="21.95" customHeight="1">
      <c r="A46" s="1192" t="s">
        <v>211</v>
      </c>
      <c r="B46" s="1192" t="s">
        <v>212</v>
      </c>
      <c r="C46" s="1192" t="s">
        <v>213</v>
      </c>
      <c r="D46" s="1192" t="s">
        <v>214</v>
      </c>
      <c r="E46" s="2211"/>
      <c r="F46" s="2211"/>
      <c r="G46" s="2211"/>
      <c r="H46" s="2210">
        <v>1</v>
      </c>
      <c r="I46" s="1192"/>
      <c r="J46" s="1192"/>
      <c r="K46" s="1192"/>
      <c r="L46" s="1235"/>
      <c r="M46" s="1535"/>
      <c r="N46" s="1535"/>
      <c r="O46" s="1535"/>
      <c r="P46" s="289"/>
      <c r="Q46" s="287"/>
      <c r="R46" s="288"/>
      <c r="S46" s="1879" t="str">
        <f>INDEX(PT_DIFFERENTIATION_NUM_IST_TE,MATCH(D46,PT_DIFFERENTIATION_IST_TE_ID,0))</f>
        <v>...</v>
      </c>
      <c r="T46" s="246" t="s">
        <v>400</v>
      </c>
      <c r="U46" s="236"/>
      <c r="V46" s="2172"/>
      <c r="W46" s="2173"/>
      <c r="X46" s="2173"/>
      <c r="Y46" s="2173"/>
      <c r="Z46" s="2173"/>
      <c r="AA46" s="2173"/>
      <c r="AB46" s="2173"/>
      <c r="AC46" s="2174"/>
      <c r="AD46" s="2172" t="str">
        <f>INDEX(PT_DIFFERENTIATION_IST_TE,MATCH(D46,PT_DIFFERENTIATION_IST_TE_ID,0))</f>
        <v/>
      </c>
      <c r="AE46" s="2173"/>
      <c r="AF46" s="2173"/>
      <c r="AG46" s="2173"/>
      <c r="AH46" s="2173"/>
      <c r="AI46" s="2173"/>
      <c r="AJ46" s="2173"/>
      <c r="AK46" s="2173"/>
      <c r="AL46" s="2174"/>
      <c r="AM46" s="1183" t="s">
        <v>401</v>
      </c>
      <c r="AO46" s="1549"/>
      <c r="AP46" s="1549" t="str">
        <f t="shared" si="1"/>
        <v xml:space="preserve">Источник тепловой энергии  </v>
      </c>
      <c r="AQ46" s="1549"/>
      <c r="AR46" s="1549"/>
      <c r="AS46" s="1556">
        <v>21</v>
      </c>
    </row>
    <row r="47" spans="1:45" ht="49.5" customHeight="1">
      <c r="A47" s="1192" t="s">
        <v>211</v>
      </c>
      <c r="B47" s="1192" t="s">
        <v>212</v>
      </c>
      <c r="C47" s="1192" t="s">
        <v>213</v>
      </c>
      <c r="D47" s="1192" t="s">
        <v>214</v>
      </c>
      <c r="E47" s="2211"/>
      <c r="F47" s="2211"/>
      <c r="G47" s="2211"/>
      <c r="H47" s="2211"/>
      <c r="I47" s="2066" t="str">
        <f>S46&amp;".1"</f>
        <v>....1</v>
      </c>
      <c r="J47" s="1192"/>
      <c r="K47" s="1192"/>
      <c r="L47" s="1235" t="s">
        <v>402</v>
      </c>
      <c r="P47" s="2185">
        <v>1</v>
      </c>
      <c r="Q47" s="1875"/>
      <c r="R47" s="291"/>
      <c r="S47" s="1879" t="str">
        <f>$I47</f>
        <v>....1</v>
      </c>
      <c r="T47" s="221" t="s">
        <v>403</v>
      </c>
      <c r="U47" s="236"/>
      <c r="V47" s="2175"/>
      <c r="W47" s="2176"/>
      <c r="X47" s="2176"/>
      <c r="Y47" s="2176"/>
      <c r="Z47" s="2176"/>
      <c r="AA47" s="2176"/>
      <c r="AB47" s="2176"/>
      <c r="AC47" s="2177"/>
      <c r="AD47" s="2175"/>
      <c r="AE47" s="2176"/>
      <c r="AF47" s="2176"/>
      <c r="AG47" s="2176"/>
      <c r="AH47" s="2176"/>
      <c r="AI47" s="2176"/>
      <c r="AJ47" s="2176"/>
      <c r="AK47" s="2176"/>
      <c r="AL47" s="2177"/>
      <c r="AM47" s="1183" t="s">
        <v>404</v>
      </c>
      <c r="AO47" s="1549"/>
      <c r="AP47" s="1549" t="str">
        <f t="shared" si="1"/>
        <v>Схема подключения теплопотребляющей установки к коллектору источника тепловой энергии</v>
      </c>
      <c r="AQ47" s="1549"/>
      <c r="AR47" s="1549"/>
      <c r="AS47" s="1556">
        <v>47</v>
      </c>
    </row>
    <row r="48" spans="1:45" ht="21.95" customHeight="1">
      <c r="A48" s="1192" t="s">
        <v>211</v>
      </c>
      <c r="B48" s="1192" t="s">
        <v>212</v>
      </c>
      <c r="C48" s="1192" t="s">
        <v>213</v>
      </c>
      <c r="D48" s="1192" t="s">
        <v>214</v>
      </c>
      <c r="E48" s="2211"/>
      <c r="F48" s="2211"/>
      <c r="G48" s="2211"/>
      <c r="H48" s="2211"/>
      <c r="I48" s="2038"/>
      <c r="J48" s="2066" t="str">
        <f>I47&amp;".1"</f>
        <v>....1.1</v>
      </c>
      <c r="K48" s="1192"/>
      <c r="L48" s="1235" t="s">
        <v>405</v>
      </c>
      <c r="P48" s="2185"/>
      <c r="Q48" s="2185">
        <v>1</v>
      </c>
      <c r="R48" s="292"/>
      <c r="S48" s="1879" t="str">
        <f>$J48</f>
        <v>....1.1</v>
      </c>
      <c r="T48" s="222" t="s">
        <v>406</v>
      </c>
      <c r="U48" s="236"/>
      <c r="V48" s="2175"/>
      <c r="W48" s="2176"/>
      <c r="X48" s="2176"/>
      <c r="Y48" s="2176"/>
      <c r="Z48" s="2176"/>
      <c r="AA48" s="2176"/>
      <c r="AB48" s="2176"/>
      <c r="AC48" s="2177"/>
      <c r="AD48" s="2175"/>
      <c r="AE48" s="2176"/>
      <c r="AF48" s="2176"/>
      <c r="AG48" s="2176"/>
      <c r="AH48" s="2176"/>
      <c r="AI48" s="2176"/>
      <c r="AJ48" s="2176"/>
      <c r="AK48" s="2176"/>
      <c r="AL48" s="2177"/>
      <c r="AM48" s="1183" t="s">
        <v>407</v>
      </c>
      <c r="AO48" s="1549"/>
      <c r="AP48" s="1549" t="str">
        <f t="shared" si="1"/>
        <v>Группа потребителей</v>
      </c>
      <c r="AQ48" s="1549"/>
      <c r="AR48" s="1549"/>
      <c r="AS48" s="1556">
        <v>21</v>
      </c>
    </row>
    <row r="49" spans="1:45" ht="21.95" customHeight="1">
      <c r="A49" s="1192" t="s">
        <v>211</v>
      </c>
      <c r="B49" s="1192" t="s">
        <v>212</v>
      </c>
      <c r="C49" s="1192" t="s">
        <v>213</v>
      </c>
      <c r="D49" s="1192" t="s">
        <v>214</v>
      </c>
      <c r="E49" s="2211"/>
      <c r="F49" s="2211"/>
      <c r="G49" s="2211"/>
      <c r="H49" s="2211"/>
      <c r="I49" s="2038"/>
      <c r="J49" s="2038"/>
      <c r="K49" s="2066" t="str">
        <f>J48&amp;".1"</f>
        <v>....1.1.1</v>
      </c>
      <c r="L49" s="1235" t="s">
        <v>408</v>
      </c>
      <c r="P49" s="2185"/>
      <c r="Q49" s="2185"/>
      <c r="R49" s="292">
        <v>1</v>
      </c>
      <c r="S49" s="1879" t="str">
        <f>$K49</f>
        <v>....1.1.1</v>
      </c>
      <c r="T49" s="1272"/>
      <c r="U49" s="236"/>
      <c r="V49" s="686"/>
      <c r="W49" s="261"/>
      <c r="X49" s="686"/>
      <c r="Y49" s="1182"/>
      <c r="Z49" s="2189"/>
      <c r="AA49" s="2047" t="s">
        <v>66</v>
      </c>
      <c r="AB49" s="2189"/>
      <c r="AC49" s="2047" t="s">
        <v>66</v>
      </c>
      <c r="AD49" s="686"/>
      <c r="AE49" s="261"/>
      <c r="AF49" s="686"/>
      <c r="AG49" s="1182"/>
      <c r="AH49" s="2189"/>
      <c r="AI49" s="2047" t="s">
        <v>66</v>
      </c>
      <c r="AJ49" s="2208"/>
      <c r="AK49" s="2047" t="s">
        <v>66</v>
      </c>
      <c r="AL49" s="1273"/>
      <c r="AM49" s="2181" t="s">
        <v>409</v>
      </c>
      <c r="AN49" s="1561" t="e">
        <f ca="1">STRCHECKDATE(V50:AL50)</f>
        <v>#NAME?</v>
      </c>
      <c r="AO49" s="1549"/>
      <c r="AP49" s="1549" t="str">
        <f t="shared" si="1"/>
        <v/>
      </c>
      <c r="AQ49" s="1549"/>
      <c r="AR49" s="1549"/>
      <c r="AS49" s="1556">
        <v>21</v>
      </c>
    </row>
    <row r="50" spans="1:45" ht="1.1499999999999999" customHeight="1">
      <c r="A50" s="1192" t="s">
        <v>211</v>
      </c>
      <c r="B50" s="1192" t="s">
        <v>212</v>
      </c>
      <c r="C50" s="1192" t="s">
        <v>213</v>
      </c>
      <c r="D50" s="1192" t="s">
        <v>214</v>
      </c>
      <c r="E50" s="2211"/>
      <c r="F50" s="2211"/>
      <c r="G50" s="2211"/>
      <c r="H50" s="2211"/>
      <c r="I50" s="2038"/>
      <c r="J50" s="2038"/>
      <c r="K50" s="2066"/>
      <c r="L50" s="1235"/>
      <c r="P50" s="2185"/>
      <c r="Q50" s="2185"/>
      <c r="R50" s="292"/>
      <c r="S50" s="1888"/>
      <c r="T50" s="236"/>
      <c r="U50" s="236"/>
      <c r="V50" s="261"/>
      <c r="W50" s="261"/>
      <c r="X50" s="261"/>
      <c r="Y50" s="264" t="str">
        <f>Z49&amp;"-"&amp;AB49</f>
        <v>-</v>
      </c>
      <c r="Z50" s="2190"/>
      <c r="AA50" s="2047"/>
      <c r="AB50" s="2190"/>
      <c r="AC50" s="2047"/>
      <c r="AD50" s="261"/>
      <c r="AE50" s="261"/>
      <c r="AF50" s="261"/>
      <c r="AG50" s="264" t="str">
        <f>AH49&amp;"-"&amp;AJ49</f>
        <v>-</v>
      </c>
      <c r="AH50" s="2190"/>
      <c r="AI50" s="2047"/>
      <c r="AJ50" s="2209"/>
      <c r="AK50" s="2047"/>
      <c r="AL50" s="1274"/>
      <c r="AM50" s="2182"/>
      <c r="AO50" s="1549"/>
      <c r="AP50" s="1549" t="str">
        <f t="shared" si="1"/>
        <v/>
      </c>
      <c r="AQ50" s="1549"/>
      <c r="AR50" s="1549"/>
      <c r="AS50" s="1556">
        <v>1</v>
      </c>
    </row>
    <row r="51" spans="1:45" ht="11.45" customHeight="1">
      <c r="A51" s="1192" t="s">
        <v>211</v>
      </c>
      <c r="B51" s="1192" t="s">
        <v>212</v>
      </c>
      <c r="C51" s="1192" t="s">
        <v>213</v>
      </c>
      <c r="D51" s="1192" t="s">
        <v>214</v>
      </c>
      <c r="E51" s="2211"/>
      <c r="F51" s="2211"/>
      <c r="G51" s="2211"/>
      <c r="H51" s="2211"/>
      <c r="I51" s="2038"/>
      <c r="J51" s="2066"/>
      <c r="K51" s="1192"/>
      <c r="L51" s="1235"/>
      <c r="P51" s="2185"/>
      <c r="Q51" s="2185"/>
      <c r="R51" s="291"/>
      <c r="S51" s="1203"/>
      <c r="T51" s="224" t="s">
        <v>410</v>
      </c>
      <c r="U51" s="535"/>
      <c r="V51" s="535"/>
      <c r="W51" s="535"/>
      <c r="X51" s="535"/>
      <c r="Y51" s="535"/>
      <c r="Z51" s="535"/>
      <c r="AA51" s="535"/>
      <c r="AB51" s="535"/>
      <c r="AC51" s="535"/>
      <c r="AD51" s="535"/>
      <c r="AE51" s="535"/>
      <c r="AF51" s="535"/>
      <c r="AG51" s="535"/>
      <c r="AH51" s="535"/>
      <c r="AI51" s="535"/>
      <c r="AJ51" s="535"/>
      <c r="AK51" s="535"/>
      <c r="AL51" s="260"/>
      <c r="AM51" s="2183"/>
      <c r="AO51" s="1549"/>
      <c r="AP51" s="1549" t="str">
        <f t="shared" si="1"/>
        <v>Добавить вид теплоносителя (параметры теплоносителя)</v>
      </c>
      <c r="AQ51" s="1549"/>
      <c r="AR51" s="1549"/>
      <c r="AS51" s="1556">
        <v>11</v>
      </c>
    </row>
    <row r="52" spans="1:45" ht="11.45" customHeight="1">
      <c r="A52" s="1192" t="s">
        <v>211</v>
      </c>
      <c r="B52" s="1192" t="s">
        <v>212</v>
      </c>
      <c r="C52" s="1192" t="s">
        <v>213</v>
      </c>
      <c r="D52" s="1192" t="s">
        <v>214</v>
      </c>
      <c r="E52" s="2211"/>
      <c r="F52" s="2211"/>
      <c r="G52" s="2211"/>
      <c r="H52" s="2211"/>
      <c r="I52" s="2066"/>
      <c r="J52" s="1192"/>
      <c r="K52" s="1192"/>
      <c r="L52" s="1235"/>
      <c r="P52" s="2185"/>
      <c r="Q52" s="1875"/>
      <c r="R52" s="291"/>
      <c r="S52" s="1203"/>
      <c r="T52" s="223" t="s">
        <v>411</v>
      </c>
      <c r="U52" s="535"/>
      <c r="V52" s="535"/>
      <c r="W52" s="535"/>
      <c r="X52" s="535"/>
      <c r="Y52" s="535"/>
      <c r="Z52" s="535"/>
      <c r="AA52" s="535"/>
      <c r="AB52" s="535"/>
      <c r="AC52" s="301"/>
      <c r="AD52" s="535"/>
      <c r="AE52" s="535"/>
      <c r="AF52" s="535"/>
      <c r="AG52" s="535"/>
      <c r="AH52" s="535"/>
      <c r="AI52" s="535"/>
      <c r="AJ52" s="535"/>
      <c r="AK52" s="301"/>
      <c r="AL52" s="535"/>
      <c r="AM52" s="239"/>
      <c r="AO52" s="1549"/>
      <c r="AP52" s="1549" t="str">
        <f t="shared" si="1"/>
        <v>Добавить группу потребителей</v>
      </c>
      <c r="AQ52" s="1549"/>
      <c r="AR52" s="1549"/>
      <c r="AS52" s="1556">
        <v>11</v>
      </c>
    </row>
    <row r="53" spans="1:45" ht="14.65" customHeight="1">
      <c r="A53" s="1192" t="s">
        <v>211</v>
      </c>
      <c r="B53" s="1192" t="s">
        <v>212</v>
      </c>
      <c r="C53" s="1192" t="s">
        <v>213</v>
      </c>
      <c r="D53" s="1192" t="s">
        <v>214</v>
      </c>
      <c r="E53" s="2211"/>
      <c r="F53" s="2211"/>
      <c r="G53" s="2211"/>
      <c r="H53" s="2210"/>
      <c r="I53" s="1192"/>
      <c r="J53" s="1192"/>
      <c r="K53" s="1192"/>
      <c r="L53" s="1235"/>
      <c r="M53" s="1535"/>
      <c r="N53" s="1535"/>
      <c r="O53" s="1560"/>
      <c r="P53" s="295"/>
      <c r="Q53" s="310"/>
      <c r="R53" s="290"/>
      <c r="S53" s="1203"/>
      <c r="T53" s="300" t="s">
        <v>412</v>
      </c>
      <c r="U53" s="535"/>
      <c r="V53" s="535"/>
      <c r="W53" s="535"/>
      <c r="X53" s="535"/>
      <c r="Y53" s="535"/>
      <c r="Z53" s="535"/>
      <c r="AA53" s="535"/>
      <c r="AB53" s="535"/>
      <c r="AC53" s="301"/>
      <c r="AD53" s="535"/>
      <c r="AE53" s="535"/>
      <c r="AF53" s="535"/>
      <c r="AG53" s="535"/>
      <c r="AH53" s="535"/>
      <c r="AI53" s="535"/>
      <c r="AJ53" s="535"/>
      <c r="AK53" s="301"/>
      <c r="AL53" s="535"/>
      <c r="AM53" s="239"/>
      <c r="AO53" s="1549"/>
      <c r="AP53" s="1549" t="str">
        <f t="shared" si="1"/>
        <v>Добавить схему подключения</v>
      </c>
      <c r="AQ53" s="1549"/>
      <c r="AR53" s="1549"/>
      <c r="AS53" s="1556">
        <v>14</v>
      </c>
    </row>
    <row r="54" spans="1:45" s="1567" customFormat="1" ht="1.1499999999999999" customHeight="1">
      <c r="A54" s="1192" t="s">
        <v>211</v>
      </c>
      <c r="B54" s="1192" t="s">
        <v>212</v>
      </c>
      <c r="C54" s="1192" t="s">
        <v>213</v>
      </c>
      <c r="D54" s="1895"/>
      <c r="E54" s="2211"/>
      <c r="F54" s="2211"/>
      <c r="G54" s="2210"/>
      <c r="H54" s="1895"/>
      <c r="I54" s="1895"/>
      <c r="J54" s="1895"/>
      <c r="K54" s="1895"/>
      <c r="L54" s="1305"/>
      <c r="M54" s="1535"/>
      <c r="N54" s="1535"/>
      <c r="O54" s="1560"/>
      <c r="P54" s="1241"/>
      <c r="Q54" s="1242"/>
      <c r="R54" s="1241"/>
      <c r="S54" s="1247"/>
      <c r="T54" s="1250" t="s">
        <v>413</v>
      </c>
      <c r="U54" s="1249"/>
      <c r="V54" s="1249"/>
      <c r="W54" s="1249"/>
      <c r="X54" s="1249"/>
      <c r="Y54" s="1249"/>
      <c r="Z54" s="1249"/>
      <c r="AA54" s="1249"/>
      <c r="AB54" s="1249"/>
      <c r="AC54" s="1249"/>
      <c r="AD54" s="1249"/>
      <c r="AE54" s="1249"/>
      <c r="AF54" s="1249"/>
      <c r="AG54" s="1249"/>
      <c r="AH54" s="1249"/>
      <c r="AI54" s="1249"/>
      <c r="AJ54" s="1249"/>
      <c r="AK54" s="1249"/>
      <c r="AL54" s="1249"/>
      <c r="AM54" s="1249"/>
      <c r="AO54" s="1176"/>
      <c r="AP54" s="1176" t="str">
        <f t="shared" si="1"/>
        <v>Добавить источник для дифференциации</v>
      </c>
      <c r="AQ54" s="1176"/>
      <c r="AR54" s="1176"/>
      <c r="AS54" s="1567">
        <v>1</v>
      </c>
    </row>
    <row r="55" spans="1:45" s="1567" customFormat="1" ht="1.1499999999999999" customHeight="1">
      <c r="A55" s="1192" t="s">
        <v>211</v>
      </c>
      <c r="B55" s="1192" t="s">
        <v>212</v>
      </c>
      <c r="C55" s="1895"/>
      <c r="D55" s="1895"/>
      <c r="E55" s="2211"/>
      <c r="F55" s="2210"/>
      <c r="G55" s="1895"/>
      <c r="H55" s="1895"/>
      <c r="I55" s="1895"/>
      <c r="J55" s="1895"/>
      <c r="K55" s="1895"/>
      <c r="L55" s="1305"/>
      <c r="M55" s="1896"/>
      <c r="N55" s="1896"/>
      <c r="O55" s="1560"/>
      <c r="P55" s="1241"/>
      <c r="Q55" s="1242"/>
      <c r="R55" s="1241"/>
      <c r="S55" s="1247"/>
      <c r="T55" s="1250" t="s">
        <v>414</v>
      </c>
      <c r="U55" s="1249"/>
      <c r="V55" s="1249"/>
      <c r="W55" s="1249"/>
      <c r="X55" s="1249"/>
      <c r="Y55" s="1249"/>
      <c r="Z55" s="1249"/>
      <c r="AA55" s="1249"/>
      <c r="AB55" s="1249"/>
      <c r="AC55" s="1249"/>
      <c r="AD55" s="1249"/>
      <c r="AE55" s="1249"/>
      <c r="AF55" s="1249"/>
      <c r="AG55" s="1249"/>
      <c r="AH55" s="1249"/>
      <c r="AI55" s="1249"/>
      <c r="AJ55" s="1249"/>
      <c r="AK55" s="1249"/>
      <c r="AL55" s="1249"/>
      <c r="AM55" s="1249"/>
      <c r="AO55" s="1176"/>
      <c r="AP55" s="1176" t="str">
        <f t="shared" si="1"/>
        <v>Добавить централизованную систему для дифференциации</v>
      </c>
      <c r="AQ55" s="1176"/>
      <c r="AR55" s="1176"/>
      <c r="AS55" s="1567">
        <v>1</v>
      </c>
    </row>
    <row r="56" spans="1:45" s="1567" customFormat="1" ht="1.1499999999999999" customHeight="1">
      <c r="A56" s="1192" t="s">
        <v>211</v>
      </c>
      <c r="B56" s="1192"/>
      <c r="C56" s="1192"/>
      <c r="D56" s="1192"/>
      <c r="E56" s="2210"/>
      <c r="F56" s="1192"/>
      <c r="G56" s="1192"/>
      <c r="H56" s="1192"/>
      <c r="I56" s="1192"/>
      <c r="J56" s="1192"/>
      <c r="K56" s="1192"/>
      <c r="L56" s="1235"/>
      <c r="M56" s="1896"/>
      <c r="N56" s="1896"/>
      <c r="O56" s="1560"/>
      <c r="P56" s="315"/>
      <c r="Q56" s="1269"/>
      <c r="R56" s="315"/>
      <c r="S56" s="1247"/>
      <c r="T56" s="1250" t="s">
        <v>415</v>
      </c>
      <c r="U56" s="1249"/>
      <c r="V56" s="1249"/>
      <c r="W56" s="1249"/>
      <c r="X56" s="1249"/>
      <c r="Y56" s="1249"/>
      <c r="Z56" s="1249"/>
      <c r="AA56" s="1249"/>
      <c r="AB56" s="1249"/>
      <c r="AC56" s="1249"/>
      <c r="AD56" s="1249"/>
      <c r="AE56" s="1249"/>
      <c r="AF56" s="1249"/>
      <c r="AG56" s="1249"/>
      <c r="AH56" s="1249"/>
      <c r="AI56" s="1249"/>
      <c r="AJ56" s="1249"/>
      <c r="AK56" s="1249"/>
      <c r="AL56" s="1249"/>
      <c r="AM56" s="1249"/>
      <c r="AO56" s="1549"/>
      <c r="AP56" s="1549" t="str">
        <f t="shared" si="1"/>
        <v>Добавить территорию для дифференциации</v>
      </c>
      <c r="AQ56" s="1549"/>
      <c r="AR56" s="1549"/>
      <c r="AS56" s="1561">
        <v>1</v>
      </c>
    </row>
    <row r="57" spans="1:45" s="1567" customFormat="1" ht="1.1499999999999999" customHeight="1">
      <c r="A57" s="1895"/>
      <c r="B57" s="1895"/>
      <c r="C57" s="1895"/>
      <c r="D57" s="1895"/>
      <c r="E57" s="1192"/>
      <c r="F57" s="1895"/>
      <c r="G57" s="1895"/>
      <c r="H57" s="1895"/>
      <c r="I57" s="1895"/>
      <c r="J57" s="1895"/>
      <c r="K57" s="1895"/>
      <c r="L57" s="1305"/>
      <c r="M57" s="1896"/>
      <c r="N57" s="1896"/>
      <c r="O57" s="1560"/>
      <c r="P57" s="1241"/>
      <c r="Q57" s="1242"/>
      <c r="R57" s="1241"/>
      <c r="S57" s="1247"/>
      <c r="T57" s="1250" t="s">
        <v>447</v>
      </c>
      <c r="U57" s="1249"/>
      <c r="V57" s="1249"/>
      <c r="W57" s="1249"/>
      <c r="X57" s="1249"/>
      <c r="Y57" s="1249"/>
      <c r="Z57" s="1249"/>
      <c r="AA57" s="1249"/>
      <c r="AB57" s="1249"/>
      <c r="AC57" s="1249"/>
      <c r="AD57" s="1249"/>
      <c r="AE57" s="1249"/>
      <c r="AF57" s="1249"/>
      <c r="AG57" s="1249"/>
      <c r="AH57" s="1249"/>
      <c r="AI57" s="1249"/>
      <c r="AJ57" s="1249"/>
      <c r="AK57" s="1249"/>
      <c r="AL57" s="1249"/>
      <c r="AM57" s="1249"/>
      <c r="AO57" s="1176"/>
      <c r="AP57" s="1176" t="str">
        <f t="shared" si="1"/>
        <v>Добавить наименование тарифа</v>
      </c>
      <c r="AQ57" s="1176"/>
      <c r="AR57" s="1176"/>
      <c r="AS57" s="1567">
        <v>1</v>
      </c>
    </row>
    <row r="58" spans="1:45" ht="11.45" customHeight="1">
      <c r="M58" s="1556"/>
      <c r="N58" s="1556"/>
      <c r="O58" s="1560"/>
      <c r="P58" s="1556"/>
      <c r="Q58" s="1556"/>
      <c r="R58" s="1556"/>
      <c r="S58" s="1556"/>
      <c r="AN58" s="1556"/>
      <c r="AO58" s="1556"/>
      <c r="AP58" s="1556"/>
      <c r="AQ58" s="1556"/>
      <c r="AR58" s="1556"/>
      <c r="AS58" s="1556">
        <v>11</v>
      </c>
    </row>
    <row r="59" spans="1:45" ht="28.5" customHeight="1">
      <c r="O59" s="1560"/>
      <c r="S59" s="1178"/>
      <c r="T59" s="2206"/>
      <c r="U59" s="2206"/>
      <c r="V59" s="2206"/>
      <c r="W59" s="2206"/>
      <c r="X59" s="2206"/>
      <c r="Y59" s="2206"/>
      <c r="Z59" s="2206"/>
      <c r="AA59" s="2206"/>
      <c r="AB59" s="2206"/>
      <c r="AC59" s="2206"/>
      <c r="AD59" s="2206"/>
      <c r="AE59" s="2206"/>
      <c r="AF59" s="2206"/>
      <c r="AG59" s="2206"/>
      <c r="AH59" s="2206"/>
      <c r="AI59" s="2206"/>
      <c r="AJ59" s="2206"/>
      <c r="AK59" s="2206"/>
      <c r="AL59" s="2206"/>
      <c r="AM59" s="2206"/>
      <c r="AS59" s="1556">
        <v>27</v>
      </c>
    </row>
    <row r="60" spans="1:45" ht="65.25" customHeight="1">
      <c r="O60" s="1560"/>
      <c r="T60" s="2206"/>
      <c r="U60" s="2206"/>
      <c r="V60" s="2206"/>
      <c r="W60" s="2206"/>
      <c r="X60" s="2206"/>
      <c r="Y60" s="2206"/>
      <c r="Z60" s="2206"/>
      <c r="AA60" s="2206"/>
      <c r="AB60" s="2206"/>
      <c r="AC60" s="2206"/>
      <c r="AD60" s="2206"/>
      <c r="AE60" s="2206"/>
      <c r="AF60" s="2206"/>
      <c r="AG60" s="2206"/>
      <c r="AH60" s="2206"/>
      <c r="AI60" s="2206"/>
      <c r="AJ60" s="2206"/>
      <c r="AK60" s="2206"/>
      <c r="AL60" s="2206"/>
      <c r="AM60" s="2206"/>
      <c r="AS60" s="1556">
        <v>62</v>
      </c>
    </row>
    <row r="61" spans="1:45" ht="14.65" customHeight="1">
      <c r="O61" s="1560"/>
      <c r="AS61" s="1556">
        <v>14</v>
      </c>
    </row>
    <row r="62" spans="1:45" ht="18.75" customHeight="1">
      <c r="O62" s="1560"/>
      <c r="S62" s="1178"/>
      <c r="T62" s="2206"/>
      <c r="U62" s="2206"/>
      <c r="V62" s="2206"/>
      <c r="W62" s="2206"/>
      <c r="X62" s="2206"/>
      <c r="Y62" s="2206"/>
      <c r="Z62" s="2206"/>
      <c r="AA62" s="2206"/>
      <c r="AB62" s="2206"/>
      <c r="AC62" s="2206"/>
      <c r="AD62" s="2206"/>
      <c r="AE62" s="2206"/>
      <c r="AF62" s="2206"/>
      <c r="AG62" s="2206"/>
      <c r="AH62" s="2206"/>
      <c r="AI62" s="2206"/>
      <c r="AJ62" s="2206"/>
      <c r="AK62" s="2206"/>
      <c r="AL62" s="2206"/>
      <c r="AM62" s="2206"/>
      <c r="AS62" s="1556">
        <v>18</v>
      </c>
    </row>
    <row r="63" spans="1:45" ht="18.75" customHeight="1">
      <c r="O63" s="1560"/>
      <c r="T63" s="2206"/>
      <c r="U63" s="2206"/>
      <c r="V63" s="2206"/>
      <c r="W63" s="2206"/>
      <c r="X63" s="2206"/>
      <c r="Y63" s="2206"/>
      <c r="Z63" s="2206"/>
      <c r="AA63" s="2206"/>
      <c r="AB63" s="2206"/>
      <c r="AC63" s="2206"/>
      <c r="AD63" s="2206"/>
      <c r="AE63" s="2206"/>
      <c r="AF63" s="2206"/>
      <c r="AG63" s="2206"/>
      <c r="AH63" s="2206"/>
      <c r="AI63" s="2206"/>
      <c r="AJ63" s="2206"/>
      <c r="AK63" s="2206"/>
      <c r="AL63" s="2206"/>
      <c r="AM63" s="2206"/>
      <c r="AS63" s="1556">
        <v>18</v>
      </c>
    </row>
    <row r="64" spans="1:45" ht="29.25" customHeight="1">
      <c r="O64" s="1560"/>
      <c r="S64" s="1178"/>
      <c r="T64" s="2206"/>
      <c r="U64" s="2206"/>
      <c r="V64" s="2206"/>
      <c r="W64" s="2206"/>
      <c r="X64" s="2206"/>
      <c r="Y64" s="2206"/>
      <c r="Z64" s="2206"/>
      <c r="AA64" s="2206"/>
      <c r="AB64" s="2206"/>
      <c r="AC64" s="2206"/>
      <c r="AD64" s="2206"/>
      <c r="AE64" s="2206"/>
      <c r="AF64" s="2206"/>
      <c r="AG64" s="2206"/>
      <c r="AH64" s="2206"/>
      <c r="AI64" s="2206"/>
      <c r="AJ64" s="2206"/>
      <c r="AK64" s="2206"/>
      <c r="AL64" s="2206"/>
      <c r="AM64" s="2206"/>
      <c r="AS64" s="1556">
        <v>28</v>
      </c>
    </row>
    <row r="65" spans="1:45" ht="22.5" hidden="1" customHeight="1">
      <c r="A65" s="1556" t="s">
        <v>82</v>
      </c>
      <c r="B65" s="1556">
        <v>0</v>
      </c>
      <c r="C65" s="1556">
        <v>0</v>
      </c>
      <c r="D65" s="1556">
        <v>0</v>
      </c>
      <c r="E65" s="1556">
        <v>0</v>
      </c>
      <c r="F65" s="1556">
        <v>0</v>
      </c>
      <c r="G65" s="1556">
        <v>0</v>
      </c>
      <c r="H65" s="1556">
        <v>0</v>
      </c>
      <c r="I65" s="1556">
        <v>0</v>
      </c>
      <c r="J65" s="1556">
        <v>0</v>
      </c>
      <c r="K65" s="1556">
        <v>0</v>
      </c>
      <c r="L65" s="1860">
        <v>0</v>
      </c>
      <c r="M65" s="1886">
        <v>0</v>
      </c>
      <c r="N65" s="1886">
        <v>0</v>
      </c>
      <c r="O65" s="1886">
        <v>0</v>
      </c>
      <c r="P65" s="1886">
        <v>3</v>
      </c>
      <c r="Q65" s="280">
        <v>3</v>
      </c>
      <c r="R65" s="280">
        <v>3</v>
      </c>
      <c r="S65" s="516">
        <v>12</v>
      </c>
      <c r="T65" s="1556">
        <v>31</v>
      </c>
      <c r="U65" s="1556">
        <v>0</v>
      </c>
      <c r="V65" s="1556">
        <v>0</v>
      </c>
      <c r="W65" s="1556">
        <v>0</v>
      </c>
      <c r="X65" s="1556">
        <v>0</v>
      </c>
      <c r="Y65" s="1556">
        <v>0</v>
      </c>
      <c r="Z65" s="1556">
        <v>0</v>
      </c>
      <c r="AA65" s="1556">
        <v>0</v>
      </c>
      <c r="AB65" s="1556">
        <v>0</v>
      </c>
      <c r="AC65" s="1556">
        <v>0</v>
      </c>
      <c r="AD65" s="1556">
        <v>24</v>
      </c>
      <c r="AE65" s="1556">
        <v>0</v>
      </c>
      <c r="AF65" s="1556">
        <v>24</v>
      </c>
      <c r="AG65" s="1556">
        <v>24</v>
      </c>
      <c r="AH65" s="1556">
        <v>11</v>
      </c>
      <c r="AI65" s="1556">
        <v>3</v>
      </c>
      <c r="AJ65" s="1556">
        <v>11</v>
      </c>
      <c r="AK65" s="1556">
        <v>0</v>
      </c>
      <c r="AL65" s="1556">
        <v>4</v>
      </c>
      <c r="AM65" s="1556">
        <v>115</v>
      </c>
      <c r="AN65" s="1561">
        <v>10</v>
      </c>
      <c r="AO65" s="1561">
        <v>10</v>
      </c>
      <c r="AP65" s="1561">
        <v>10</v>
      </c>
      <c r="AQ65" s="1561">
        <v>10</v>
      </c>
      <c r="AR65" s="1561">
        <v>10</v>
      </c>
      <c r="AS65" s="1556">
        <v>23</v>
      </c>
    </row>
  </sheetData>
  <sheetProtection insertRows="0" deleteColumns="0" deleteRows="0" sort="0" autoFilter="0"/>
  <mergeCells count="112">
    <mergeCell ref="E2:E15"/>
    <mergeCell ref="V2:AC2"/>
    <mergeCell ref="AD2:AL2"/>
    <mergeCell ref="F3:F14"/>
    <mergeCell ref="V3:AC3"/>
    <mergeCell ref="AD3:AL3"/>
    <mergeCell ref="G4:G13"/>
    <mergeCell ref="V4:AC4"/>
    <mergeCell ref="AD4:AL4"/>
    <mergeCell ref="H5:H12"/>
    <mergeCell ref="V5:AC5"/>
    <mergeCell ref="AD5:AL5"/>
    <mergeCell ref="I6:I11"/>
    <mergeCell ref="P6:P11"/>
    <mergeCell ref="V6:AC6"/>
    <mergeCell ref="AD6:AL6"/>
    <mergeCell ref="J7:J10"/>
    <mergeCell ref="Q7:Q10"/>
    <mergeCell ref="V7:AC7"/>
    <mergeCell ref="AD7:AL7"/>
    <mergeCell ref="AK8:AK9"/>
    <mergeCell ref="AM8:AM10"/>
    <mergeCell ref="AH17:AH18"/>
    <mergeCell ref="AI17:AI18"/>
    <mergeCell ref="AJ17:AJ18"/>
    <mergeCell ref="AK17:AK18"/>
    <mergeCell ref="K8:K9"/>
    <mergeCell ref="Z8:Z9"/>
    <mergeCell ref="AA8:AA9"/>
    <mergeCell ref="AB8:AB9"/>
    <mergeCell ref="AC8:AC9"/>
    <mergeCell ref="AH8:AH9"/>
    <mergeCell ref="S26:AJ26"/>
    <mergeCell ref="S27:AJ27"/>
    <mergeCell ref="S29:T29"/>
    <mergeCell ref="V29:AB29"/>
    <mergeCell ref="AD29:AJ29"/>
    <mergeCell ref="S30:T30"/>
    <mergeCell ref="V30:AB30"/>
    <mergeCell ref="AD30:AJ30"/>
    <mergeCell ref="AI8:AI9"/>
    <mergeCell ref="AJ8:AJ9"/>
    <mergeCell ref="S34:T34"/>
    <mergeCell ref="V34:AB34"/>
    <mergeCell ref="AD34:AJ34"/>
    <mergeCell ref="S35:T35"/>
    <mergeCell ref="V35:AB35"/>
    <mergeCell ref="AD35:AJ35"/>
    <mergeCell ref="S31:T31"/>
    <mergeCell ref="V31:AB31"/>
    <mergeCell ref="AD31:AJ31"/>
    <mergeCell ref="S32:T32"/>
    <mergeCell ref="V32:AB32"/>
    <mergeCell ref="AD32:AJ32"/>
    <mergeCell ref="V37:AC37"/>
    <mergeCell ref="AD37:AK37"/>
    <mergeCell ref="S38:AL38"/>
    <mergeCell ref="AM38:AM41"/>
    <mergeCell ref="S39:S41"/>
    <mergeCell ref="T39:T41"/>
    <mergeCell ref="V39:AB39"/>
    <mergeCell ref="AC39:AC41"/>
    <mergeCell ref="AD39:AJ39"/>
    <mergeCell ref="AK39:AK41"/>
    <mergeCell ref="E43:E56"/>
    <mergeCell ref="V43:AC43"/>
    <mergeCell ref="AD43:AL43"/>
    <mergeCell ref="F44:F55"/>
    <mergeCell ref="V44:AC44"/>
    <mergeCell ref="AD44:AL44"/>
    <mergeCell ref="G45:G54"/>
    <mergeCell ref="AL39:AL41"/>
    <mergeCell ref="V40:V41"/>
    <mergeCell ref="W40:W41"/>
    <mergeCell ref="X40:Y40"/>
    <mergeCell ref="Z40:AB40"/>
    <mergeCell ref="AD40:AD41"/>
    <mergeCell ref="AE40:AE41"/>
    <mergeCell ref="AF40:AG40"/>
    <mergeCell ref="AH40:AJ40"/>
    <mergeCell ref="AA41:AB41"/>
    <mergeCell ref="H46:H53"/>
    <mergeCell ref="V46:AC46"/>
    <mergeCell ref="AD46:AL46"/>
    <mergeCell ref="I47:I52"/>
    <mergeCell ref="P47:P52"/>
    <mergeCell ref="V47:AC47"/>
    <mergeCell ref="AD47:AL47"/>
    <mergeCell ref="J48:J51"/>
    <mergeCell ref="AI41:AJ41"/>
    <mergeCell ref="AA42:AB42"/>
    <mergeCell ref="AI42:AJ42"/>
    <mergeCell ref="K49:K50"/>
    <mergeCell ref="Z49:Z50"/>
    <mergeCell ref="AA49:AA50"/>
    <mergeCell ref="AB49:AB50"/>
    <mergeCell ref="AC49:AC50"/>
    <mergeCell ref="AH49:AH50"/>
    <mergeCell ref="AI49:AI50"/>
    <mergeCell ref="V45:AC45"/>
    <mergeCell ref="AD45:AL45"/>
    <mergeCell ref="T63:AM63"/>
    <mergeCell ref="T64:AM64"/>
    <mergeCell ref="AJ49:AJ50"/>
    <mergeCell ref="AK49:AK50"/>
    <mergeCell ref="AM49:AM51"/>
    <mergeCell ref="T59:AM59"/>
    <mergeCell ref="T60:AM60"/>
    <mergeCell ref="T62:AM62"/>
    <mergeCell ref="Q48:Q51"/>
    <mergeCell ref="V48:AC48"/>
    <mergeCell ref="AD48:AL48"/>
  </mergeCells>
  <dataValidations count="8">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AG50 AG18 Y50"/>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327729 AK393265 AK49 AK524337 AK8 AK589873 AK655409 AK17 AK720945 AK786481 AK852017 AK917553 AK983089 AK65585 AK131121 AI49 AK458801 AI8 AC8 AA8 AI17 AK196657 AA49 AC49 AK262193"/>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dataValidation type="list" allowBlank="1" showInputMessage="1" showErrorMessage="1" errorTitle="Ошибка" error="Выберите значение из списка" sqref="T65585 T131121 T196657 T262193 T327729 T393265 T458801 T524337 T589873 T655409 T720945 T786481 T852017 T917553 T983089">
      <formula1>kind_of_heat_transfer</formula1>
    </dataValidation>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formula1>900</formula1>
    </dataValidation>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formula1>kind_of_scheme_in</formula1>
    </dataValidation>
    <dataValidation allowBlank="1" sqref="S131123:AM131129 S196659:AM196665 S262195:AM262201 S327731:AM327737 S393267:AM393273 S458803:AM458809 S524339:AM524345 S589875:AM589881 S655411:AM655417 S720947:AM720953 S786483:AM786489 S852019:AM852025 S917555:AM917561 S983091:AM983097 S65587:AM65593"/>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formula1>kind_of_cons</formula1>
    </dataValidation>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6" tint="0.39997558519241921"/>
  </sheetPr>
  <dimension ref="A1:AS65"/>
  <sheetViews>
    <sheetView showGridLines="0" zoomScale="90" workbookViewId="0">
      <pane xSplit="29" ySplit="42" topLeftCell="AD43" activePane="bottomRight" state="frozen"/>
      <selection pane="topRight" activeCell="AD1" sqref="AD1"/>
      <selection pane="bottomLeft" activeCell="A43" sqref="A43"/>
      <selection pane="bottomRight"/>
    </sheetView>
  </sheetViews>
  <sheetFormatPr defaultColWidth="10.5703125" defaultRowHeight="14.25" customHeight="1"/>
  <cols>
    <col min="1" max="1" width="10.5703125" style="1291" hidden="1"/>
    <col min="2" max="2" width="11" style="1291" hidden="1" customWidth="1"/>
    <col min="3" max="3" width="10.5703125" style="1291" hidden="1"/>
    <col min="4" max="4" width="11.85546875" style="1291" hidden="1" customWidth="1"/>
    <col min="5" max="5" width="10" style="1291" hidden="1" customWidth="1"/>
    <col min="6" max="6" width="8.7109375" style="1291" hidden="1" customWidth="1"/>
    <col min="7" max="7" width="7.5703125" style="1291" hidden="1" customWidth="1"/>
    <col min="8" max="8" width="11.42578125" style="1291" hidden="1" customWidth="1"/>
    <col min="9" max="9" width="12" style="1291" hidden="1" customWidth="1"/>
    <col min="10" max="10" width="9.85546875" style="1291" hidden="1" customWidth="1"/>
    <col min="11" max="11" width="11.42578125" style="1291" hidden="1" customWidth="1"/>
    <col min="12" max="12" width="19.140625" style="2002" hidden="1" customWidth="1"/>
    <col min="13" max="14" width="12.28515625" style="1701" hidden="1" customWidth="1"/>
    <col min="15" max="15" width="23.42578125" style="1701" hidden="1" customWidth="1"/>
    <col min="16" max="16" width="3" style="2000" customWidth="1"/>
    <col min="17" max="18" width="3" style="280" customWidth="1"/>
    <col min="19" max="19" width="12" style="2001" customWidth="1"/>
    <col min="20" max="20" width="31" style="1560" customWidth="1"/>
    <col min="21" max="21" width="0.7109375" style="1560" hidden="1" customWidth="1"/>
    <col min="22" max="22" width="1.7109375" style="1560" hidden="1" customWidth="1"/>
    <col min="23" max="23" width="24.7109375" style="1560" hidden="1" customWidth="1"/>
    <col min="24" max="25" width="0.140625" style="1560" hidden="1" customWidth="1"/>
    <col min="26" max="26" width="11.7109375" style="1560" hidden="1" customWidth="1"/>
    <col min="27" max="27" width="3.7109375" style="1560" hidden="1" customWidth="1"/>
    <col min="28" max="28" width="11.7109375" style="1560" hidden="1" customWidth="1"/>
    <col min="29" max="29" width="8.5703125" style="1560" hidden="1" customWidth="1"/>
    <col min="30" max="30" width="0.140625" style="1560" customWidth="1"/>
    <col min="31" max="31" width="24" style="1560" customWidth="1"/>
    <col min="32" max="33" width="0.140625" style="1560" customWidth="1"/>
    <col min="34" max="34" width="11" style="1560" customWidth="1"/>
    <col min="35" max="35" width="3.7109375" style="1560" customWidth="1"/>
    <col min="36" max="36" width="11" style="1560" customWidth="1"/>
    <col min="37" max="37" width="8.5703125" style="1560" hidden="1" customWidth="1"/>
    <col min="38" max="38" width="4" style="1560" customWidth="1"/>
    <col min="39" max="39" width="115" style="1560" customWidth="1"/>
    <col min="40" max="44" width="10" style="1567" customWidth="1"/>
    <col min="45" max="45" width="10.5703125" style="1560" hidden="1"/>
  </cols>
  <sheetData>
    <row r="1" spans="1:45" ht="22.5" hidden="1" customHeight="1">
      <c r="Y1" s="263"/>
      <c r="Z1" s="263"/>
      <c r="AG1" s="263"/>
      <c r="AH1" s="263"/>
      <c r="AS1" s="1080" t="s">
        <v>14</v>
      </c>
    </row>
    <row r="2" spans="1:45" ht="21" hidden="1" customHeight="1">
      <c r="A2" s="1288"/>
      <c r="B2" s="1288"/>
      <c r="C2" s="1288"/>
      <c r="D2" s="1288"/>
      <c r="E2" s="2186">
        <v>1</v>
      </c>
      <c r="F2" s="1288"/>
      <c r="G2" s="1288"/>
      <c r="H2" s="1288"/>
      <c r="I2" s="1288"/>
      <c r="J2" s="1288"/>
      <c r="K2" s="1288"/>
      <c r="L2" s="1289"/>
      <c r="M2" s="1290"/>
      <c r="N2" s="1290"/>
      <c r="O2" s="1290"/>
      <c r="P2" s="296"/>
      <c r="Q2" s="295"/>
      <c r="R2" s="290"/>
      <c r="S2" s="1261" t="e">
        <f>INDEX(PT_DIFFERENTIATION_NUM_NTAR,MATCH(A2,PT_DIFFERENTIATION_NTAR_ID,0))</f>
        <v>#N/A</v>
      </c>
      <c r="T2" s="234" t="s">
        <v>124</v>
      </c>
      <c r="U2" s="236"/>
      <c r="V2" s="2172"/>
      <c r="W2" s="2173"/>
      <c r="X2" s="2173"/>
      <c r="Y2" s="2173"/>
      <c r="Z2" s="2173"/>
      <c r="AA2" s="2173"/>
      <c r="AB2" s="2173"/>
      <c r="AC2" s="2174"/>
      <c r="AD2" s="2172" t="e">
        <f>INDEX(PT_DIFFERENTIATION_NTAR,MATCH(A2,PT_DIFFERENTIATION_NTAR_ID,0))</f>
        <v>#N/A</v>
      </c>
      <c r="AE2" s="2173"/>
      <c r="AF2" s="2173"/>
      <c r="AG2" s="2173"/>
      <c r="AH2" s="2173"/>
      <c r="AI2" s="2173"/>
      <c r="AJ2" s="2173"/>
      <c r="AK2" s="2173"/>
      <c r="AL2" s="2174"/>
      <c r="AM2" s="1183" t="s">
        <v>395</v>
      </c>
      <c r="AO2" s="435"/>
      <c r="AP2" s="435" t="str">
        <f t="shared" ref="AP2:AP15" si="0">IF(T2="","",T2)</f>
        <v>Наименование тарифа</v>
      </c>
      <c r="AQ2" s="435"/>
      <c r="AR2" s="435"/>
      <c r="AS2" s="1080">
        <v>0</v>
      </c>
    </row>
    <row r="3" spans="1:45" ht="21" hidden="1" customHeight="1">
      <c r="A3" s="1288"/>
      <c r="B3" s="1288"/>
      <c r="C3" s="1288"/>
      <c r="D3" s="1288"/>
      <c r="E3" s="2187"/>
      <c r="F3" s="2186">
        <v>1</v>
      </c>
      <c r="G3" s="1288"/>
      <c r="H3" s="1288"/>
      <c r="I3" s="1288"/>
      <c r="J3" s="1288"/>
      <c r="K3" s="1288"/>
      <c r="L3" s="1289"/>
      <c r="M3" s="1290"/>
      <c r="N3" s="1290"/>
      <c r="O3" s="1290"/>
      <c r="P3" s="1257"/>
      <c r="Q3" s="287"/>
      <c r="R3" s="288"/>
      <c r="S3" s="1261" t="e">
        <f>INDEX(PT_DIFFERENTIATION_NUM_TER,MATCH(B3,PT_DIFFERENTIATION_TER_ID,0))</f>
        <v>#N/A</v>
      </c>
      <c r="T3" s="244" t="s">
        <v>396</v>
      </c>
      <c r="U3" s="236"/>
      <c r="V3" s="2172"/>
      <c r="W3" s="2173"/>
      <c r="X3" s="2173"/>
      <c r="Y3" s="2173"/>
      <c r="Z3" s="2173"/>
      <c r="AA3" s="2173"/>
      <c r="AB3" s="2173"/>
      <c r="AC3" s="2174"/>
      <c r="AD3" s="2172" t="e">
        <f>INDEX(PT_DIFFERENTIATION_TER,MATCH(B3,PT_DIFFERENTIATION_TER_ID,0))</f>
        <v>#N/A</v>
      </c>
      <c r="AE3" s="2173"/>
      <c r="AF3" s="2173"/>
      <c r="AG3" s="2173"/>
      <c r="AH3" s="2173"/>
      <c r="AI3" s="2173"/>
      <c r="AJ3" s="2173"/>
      <c r="AK3" s="2173"/>
      <c r="AL3" s="2174"/>
      <c r="AM3" s="1183" t="s">
        <v>397</v>
      </c>
      <c r="AO3" s="435"/>
      <c r="AP3" s="435" t="str">
        <f t="shared" si="0"/>
        <v>Территория действия тарифа</v>
      </c>
      <c r="AQ3" s="435"/>
      <c r="AR3" s="435"/>
      <c r="AS3" s="1080">
        <v>0</v>
      </c>
    </row>
    <row r="4" spans="1:45" ht="23.25" hidden="1" customHeight="1">
      <c r="A4" s="1288"/>
      <c r="B4" s="1288"/>
      <c r="C4" s="1288"/>
      <c r="D4" s="1288"/>
      <c r="E4" s="2187"/>
      <c r="F4" s="2187"/>
      <c r="G4" s="2186">
        <v>1</v>
      </c>
      <c r="H4" s="1288"/>
      <c r="I4" s="1288"/>
      <c r="J4" s="1288"/>
      <c r="K4" s="1288"/>
      <c r="L4" s="1289"/>
      <c r="M4" s="1290"/>
      <c r="N4" s="1290"/>
      <c r="O4" s="1290"/>
      <c r="P4" s="289"/>
      <c r="Q4" s="287"/>
      <c r="R4" s="288"/>
      <c r="S4" s="1261" t="e">
        <f>INDEX(PT_DIFFERENTIATION_NUM_CS,MATCH(C4,PT_DIFFERENTIATION_CS_ID,0))</f>
        <v>#N/A</v>
      </c>
      <c r="T4" s="245" t="s">
        <v>398</v>
      </c>
      <c r="U4" s="236"/>
      <c r="V4" s="2172"/>
      <c r="W4" s="2173"/>
      <c r="X4" s="2173"/>
      <c r="Y4" s="2173"/>
      <c r="Z4" s="2173"/>
      <c r="AA4" s="2173"/>
      <c r="AB4" s="2173"/>
      <c r="AC4" s="2174"/>
      <c r="AD4" s="2172" t="e">
        <f>INDEX(PT_DIFFERENTIATION_CS,MATCH(C4,PT_DIFFERENTIATION_CS_ID,0))</f>
        <v>#N/A</v>
      </c>
      <c r="AE4" s="2173"/>
      <c r="AF4" s="2173"/>
      <c r="AG4" s="2173"/>
      <c r="AH4" s="2173"/>
      <c r="AI4" s="2173"/>
      <c r="AJ4" s="2173"/>
      <c r="AK4" s="2173"/>
      <c r="AL4" s="2174"/>
      <c r="AM4" s="1183" t="s">
        <v>399</v>
      </c>
      <c r="AO4" s="435"/>
      <c r="AP4" s="435" t="str">
        <f t="shared" si="0"/>
        <v xml:space="preserve">Наименование системы теплоснабжения </v>
      </c>
      <c r="AQ4" s="435"/>
      <c r="AR4" s="435"/>
      <c r="AS4" s="1080">
        <v>0</v>
      </c>
    </row>
    <row r="5" spans="1:45" ht="21" hidden="1" customHeight="1">
      <c r="A5" s="1288"/>
      <c r="B5" s="1288"/>
      <c r="C5" s="1288"/>
      <c r="D5" s="1288"/>
      <c r="E5" s="2187"/>
      <c r="F5" s="2187"/>
      <c r="G5" s="2187"/>
      <c r="H5" s="2186">
        <v>1</v>
      </c>
      <c r="I5" s="1288"/>
      <c r="J5" s="1288"/>
      <c r="K5" s="1288"/>
      <c r="L5" s="1289"/>
      <c r="M5" s="1290"/>
      <c r="N5" s="1290"/>
      <c r="O5" s="1290"/>
      <c r="P5" s="289"/>
      <c r="Q5" s="287"/>
      <c r="R5" s="288"/>
      <c r="S5" s="1261" t="e">
        <f>INDEX(PT_DIFFERENTIATION_NUM_IST_TE,MATCH(D5,PT_DIFFERENTIATION_IST_TE_ID,0))</f>
        <v>#N/A</v>
      </c>
      <c r="T5" s="246" t="s">
        <v>400</v>
      </c>
      <c r="U5" s="236"/>
      <c r="V5" s="2172"/>
      <c r="W5" s="2173"/>
      <c r="X5" s="2173"/>
      <c r="Y5" s="2173"/>
      <c r="Z5" s="2173"/>
      <c r="AA5" s="2173"/>
      <c r="AB5" s="2173"/>
      <c r="AC5" s="2174"/>
      <c r="AD5" s="2172" t="e">
        <f>INDEX(PT_DIFFERENTIATION_IST_TE,MATCH(D5,PT_DIFFERENTIATION_IST_TE_ID,0))</f>
        <v>#N/A</v>
      </c>
      <c r="AE5" s="2173"/>
      <c r="AF5" s="2173"/>
      <c r="AG5" s="2173"/>
      <c r="AH5" s="2173"/>
      <c r="AI5" s="2173"/>
      <c r="AJ5" s="2173"/>
      <c r="AK5" s="2173"/>
      <c r="AL5" s="2174"/>
      <c r="AM5" s="1183" t="s">
        <v>401</v>
      </c>
      <c r="AO5" s="435"/>
      <c r="AP5" s="435" t="str">
        <f t="shared" si="0"/>
        <v xml:space="preserve">Источник тепловой энергии  </v>
      </c>
      <c r="AQ5" s="435"/>
      <c r="AR5" s="435"/>
      <c r="AS5" s="1080">
        <v>0</v>
      </c>
    </row>
    <row r="6" spans="1:45" ht="47.25" hidden="1" customHeight="1">
      <c r="A6" s="1288"/>
      <c r="B6" s="1288"/>
      <c r="C6" s="1288"/>
      <c r="D6" s="1288"/>
      <c r="E6" s="2187"/>
      <c r="F6" s="2187"/>
      <c r="G6" s="2187"/>
      <c r="H6" s="2187"/>
      <c r="I6" s="2184" t="e">
        <f>S5&amp;".1"</f>
        <v>#N/A</v>
      </c>
      <c r="J6" s="1288"/>
      <c r="K6" s="1288"/>
      <c r="L6" s="1289" t="s">
        <v>402</v>
      </c>
      <c r="M6" s="472"/>
      <c r="P6" s="2185">
        <v>1</v>
      </c>
      <c r="Q6" s="1256"/>
      <c r="R6" s="291"/>
      <c r="S6" s="1261" t="e">
        <f>$I6</f>
        <v>#N/A</v>
      </c>
      <c r="T6" s="221" t="s">
        <v>403</v>
      </c>
      <c r="U6" s="236"/>
      <c r="V6" s="2175"/>
      <c r="W6" s="2176"/>
      <c r="X6" s="2176"/>
      <c r="Y6" s="2176"/>
      <c r="Z6" s="2176"/>
      <c r="AA6" s="2176"/>
      <c r="AB6" s="2176"/>
      <c r="AC6" s="2177"/>
      <c r="AD6" s="2175"/>
      <c r="AE6" s="2176"/>
      <c r="AF6" s="2176"/>
      <c r="AG6" s="2176"/>
      <c r="AH6" s="2176"/>
      <c r="AI6" s="2176"/>
      <c r="AJ6" s="2176"/>
      <c r="AK6" s="2176"/>
      <c r="AL6" s="2177"/>
      <c r="AM6" s="1183" t="s">
        <v>404</v>
      </c>
      <c r="AO6" s="435"/>
      <c r="AP6" s="435" t="str">
        <f t="shared" si="0"/>
        <v>Схема подключения теплопотребляющей установки к коллектору источника тепловой энергии</v>
      </c>
      <c r="AQ6" s="435"/>
      <c r="AR6" s="435"/>
      <c r="AS6" s="1080">
        <v>0</v>
      </c>
    </row>
    <row r="7" spans="1:45" ht="21" hidden="1" customHeight="1">
      <c r="A7" s="1288"/>
      <c r="B7" s="1288"/>
      <c r="C7" s="1288"/>
      <c r="D7" s="1288"/>
      <c r="E7" s="2187"/>
      <c r="F7" s="2187"/>
      <c r="G7" s="2187"/>
      <c r="H7" s="2187"/>
      <c r="I7" s="2207"/>
      <c r="J7" s="2184" t="e">
        <f>I6&amp;".1"</f>
        <v>#N/A</v>
      </c>
      <c r="K7" s="1288"/>
      <c r="L7" s="1289" t="s">
        <v>405</v>
      </c>
      <c r="M7" s="472"/>
      <c r="N7" s="1291"/>
      <c r="P7" s="2185"/>
      <c r="Q7" s="2185">
        <v>1</v>
      </c>
      <c r="R7" s="292"/>
      <c r="S7" s="1261" t="e">
        <f>$J7</f>
        <v>#N/A</v>
      </c>
      <c r="T7" s="222" t="s">
        <v>406</v>
      </c>
      <c r="U7" s="236"/>
      <c r="V7" s="2175"/>
      <c r="W7" s="2176"/>
      <c r="X7" s="2176"/>
      <c r="Y7" s="2176"/>
      <c r="Z7" s="2176"/>
      <c r="AA7" s="2176"/>
      <c r="AB7" s="2176"/>
      <c r="AC7" s="2177"/>
      <c r="AD7" s="2175"/>
      <c r="AE7" s="2176"/>
      <c r="AF7" s="2176"/>
      <c r="AG7" s="2176"/>
      <c r="AH7" s="2176"/>
      <c r="AI7" s="2176"/>
      <c r="AJ7" s="2176"/>
      <c r="AK7" s="2176"/>
      <c r="AL7" s="2177"/>
      <c r="AM7" s="1183" t="s">
        <v>407</v>
      </c>
      <c r="AO7" s="435"/>
      <c r="AP7" s="435" t="str">
        <f t="shared" si="0"/>
        <v>Группа потребителей</v>
      </c>
      <c r="AQ7" s="435"/>
      <c r="AR7" s="435"/>
      <c r="AS7" s="1080">
        <v>0</v>
      </c>
    </row>
    <row r="8" spans="1:45" ht="21" hidden="1" customHeight="1">
      <c r="A8" s="1288"/>
      <c r="B8" s="1288"/>
      <c r="C8" s="1288"/>
      <c r="D8" s="1288"/>
      <c r="E8" s="2187"/>
      <c r="F8" s="2187"/>
      <c r="G8" s="2187"/>
      <c r="H8" s="2187"/>
      <c r="I8" s="2207"/>
      <c r="J8" s="2207"/>
      <c r="K8" s="2184" t="e">
        <f>J7&amp;".1"</f>
        <v>#N/A</v>
      </c>
      <c r="L8" s="1289" t="s">
        <v>408</v>
      </c>
      <c r="M8" s="472"/>
      <c r="N8" s="1291"/>
      <c r="O8" s="1291"/>
      <c r="P8" s="2185"/>
      <c r="Q8" s="2185"/>
      <c r="R8" s="292">
        <v>1</v>
      </c>
      <c r="S8" s="1261" t="e">
        <f>$K8</f>
        <v>#N/A</v>
      </c>
      <c r="T8" s="1272"/>
      <c r="U8" s="236"/>
      <c r="V8" s="261"/>
      <c r="W8" s="686"/>
      <c r="X8" s="261"/>
      <c r="Y8" s="319"/>
      <c r="Z8" s="2189"/>
      <c r="AA8" s="2047" t="s">
        <v>66</v>
      </c>
      <c r="AB8" s="2189"/>
      <c r="AC8" s="2047" t="s">
        <v>66</v>
      </c>
      <c r="AD8" s="261"/>
      <c r="AE8" s="686"/>
      <c r="AF8" s="261"/>
      <c r="AG8" s="319"/>
      <c r="AH8" s="2189"/>
      <c r="AI8" s="2047" t="s">
        <v>66</v>
      </c>
      <c r="AJ8" s="2189"/>
      <c r="AK8" s="2047" t="s">
        <v>66</v>
      </c>
      <c r="AL8" s="261"/>
      <c r="AM8" s="2181" t="s">
        <v>409</v>
      </c>
      <c r="AN8" s="446" t="e">
        <f ca="1">STRCHECKDATE(V9:AL9)</f>
        <v>#NAME?</v>
      </c>
      <c r="AO8" s="435"/>
      <c r="AP8" s="435" t="str">
        <f t="shared" si="0"/>
        <v/>
      </c>
      <c r="AQ8" s="435"/>
      <c r="AR8" s="435"/>
      <c r="AS8" s="1080">
        <v>0</v>
      </c>
    </row>
    <row r="9" spans="1:45" ht="0.75" hidden="1" customHeight="1">
      <c r="A9" s="1288"/>
      <c r="B9" s="1288"/>
      <c r="C9" s="1288"/>
      <c r="D9" s="1288"/>
      <c r="E9" s="2187"/>
      <c r="F9" s="2187"/>
      <c r="G9" s="2187"/>
      <c r="H9" s="2187"/>
      <c r="I9" s="2207"/>
      <c r="J9" s="2207"/>
      <c r="K9" s="2184"/>
      <c r="L9" s="1289"/>
      <c r="M9" s="472"/>
      <c r="N9" s="1291"/>
      <c r="O9" s="1291"/>
      <c r="P9" s="2185"/>
      <c r="Q9" s="2185"/>
      <c r="R9" s="292"/>
      <c r="S9" s="1267"/>
      <c r="T9" s="236"/>
      <c r="U9" s="236"/>
      <c r="V9" s="261"/>
      <c r="W9" s="261"/>
      <c r="X9" s="261"/>
      <c r="Y9" s="264" t="str">
        <f>Z8&amp;"-"&amp;AB8</f>
        <v>-</v>
      </c>
      <c r="Z9" s="2190"/>
      <c r="AA9" s="2047"/>
      <c r="AB9" s="2190"/>
      <c r="AC9" s="2047"/>
      <c r="AD9" s="261"/>
      <c r="AE9" s="261"/>
      <c r="AF9" s="261"/>
      <c r="AG9" s="264" t="str">
        <f>AH8&amp;"-"&amp;AJ8</f>
        <v>-</v>
      </c>
      <c r="AH9" s="2190"/>
      <c r="AI9" s="2047"/>
      <c r="AJ9" s="2190"/>
      <c r="AK9" s="2047"/>
      <c r="AL9" s="261"/>
      <c r="AM9" s="2182"/>
      <c r="AO9" s="435"/>
      <c r="AP9" s="435" t="str">
        <f t="shared" si="0"/>
        <v/>
      </c>
      <c r="AQ9" s="435"/>
      <c r="AR9" s="435"/>
      <c r="AS9" s="1080">
        <v>0</v>
      </c>
    </row>
    <row r="10" spans="1:45" ht="15" hidden="1" customHeight="1">
      <c r="A10" s="1288"/>
      <c r="B10" s="1288"/>
      <c r="C10" s="1288"/>
      <c r="D10" s="1288"/>
      <c r="E10" s="2187"/>
      <c r="F10" s="2187"/>
      <c r="G10" s="2187"/>
      <c r="H10" s="2187"/>
      <c r="I10" s="2207"/>
      <c r="J10" s="2184"/>
      <c r="K10" s="1288"/>
      <c r="L10" s="1289"/>
      <c r="M10" s="472"/>
      <c r="N10" s="1291"/>
      <c r="P10" s="2185"/>
      <c r="Q10" s="2185"/>
      <c r="R10" s="291"/>
      <c r="S10" s="1203"/>
      <c r="T10" s="224" t="s">
        <v>410</v>
      </c>
      <c r="U10" s="302"/>
      <c r="V10" s="302"/>
      <c r="W10" s="302"/>
      <c r="X10" s="302"/>
      <c r="Y10" s="302"/>
      <c r="Z10" s="302"/>
      <c r="AA10" s="302"/>
      <c r="AB10" s="302"/>
      <c r="AC10" s="302"/>
      <c r="AD10" s="302"/>
      <c r="AE10" s="302"/>
      <c r="AF10" s="302"/>
      <c r="AG10" s="302"/>
      <c r="AH10" s="302"/>
      <c r="AI10" s="302"/>
      <c r="AJ10" s="302"/>
      <c r="AK10" s="302"/>
      <c r="AL10" s="260"/>
      <c r="AM10" s="2183"/>
      <c r="AO10" s="435"/>
      <c r="AP10" s="435" t="str">
        <f t="shared" si="0"/>
        <v>Добавить вид теплоносителя (параметры теплоносителя)</v>
      </c>
      <c r="AQ10" s="435"/>
      <c r="AR10" s="435"/>
      <c r="AS10" s="1080">
        <v>0</v>
      </c>
    </row>
    <row r="11" spans="1:45" ht="15" hidden="1" customHeight="1">
      <c r="A11" s="1288"/>
      <c r="B11" s="1288"/>
      <c r="C11" s="1288"/>
      <c r="D11" s="1288"/>
      <c r="E11" s="2187"/>
      <c r="F11" s="2187"/>
      <c r="G11" s="2187"/>
      <c r="H11" s="2187"/>
      <c r="I11" s="2184"/>
      <c r="J11" s="1288"/>
      <c r="K11" s="1288"/>
      <c r="L11" s="1289"/>
      <c r="M11" s="472"/>
      <c r="P11" s="2185"/>
      <c r="Q11" s="1256"/>
      <c r="R11" s="291"/>
      <c r="S11" s="1203"/>
      <c r="T11" s="223" t="s">
        <v>411</v>
      </c>
      <c r="U11" s="302"/>
      <c r="V11" s="302"/>
      <c r="W11" s="302"/>
      <c r="X11" s="302"/>
      <c r="Y11" s="302"/>
      <c r="Z11" s="302"/>
      <c r="AA11" s="302"/>
      <c r="AB11" s="302"/>
      <c r="AC11" s="301"/>
      <c r="AD11" s="302"/>
      <c r="AE11" s="302"/>
      <c r="AF11" s="302"/>
      <c r="AG11" s="302"/>
      <c r="AH11" s="302"/>
      <c r="AI11" s="302"/>
      <c r="AJ11" s="302"/>
      <c r="AK11" s="301"/>
      <c r="AL11" s="302"/>
      <c r="AM11" s="239"/>
      <c r="AO11" s="435"/>
      <c r="AP11" s="435" t="str">
        <f t="shared" si="0"/>
        <v>Добавить группу потребителей</v>
      </c>
      <c r="AQ11" s="435"/>
      <c r="AR11" s="435"/>
      <c r="AS11" s="1080">
        <v>0</v>
      </c>
    </row>
    <row r="12" spans="1:45" ht="14.25" hidden="1" customHeight="1">
      <c r="A12" s="1288"/>
      <c r="B12" s="1288"/>
      <c r="C12" s="1288"/>
      <c r="D12" s="1288"/>
      <c r="E12" s="2187"/>
      <c r="F12" s="2187"/>
      <c r="G12" s="2187"/>
      <c r="H12" s="2186"/>
      <c r="I12" s="1288"/>
      <c r="J12" s="1288"/>
      <c r="K12" s="1288"/>
      <c r="L12" s="1289"/>
      <c r="M12" s="1290"/>
      <c r="N12" s="1290"/>
      <c r="O12" s="472"/>
      <c r="P12" s="295"/>
      <c r="Q12" s="310"/>
      <c r="R12" s="290"/>
      <c r="S12" s="1203"/>
      <c r="T12" s="300" t="s">
        <v>412</v>
      </c>
      <c r="U12" s="302"/>
      <c r="V12" s="302"/>
      <c r="W12" s="302"/>
      <c r="X12" s="302"/>
      <c r="Y12" s="302"/>
      <c r="Z12" s="302"/>
      <c r="AA12" s="302"/>
      <c r="AB12" s="302"/>
      <c r="AC12" s="301"/>
      <c r="AD12" s="302"/>
      <c r="AE12" s="302"/>
      <c r="AF12" s="302"/>
      <c r="AG12" s="302"/>
      <c r="AH12" s="302"/>
      <c r="AI12" s="302"/>
      <c r="AJ12" s="302"/>
      <c r="AK12" s="301"/>
      <c r="AL12" s="302"/>
      <c r="AM12" s="239"/>
      <c r="AO12" s="435"/>
      <c r="AP12" s="435" t="str">
        <f t="shared" si="0"/>
        <v>Добавить схему подключения</v>
      </c>
      <c r="AQ12" s="435"/>
      <c r="AR12" s="435"/>
      <c r="AS12" s="1080">
        <v>0</v>
      </c>
    </row>
    <row r="13" spans="1:45" s="1567" customFormat="1" ht="0.75" hidden="1" customHeight="1">
      <c r="A13" s="1239"/>
      <c r="B13" s="1239"/>
      <c r="C13" s="1239"/>
      <c r="D13" s="1239"/>
      <c r="E13" s="2187"/>
      <c r="F13" s="2187"/>
      <c r="G13" s="2186"/>
      <c r="H13" s="1239"/>
      <c r="I13" s="1239"/>
      <c r="J13" s="1239"/>
      <c r="K13" s="1239"/>
      <c r="L13" s="1264"/>
      <c r="M13" s="1240"/>
      <c r="N13" s="1240"/>
      <c r="P13" s="1241"/>
      <c r="Q13" s="1242"/>
      <c r="R13" s="1241"/>
      <c r="S13" s="1243"/>
      <c r="T13" s="1244" t="s">
        <v>413</v>
      </c>
      <c r="U13" s="1245"/>
      <c r="V13" s="1245"/>
      <c r="W13" s="1245"/>
      <c r="X13" s="1245"/>
      <c r="Y13" s="1245"/>
      <c r="Z13" s="1245"/>
      <c r="AA13" s="1245"/>
      <c r="AB13" s="1245"/>
      <c r="AC13" s="1245"/>
      <c r="AD13" s="1245"/>
      <c r="AE13" s="1245"/>
      <c r="AF13" s="1245"/>
      <c r="AG13" s="1245"/>
      <c r="AH13" s="1245"/>
      <c r="AI13" s="1245"/>
      <c r="AJ13" s="1245"/>
      <c r="AK13" s="1245"/>
      <c r="AL13" s="1245"/>
      <c r="AM13" s="1245"/>
      <c r="AO13" s="718"/>
      <c r="AP13" s="718" t="str">
        <f t="shared" si="0"/>
        <v>Добавить источник для дифференциации</v>
      </c>
      <c r="AQ13" s="718"/>
      <c r="AR13" s="718"/>
      <c r="AS13" s="453">
        <v>0</v>
      </c>
    </row>
    <row r="14" spans="1:45" s="1567" customFormat="1" ht="0.75" hidden="1" customHeight="1">
      <c r="A14" s="1239"/>
      <c r="B14" s="1239"/>
      <c r="C14" s="1239"/>
      <c r="D14" s="1239"/>
      <c r="E14" s="2187"/>
      <c r="F14" s="2186"/>
      <c r="G14" s="1239"/>
      <c r="H14" s="1239"/>
      <c r="I14" s="1239"/>
      <c r="J14" s="1239"/>
      <c r="K14" s="1239"/>
      <c r="L14" s="1264"/>
      <c r="M14" s="1246"/>
      <c r="N14" s="1246"/>
      <c r="P14" s="1241"/>
      <c r="Q14" s="1242"/>
      <c r="R14" s="1241"/>
      <c r="S14" s="1247"/>
      <c r="T14" s="1248" t="s">
        <v>414</v>
      </c>
      <c r="U14" s="1249"/>
      <c r="V14" s="1249"/>
      <c r="W14" s="1249"/>
      <c r="X14" s="1249"/>
      <c r="Y14" s="1249"/>
      <c r="Z14" s="1249"/>
      <c r="AA14" s="1249"/>
      <c r="AB14" s="1249"/>
      <c r="AC14" s="1249"/>
      <c r="AD14" s="1249"/>
      <c r="AE14" s="1249"/>
      <c r="AF14" s="1249"/>
      <c r="AG14" s="1249"/>
      <c r="AH14" s="1249"/>
      <c r="AI14" s="1249"/>
      <c r="AJ14" s="1249"/>
      <c r="AK14" s="1249"/>
      <c r="AL14" s="1249"/>
      <c r="AM14" s="1249"/>
      <c r="AO14" s="718"/>
      <c r="AP14" s="718" t="str">
        <f t="shared" si="0"/>
        <v>Добавить централизованную систему для дифференциации</v>
      </c>
      <c r="AQ14" s="718"/>
      <c r="AR14" s="718"/>
      <c r="AS14" s="453">
        <v>0</v>
      </c>
    </row>
    <row r="15" spans="1:45" s="1567" customFormat="1" ht="0.75" hidden="1" customHeight="1">
      <c r="A15" s="1239"/>
      <c r="B15" s="1239"/>
      <c r="C15" s="1239"/>
      <c r="D15" s="1239"/>
      <c r="E15" s="2186"/>
      <c r="F15" s="1239"/>
      <c r="G15" s="1239"/>
      <c r="H15" s="1239"/>
      <c r="I15" s="1239"/>
      <c r="J15" s="1239"/>
      <c r="K15" s="1239"/>
      <c r="L15" s="1264"/>
      <c r="M15" s="1246"/>
      <c r="N15" s="1246"/>
      <c r="P15" s="1241"/>
      <c r="Q15" s="1242"/>
      <c r="R15" s="1241"/>
      <c r="S15" s="1247"/>
      <c r="T15" s="1250" t="s">
        <v>415</v>
      </c>
      <c r="U15" s="1249"/>
      <c r="V15" s="1249"/>
      <c r="W15" s="1249"/>
      <c r="X15" s="1249"/>
      <c r="Y15" s="1249"/>
      <c r="Z15" s="1249"/>
      <c r="AA15" s="1249"/>
      <c r="AB15" s="1249"/>
      <c r="AC15" s="1249"/>
      <c r="AD15" s="1249"/>
      <c r="AE15" s="1249"/>
      <c r="AF15" s="1249"/>
      <c r="AG15" s="1249"/>
      <c r="AH15" s="1249"/>
      <c r="AI15" s="1249"/>
      <c r="AJ15" s="1249"/>
      <c r="AK15" s="1249"/>
      <c r="AL15" s="1249"/>
      <c r="AM15" s="1249"/>
      <c r="AO15" s="718"/>
      <c r="AP15" s="718" t="str">
        <f t="shared" si="0"/>
        <v>Добавить территорию для дифференциации</v>
      </c>
      <c r="AQ15" s="718"/>
      <c r="AR15" s="718"/>
      <c r="AS15" s="453">
        <v>0</v>
      </c>
    </row>
    <row r="16" spans="1:45" ht="14.25" hidden="1" customHeight="1">
      <c r="AC16" s="263"/>
      <c r="AK16" s="263"/>
      <c r="AS16" s="1080">
        <v>0</v>
      </c>
    </row>
    <row r="17" spans="1:45" ht="14.25" hidden="1" customHeight="1">
      <c r="AD17" s="1285"/>
      <c r="AE17" s="1285"/>
      <c r="AF17" s="1285"/>
      <c r="AG17" s="1286"/>
      <c r="AH17" s="2191"/>
      <c r="AI17" s="2192" t="s">
        <v>66</v>
      </c>
      <c r="AJ17" s="2191"/>
      <c r="AK17" s="2192" t="s">
        <v>66</v>
      </c>
      <c r="AS17" s="1080">
        <v>0</v>
      </c>
    </row>
    <row r="18" spans="1:45" ht="14.25" hidden="1" customHeight="1">
      <c r="AD18" s="1285"/>
      <c r="AE18" s="1285"/>
      <c r="AF18" s="1285"/>
      <c r="AG18" s="264" t="str">
        <f>AH17&amp;"-"&amp;AJ17</f>
        <v>-</v>
      </c>
      <c r="AH18" s="2192"/>
      <c r="AI18" s="2192"/>
      <c r="AJ18" s="2192"/>
      <c r="AK18" s="2192"/>
      <c r="AS18" s="1080">
        <v>0</v>
      </c>
    </row>
    <row r="19" spans="1:45" ht="14.25" hidden="1" customHeight="1">
      <c r="AK19" s="263"/>
      <c r="AS19" s="1080">
        <v>0</v>
      </c>
    </row>
    <row r="20" spans="1:45" s="1291" customFormat="1" ht="22.5" hidden="1" customHeight="1">
      <c r="L20" s="1254"/>
      <c r="M20" s="1287"/>
      <c r="N20" s="1287"/>
      <c r="O20" s="1292" t="s">
        <v>416</v>
      </c>
      <c r="P20" s="1287"/>
      <c r="Q20" s="1296"/>
      <c r="R20" s="1296"/>
      <c r="S20" s="664"/>
      <c r="Z20" s="1292"/>
      <c r="AB20" s="1292"/>
      <c r="AH20" s="1292"/>
      <c r="AJ20" s="1292"/>
      <c r="AN20" s="446"/>
      <c r="AO20" s="446"/>
      <c r="AP20" s="446"/>
      <c r="AQ20" s="446"/>
      <c r="AR20" s="446"/>
      <c r="AS20" s="1085">
        <v>0</v>
      </c>
    </row>
    <row r="21" spans="1:45" s="1291" customFormat="1" ht="14.25" hidden="1" customHeight="1">
      <c r="L21" s="1254"/>
      <c r="M21" s="1287"/>
      <c r="N21" s="1287"/>
      <c r="O21" s="1287"/>
      <c r="P21" s="1287"/>
      <c r="Q21" s="1296"/>
      <c r="R21" s="1296"/>
      <c r="S21" s="664"/>
      <c r="AN21" s="446"/>
      <c r="AO21" s="446"/>
      <c r="AP21" s="446"/>
      <c r="AQ21" s="446"/>
      <c r="AR21" s="446"/>
      <c r="AS21" s="1085">
        <v>0</v>
      </c>
    </row>
    <row r="22" spans="1:45" s="1291" customFormat="1" ht="33.75" hidden="1" customHeight="1">
      <c r="L22" s="1254"/>
      <c r="M22" s="1287"/>
      <c r="N22" s="1287"/>
      <c r="O22" s="1289" t="s">
        <v>417</v>
      </c>
      <c r="P22" s="1287"/>
      <c r="Q22" s="1296"/>
      <c r="R22" s="1296"/>
      <c r="S22" s="664"/>
      <c r="T22" s="1085" t="s">
        <v>418</v>
      </c>
      <c r="AA22" s="122" t="s">
        <v>419</v>
      </c>
      <c r="AC22" s="122" t="s">
        <v>420</v>
      </c>
      <c r="AD22" s="1085" t="s">
        <v>418</v>
      </c>
      <c r="AI22" s="122" t="s">
        <v>421</v>
      </c>
      <c r="AK22" s="122" t="s">
        <v>420</v>
      </c>
      <c r="AN22" s="446"/>
      <c r="AO22" s="446"/>
      <c r="AP22" s="446"/>
      <c r="AQ22" s="446"/>
      <c r="AR22" s="446"/>
      <c r="AS22" s="1085">
        <v>0</v>
      </c>
    </row>
    <row r="23" spans="1:45" ht="14.25" hidden="1" customHeight="1">
      <c r="O23" s="1289"/>
      <c r="AS23" s="1080">
        <v>0</v>
      </c>
    </row>
    <row r="24" spans="1:45" ht="14.25" hidden="1" customHeight="1">
      <c r="O24" s="1289"/>
      <c r="AS24" s="1080">
        <v>0</v>
      </c>
    </row>
    <row r="25" spans="1:45" ht="14.65" customHeight="1">
      <c r="Q25" s="311"/>
      <c r="R25" s="311"/>
      <c r="S25" s="1200"/>
      <c r="T25" s="298"/>
      <c r="U25" s="298"/>
      <c r="V25" s="444"/>
      <c r="W25" s="444"/>
      <c r="X25" s="444"/>
      <c r="Y25" s="444"/>
      <c r="Z25" s="444"/>
      <c r="AA25" s="444"/>
      <c r="AB25" s="444"/>
      <c r="AC25" s="444"/>
      <c r="AD25" s="444"/>
      <c r="AE25" s="444"/>
      <c r="AF25" s="444"/>
      <c r="AG25" s="444"/>
      <c r="AH25" s="444"/>
      <c r="AI25" s="444"/>
      <c r="AJ25" s="444"/>
      <c r="AK25" s="444"/>
      <c r="AS25" s="1080">
        <v>14</v>
      </c>
    </row>
    <row r="26" spans="1:45" ht="29.25" customHeight="1">
      <c r="Q26" s="311"/>
      <c r="R26" s="311"/>
      <c r="S26" s="2170" t="str">
        <f>IF(TEMPLATE_GROUP="P",PT_P_FORM_HEAT_4_NAME_FORM,PT_R_FORM_HEAT_21_NAME_FORM)</f>
        <v>Форма 19. Информация о предложении регулируемой организации о расчетной величине тарифов в сфере теплоснабжения на очередной расчетный период регулирования</v>
      </c>
      <c r="T26" s="2170"/>
      <c r="U26" s="2170"/>
      <c r="V26" s="2170"/>
      <c r="W26" s="2170"/>
      <c r="X26" s="2170"/>
      <c r="Y26" s="2170"/>
      <c r="Z26" s="2170"/>
      <c r="AA26" s="2170"/>
      <c r="AB26" s="2170"/>
      <c r="AC26" s="2170"/>
      <c r="AD26" s="2170"/>
      <c r="AE26" s="2170"/>
      <c r="AF26" s="2170"/>
      <c r="AG26" s="2170"/>
      <c r="AH26" s="2170"/>
      <c r="AI26" s="2170"/>
      <c r="AJ26" s="2170"/>
      <c r="AK26" s="1168"/>
      <c r="AS26" s="1080">
        <v>28</v>
      </c>
    </row>
    <row r="27" spans="1:45" ht="14.65" customHeight="1">
      <c r="Q27" s="311"/>
      <c r="R27" s="311"/>
      <c r="S27" s="2115" t="str">
        <f>IF(org=0,"Не определено",org)</f>
        <v>ООО "ЗЕНИТ ЭНЕРГО"</v>
      </c>
      <c r="T27" s="2115"/>
      <c r="U27" s="2115"/>
      <c r="V27" s="2115"/>
      <c r="W27" s="2115"/>
      <c r="X27" s="2115"/>
      <c r="Y27" s="2115"/>
      <c r="Z27" s="2115"/>
      <c r="AA27" s="2115"/>
      <c r="AB27" s="2115"/>
      <c r="AC27" s="2115"/>
      <c r="AD27" s="2115"/>
      <c r="AE27" s="2115"/>
      <c r="AF27" s="2115"/>
      <c r="AG27" s="2115"/>
      <c r="AH27" s="2115"/>
      <c r="AI27" s="2115"/>
      <c r="AJ27" s="2115"/>
      <c r="AK27" s="1168"/>
      <c r="AS27" s="1080">
        <v>14</v>
      </c>
    </row>
    <row r="28" spans="1:45" ht="14.25" hidden="1" customHeight="1">
      <c r="Q28" s="311"/>
      <c r="R28" s="311"/>
      <c r="S28" s="1200"/>
      <c r="T28" s="298"/>
      <c r="U28" s="298"/>
      <c r="V28" s="258"/>
      <c r="W28" s="258"/>
      <c r="X28" s="258"/>
      <c r="Y28" s="258"/>
      <c r="Z28" s="258"/>
      <c r="AA28" s="258"/>
      <c r="AB28" s="258"/>
      <c r="AC28" s="258"/>
      <c r="AD28" s="258"/>
      <c r="AE28" s="258"/>
      <c r="AF28" s="258"/>
      <c r="AG28" s="258"/>
      <c r="AH28" s="258"/>
      <c r="AI28" s="258"/>
      <c r="AJ28" s="258"/>
      <c r="AK28" s="258"/>
      <c r="AL28" s="444"/>
      <c r="AS28" s="1080">
        <v>0</v>
      </c>
    </row>
    <row r="29" spans="1:45" s="1777" customFormat="1" ht="25.5" hidden="1" customHeight="1">
      <c r="A29" s="1293"/>
      <c r="B29" s="1293"/>
      <c r="C29" s="1293"/>
      <c r="D29" s="1293"/>
      <c r="E29" s="1293"/>
      <c r="F29" s="1293"/>
      <c r="G29" s="1293"/>
      <c r="H29" s="1293"/>
      <c r="I29" s="1293"/>
      <c r="J29" s="1293"/>
      <c r="K29" s="1293"/>
      <c r="L29" s="1294"/>
      <c r="M29" s="1293"/>
      <c r="N29" s="1293"/>
      <c r="O29" s="1293"/>
      <c r="S29" s="2178" t="s">
        <v>42</v>
      </c>
      <c r="T29" s="2178"/>
      <c r="U29" s="1297"/>
      <c r="V29" s="2179" t="str">
        <f>IF(TITLE_NAME_OR_PR_CHANGE="",IF(TITLE_NAME_OR_PR="","",TITLE_NAME_OR_PR),TITLE_NAME_OR_PR_CHANGE)</f>
        <v/>
      </c>
      <c r="W29" s="2179"/>
      <c r="X29" s="2179"/>
      <c r="Y29" s="2179"/>
      <c r="Z29" s="2179"/>
      <c r="AA29" s="2179"/>
      <c r="AB29" s="2179"/>
      <c r="AC29" s="262"/>
      <c r="AD29" s="2179" t="str">
        <f>IF(TITLE_NAME_OR_PR_CHANGE="",IF(TITLE_NAME_OR_PR="","",TITLE_NAME_OR_PR),TITLE_NAME_OR_PR_CHANGE)</f>
        <v/>
      </c>
      <c r="AE29" s="2179"/>
      <c r="AF29" s="2179"/>
      <c r="AG29" s="2179"/>
      <c r="AH29" s="2179"/>
      <c r="AI29" s="2179"/>
      <c r="AJ29" s="2179"/>
      <c r="AK29" s="262"/>
      <c r="AL29" s="262"/>
      <c r="AM29" s="216"/>
      <c r="AN29" s="303"/>
      <c r="AO29" s="303"/>
      <c r="AP29" s="303"/>
      <c r="AQ29" s="303"/>
      <c r="AR29" s="303"/>
      <c r="AS29" s="353">
        <v>0</v>
      </c>
    </row>
    <row r="30" spans="1:45" s="1777" customFormat="1" ht="18.75" hidden="1" customHeight="1">
      <c r="A30" s="1293"/>
      <c r="B30" s="1293"/>
      <c r="C30" s="1293"/>
      <c r="D30" s="1293"/>
      <c r="E30" s="1293"/>
      <c r="F30" s="1293"/>
      <c r="G30" s="1293"/>
      <c r="H30" s="1293"/>
      <c r="I30" s="1293"/>
      <c r="J30" s="1293"/>
      <c r="K30" s="1293"/>
      <c r="L30" s="1294"/>
      <c r="M30" s="1293"/>
      <c r="N30" s="1293"/>
      <c r="O30" s="1293"/>
      <c r="S30" s="2178" t="s">
        <v>422</v>
      </c>
      <c r="T30" s="2178"/>
      <c r="U30" s="1297"/>
      <c r="V30" s="2188" t="str">
        <f>IF(TITLE_DATE_PR_CHANGE="",IF(TITLE_DATE_PR="","",TITLE_DATE_PR),TITLE_DATE_PR_CHANGE)</f>
        <v/>
      </c>
      <c r="W30" s="2188"/>
      <c r="X30" s="2188"/>
      <c r="Y30" s="2188"/>
      <c r="Z30" s="2188"/>
      <c r="AA30" s="2188"/>
      <c r="AB30" s="2188"/>
      <c r="AC30" s="262"/>
      <c r="AD30" s="2188" t="str">
        <f>IF(TITLE_DATE_PR_CHANGE="",IF(TITLE_DATE_PR="","",TITLE_DATE_PR),TITLE_DATE_PR_CHANGE)</f>
        <v/>
      </c>
      <c r="AE30" s="2188"/>
      <c r="AF30" s="2188"/>
      <c r="AG30" s="2188"/>
      <c r="AH30" s="2188"/>
      <c r="AI30" s="2188"/>
      <c r="AJ30" s="2188"/>
      <c r="AK30" s="262"/>
      <c r="AL30" s="262"/>
      <c r="AM30" s="216"/>
      <c r="AN30" s="303"/>
      <c r="AO30" s="303"/>
      <c r="AP30" s="303"/>
      <c r="AQ30" s="303"/>
      <c r="AR30" s="303"/>
      <c r="AS30" s="353">
        <v>0</v>
      </c>
    </row>
    <row r="31" spans="1:45" s="1777" customFormat="1" ht="18.75" hidden="1" customHeight="1">
      <c r="A31" s="1293"/>
      <c r="B31" s="1293"/>
      <c r="C31" s="1293"/>
      <c r="D31" s="1293"/>
      <c r="E31" s="1293"/>
      <c r="F31" s="1293"/>
      <c r="G31" s="1293"/>
      <c r="H31" s="1293"/>
      <c r="I31" s="1293"/>
      <c r="J31" s="1293"/>
      <c r="K31" s="1293"/>
      <c r="L31" s="1294"/>
      <c r="M31" s="1293"/>
      <c r="N31" s="1293"/>
      <c r="O31" s="1293"/>
      <c r="S31" s="2178" t="s">
        <v>423</v>
      </c>
      <c r="T31" s="2178"/>
      <c r="U31" s="1297"/>
      <c r="V31" s="2179" t="str">
        <f>IF(TITLE_NUMBER_PR_CHANGE="",IF(TITLE_NUMBER_PR="","",TITLE_NUMBER_PR),TITLE_NUMBER_PR_CHANGE)</f>
        <v/>
      </c>
      <c r="W31" s="2179"/>
      <c r="X31" s="2179"/>
      <c r="Y31" s="2179"/>
      <c r="Z31" s="2179"/>
      <c r="AA31" s="2179"/>
      <c r="AB31" s="2179"/>
      <c r="AC31" s="262"/>
      <c r="AD31" s="2179" t="str">
        <f>IF(TITLE_NUMBER_PR_CHANGE="",IF(TITLE_NUMBER_PR="","",TITLE_NUMBER_PR),TITLE_NUMBER_PR_CHANGE)</f>
        <v/>
      </c>
      <c r="AE31" s="2179"/>
      <c r="AF31" s="2179"/>
      <c r="AG31" s="2179"/>
      <c r="AH31" s="2179"/>
      <c r="AI31" s="2179"/>
      <c r="AJ31" s="2179"/>
      <c r="AK31" s="262"/>
      <c r="AL31" s="262"/>
      <c r="AM31" s="216"/>
      <c r="AN31" s="303"/>
      <c r="AO31" s="303"/>
      <c r="AP31" s="303"/>
      <c r="AQ31" s="303"/>
      <c r="AR31" s="303"/>
      <c r="AS31" s="353">
        <v>0</v>
      </c>
    </row>
    <row r="32" spans="1:45" s="1777" customFormat="1" ht="18.75" hidden="1" customHeight="1">
      <c r="A32" s="1293"/>
      <c r="B32" s="1293"/>
      <c r="C32" s="1293"/>
      <c r="D32" s="1293"/>
      <c r="E32" s="1293"/>
      <c r="F32" s="1293"/>
      <c r="G32" s="1293"/>
      <c r="H32" s="1293"/>
      <c r="I32" s="1293"/>
      <c r="J32" s="1293"/>
      <c r="K32" s="1293"/>
      <c r="L32" s="1294"/>
      <c r="M32" s="1293"/>
      <c r="N32" s="1293"/>
      <c r="O32" s="1293"/>
      <c r="S32" s="2178" t="s">
        <v>43</v>
      </c>
      <c r="T32" s="2178"/>
      <c r="U32" s="1297"/>
      <c r="V32" s="2179" t="str">
        <f>IF(TITLE_IST_PUB_CHANGE="",IF(TITLE_IST_PUB="","",TITLE_IST_PUB),TITLE_IST_PUB_CHANGE)</f>
        <v/>
      </c>
      <c r="W32" s="2179"/>
      <c r="X32" s="2179"/>
      <c r="Y32" s="2179"/>
      <c r="Z32" s="2179"/>
      <c r="AA32" s="2179"/>
      <c r="AB32" s="2179"/>
      <c r="AC32" s="262"/>
      <c r="AD32" s="2179" t="str">
        <f>IF(TITLE_IST_PUB_CHANGE="",IF(TITLE_IST_PUB="","",TITLE_IST_PUB),TITLE_IST_PUB_CHANGE)</f>
        <v/>
      </c>
      <c r="AE32" s="2179"/>
      <c r="AF32" s="2179"/>
      <c r="AG32" s="2179"/>
      <c r="AH32" s="2179"/>
      <c r="AI32" s="2179"/>
      <c r="AJ32" s="2179"/>
      <c r="AK32" s="262"/>
      <c r="AL32" s="262"/>
      <c r="AM32" s="216"/>
      <c r="AN32" s="303"/>
      <c r="AO32" s="303"/>
      <c r="AP32" s="303"/>
      <c r="AQ32" s="303"/>
      <c r="AR32" s="303"/>
      <c r="AS32" s="353">
        <v>0</v>
      </c>
    </row>
    <row r="33" spans="1:45" ht="14.25" hidden="1" customHeight="1">
      <c r="Q33" s="311"/>
      <c r="R33" s="311"/>
      <c r="S33" s="1200"/>
      <c r="T33" s="298"/>
      <c r="U33" s="298"/>
      <c r="V33" s="258"/>
      <c r="W33" s="258"/>
      <c r="X33" s="258"/>
      <c r="Y33" s="258"/>
      <c r="Z33" s="258"/>
      <c r="AA33" s="258"/>
      <c r="AB33" s="258"/>
      <c r="AC33" s="258"/>
      <c r="AD33" s="258"/>
      <c r="AE33" s="258"/>
      <c r="AF33" s="258"/>
      <c r="AG33" s="258"/>
      <c r="AH33" s="258"/>
      <c r="AI33" s="258"/>
      <c r="AJ33" s="258"/>
      <c r="AK33" s="258"/>
      <c r="AL33" s="444"/>
      <c r="AS33" s="1080">
        <v>0</v>
      </c>
    </row>
    <row r="34" spans="1:45" s="1777" customFormat="1" ht="18.75" hidden="1" customHeight="1">
      <c r="A34" s="1293"/>
      <c r="B34" s="1293"/>
      <c r="C34" s="1293"/>
      <c r="D34" s="1293"/>
      <c r="E34" s="1293"/>
      <c r="F34" s="1293"/>
      <c r="G34" s="1293"/>
      <c r="H34" s="1293"/>
      <c r="I34" s="1293"/>
      <c r="J34" s="1293"/>
      <c r="K34" s="1293"/>
      <c r="L34" s="1294"/>
      <c r="M34" s="1293"/>
      <c r="N34" s="1293"/>
      <c r="O34" s="1293"/>
      <c r="S34" s="2178" t="s">
        <v>424</v>
      </c>
      <c r="T34" s="2178"/>
      <c r="U34" s="1297"/>
      <c r="V34" s="2188" t="str">
        <f>IF(TITLE_DATE_PR_CHANGE="",IF(TITLE_DATE_PR="","",TITLE_DATE_PR),TITLE_DATE_PR_CHANGE)</f>
        <v/>
      </c>
      <c r="W34" s="2188"/>
      <c r="X34" s="2188"/>
      <c r="Y34" s="2188"/>
      <c r="Z34" s="2188"/>
      <c r="AA34" s="2188"/>
      <c r="AB34" s="2188"/>
      <c r="AC34" s="262"/>
      <c r="AD34" s="2188" t="str">
        <f>IF(TITLE_DATE_PR_CHANGE="",IF(TITLE_DATE_PR="","",TITLE_DATE_PR),TITLE_DATE_PR_CHANGE)</f>
        <v/>
      </c>
      <c r="AE34" s="2188"/>
      <c r="AF34" s="2188"/>
      <c r="AG34" s="2188"/>
      <c r="AH34" s="2188"/>
      <c r="AI34" s="2188"/>
      <c r="AJ34" s="2188"/>
      <c r="AK34" s="262"/>
      <c r="AL34" s="262"/>
      <c r="AM34" s="216"/>
      <c r="AN34" s="303"/>
      <c r="AO34" s="303"/>
      <c r="AP34" s="303"/>
      <c r="AQ34" s="303"/>
      <c r="AR34" s="303"/>
      <c r="AS34" s="353">
        <v>0</v>
      </c>
    </row>
    <row r="35" spans="1:45" s="1777" customFormat="1" ht="18.75" hidden="1" customHeight="1">
      <c r="A35" s="1293"/>
      <c r="B35" s="1293"/>
      <c r="C35" s="1293"/>
      <c r="D35" s="1293"/>
      <c r="E35" s="1293"/>
      <c r="F35" s="1293"/>
      <c r="G35" s="1293"/>
      <c r="H35" s="1293"/>
      <c r="I35" s="1293"/>
      <c r="J35" s="1293"/>
      <c r="K35" s="1293"/>
      <c r="L35" s="1294"/>
      <c r="M35" s="1293"/>
      <c r="N35" s="1293"/>
      <c r="O35" s="1293"/>
      <c r="S35" s="2178" t="s">
        <v>425</v>
      </c>
      <c r="T35" s="2178"/>
      <c r="U35" s="1297"/>
      <c r="V35" s="2179" t="str">
        <f>IF(TITLE_NUMBER_PR_CHANGE="",IF(TITLE_NUMBER_PR="","",TITLE_NUMBER_PR),TITLE_NUMBER_PR_CHANGE)</f>
        <v/>
      </c>
      <c r="W35" s="2179"/>
      <c r="X35" s="2179"/>
      <c r="Y35" s="2179"/>
      <c r="Z35" s="2179"/>
      <c r="AA35" s="2179"/>
      <c r="AB35" s="2179"/>
      <c r="AC35" s="262"/>
      <c r="AD35" s="2179" t="str">
        <f>IF(TITLE_NUMBER_PR_CHANGE="",IF(TITLE_NUMBER_PR="","",TITLE_NUMBER_PR),TITLE_NUMBER_PR_CHANGE)</f>
        <v/>
      </c>
      <c r="AE35" s="2179"/>
      <c r="AF35" s="2179"/>
      <c r="AG35" s="2179"/>
      <c r="AH35" s="2179"/>
      <c r="AI35" s="2179"/>
      <c r="AJ35" s="2179"/>
      <c r="AK35" s="262"/>
      <c r="AL35" s="262"/>
      <c r="AM35" s="216"/>
      <c r="AN35" s="303"/>
      <c r="AO35" s="303"/>
      <c r="AP35" s="303"/>
      <c r="AQ35" s="303"/>
      <c r="AR35" s="303"/>
      <c r="AS35" s="353">
        <v>0</v>
      </c>
    </row>
    <row r="36" spans="1:45" s="1777" customFormat="1" ht="0" hidden="1" customHeight="1">
      <c r="A36" s="1293"/>
      <c r="B36" s="1293"/>
      <c r="C36" s="1293"/>
      <c r="D36" s="1293"/>
      <c r="E36" s="1293"/>
      <c r="F36" s="1293"/>
      <c r="G36" s="1293"/>
      <c r="H36" s="1293"/>
      <c r="I36" s="1293"/>
      <c r="J36" s="1293"/>
      <c r="K36" s="1293"/>
      <c r="L36" s="1294"/>
      <c r="M36" s="1293"/>
      <c r="N36" s="1293"/>
      <c r="O36" s="1293"/>
      <c r="S36" s="259"/>
      <c r="T36" s="259"/>
      <c r="U36" s="1265"/>
      <c r="V36" s="262"/>
      <c r="W36" s="262"/>
      <c r="X36" s="262"/>
      <c r="Y36" s="262"/>
      <c r="Z36" s="262"/>
      <c r="AA36" s="262"/>
      <c r="AB36" s="262"/>
      <c r="AC36" s="214" t="s">
        <v>426</v>
      </c>
      <c r="AD36" s="262"/>
      <c r="AE36" s="262"/>
      <c r="AF36" s="262"/>
      <c r="AG36" s="262"/>
      <c r="AH36" s="262"/>
      <c r="AI36" s="262"/>
      <c r="AJ36" s="262"/>
      <c r="AK36" s="214" t="s">
        <v>426</v>
      </c>
      <c r="AN36" s="303"/>
      <c r="AO36" s="303"/>
      <c r="AP36" s="303"/>
      <c r="AQ36" s="303"/>
      <c r="AR36" s="303"/>
      <c r="AS36" s="353">
        <v>0</v>
      </c>
    </row>
    <row r="37" spans="1:45" ht="14.65" customHeight="1">
      <c r="Q37" s="311"/>
      <c r="R37" s="311"/>
      <c r="S37" s="1200"/>
      <c r="T37" s="298"/>
      <c r="U37" s="1169"/>
      <c r="V37" s="2180"/>
      <c r="W37" s="2180"/>
      <c r="X37" s="2180"/>
      <c r="Y37" s="2180"/>
      <c r="Z37" s="2180"/>
      <c r="AA37" s="2180"/>
      <c r="AB37" s="2180"/>
      <c r="AC37" s="2180"/>
      <c r="AD37" s="2180"/>
      <c r="AE37" s="2180"/>
      <c r="AF37" s="2180"/>
      <c r="AG37" s="2180"/>
      <c r="AH37" s="2180"/>
      <c r="AI37" s="2180"/>
      <c r="AJ37" s="2180"/>
      <c r="AK37" s="2180"/>
      <c r="AS37" s="1080">
        <v>14</v>
      </c>
    </row>
    <row r="38" spans="1:45" ht="14.65" customHeight="1">
      <c r="Q38" s="311"/>
      <c r="R38" s="311"/>
      <c r="S38" s="2066" t="s">
        <v>299</v>
      </c>
      <c r="T38" s="2066"/>
      <c r="U38" s="2066"/>
      <c r="V38" s="2066"/>
      <c r="W38" s="2066"/>
      <c r="X38" s="2066"/>
      <c r="Y38" s="2066"/>
      <c r="Z38" s="2066"/>
      <c r="AA38" s="2066"/>
      <c r="AB38" s="2066"/>
      <c r="AC38" s="2066"/>
      <c r="AD38" s="2066"/>
      <c r="AE38" s="2066"/>
      <c r="AF38" s="2066"/>
      <c r="AG38" s="2066"/>
      <c r="AH38" s="2066"/>
      <c r="AI38" s="2066"/>
      <c r="AJ38" s="2066"/>
      <c r="AK38" s="2066"/>
      <c r="AL38" s="2066"/>
      <c r="AM38" s="2066" t="s">
        <v>300</v>
      </c>
      <c r="AS38" s="1080">
        <v>14</v>
      </c>
    </row>
    <row r="39" spans="1:45" ht="14.65" customHeight="1">
      <c r="Q39" s="311"/>
      <c r="R39" s="311"/>
      <c r="S39" s="2194" t="s">
        <v>88</v>
      </c>
      <c r="T39" s="2145" t="s">
        <v>427</v>
      </c>
      <c r="U39" s="237"/>
      <c r="V39" s="2195" t="s">
        <v>428</v>
      </c>
      <c r="W39" s="2196"/>
      <c r="X39" s="2212"/>
      <c r="Y39" s="2212"/>
      <c r="Z39" s="2196"/>
      <c r="AA39" s="2196"/>
      <c r="AB39" s="2197"/>
      <c r="AC39" s="2198" t="s">
        <v>429</v>
      </c>
      <c r="AD39" s="2195" t="s">
        <v>428</v>
      </c>
      <c r="AE39" s="2196"/>
      <c r="AF39" s="2212"/>
      <c r="AG39" s="2212"/>
      <c r="AH39" s="2196"/>
      <c r="AI39" s="2196"/>
      <c r="AJ39" s="2197"/>
      <c r="AK39" s="2198" t="s">
        <v>430</v>
      </c>
      <c r="AL39" s="2201" t="s">
        <v>431</v>
      </c>
      <c r="AM39" s="2066"/>
      <c r="AS39" s="1080">
        <v>14</v>
      </c>
    </row>
    <row r="40" spans="1:45" ht="24" customHeight="1">
      <c r="Q40" s="311"/>
      <c r="R40" s="311"/>
      <c r="S40" s="2194"/>
      <c r="T40" s="2145"/>
      <c r="U40" s="959"/>
      <c r="V40" s="2213" t="s">
        <v>432</v>
      </c>
      <c r="W40" s="2131" t="s">
        <v>433</v>
      </c>
      <c r="X40" s="1301" t="s">
        <v>434</v>
      </c>
      <c r="Y40" s="1301"/>
      <c r="Z40" s="2043" t="s">
        <v>435</v>
      </c>
      <c r="AA40" s="2043"/>
      <c r="AB40" s="2037"/>
      <c r="AC40" s="2199"/>
      <c r="AD40" s="2213" t="s">
        <v>432</v>
      </c>
      <c r="AE40" s="2131" t="s">
        <v>433</v>
      </c>
      <c r="AF40" s="1301" t="s">
        <v>434</v>
      </c>
      <c r="AG40" s="1301"/>
      <c r="AH40" s="2043" t="s">
        <v>435</v>
      </c>
      <c r="AI40" s="2043"/>
      <c r="AJ40" s="2037"/>
      <c r="AK40" s="2199"/>
      <c r="AL40" s="2202"/>
      <c r="AM40" s="2066"/>
      <c r="AS40" s="1080">
        <v>23</v>
      </c>
    </row>
    <row r="41" spans="1:45" s="1191" customFormat="1" ht="24" customHeight="1">
      <c r="A41" s="1295"/>
      <c r="B41" s="1295" t="s">
        <v>136</v>
      </c>
      <c r="C41" s="1295" t="s">
        <v>137</v>
      </c>
      <c r="D41" s="1295" t="s">
        <v>138</v>
      </c>
      <c r="E41" s="1289" t="s">
        <v>436</v>
      </c>
      <c r="F41" s="1289" t="s">
        <v>437</v>
      </c>
      <c r="G41" s="1289" t="s">
        <v>438</v>
      </c>
      <c r="H41" s="1289" t="s">
        <v>439</v>
      </c>
      <c r="I41" s="1289" t="s">
        <v>440</v>
      </c>
      <c r="J41" s="1289" t="s">
        <v>441</v>
      </c>
      <c r="K41" s="1289" t="s">
        <v>442</v>
      </c>
      <c r="L41" s="1289" t="s">
        <v>417</v>
      </c>
      <c r="M41" s="1287"/>
      <c r="N41" s="1287"/>
      <c r="O41" s="1287"/>
      <c r="P41" s="1253"/>
      <c r="Q41" s="311"/>
      <c r="R41" s="311"/>
      <c r="S41" s="2194"/>
      <c r="T41" s="2145"/>
      <c r="U41" s="238"/>
      <c r="V41" s="2214"/>
      <c r="W41" s="2136"/>
      <c r="X41" s="1298" t="s">
        <v>443</v>
      </c>
      <c r="Y41" s="1298" t="s">
        <v>444</v>
      </c>
      <c r="Z41" s="1259" t="s">
        <v>445</v>
      </c>
      <c r="AA41" s="2154" t="s">
        <v>446</v>
      </c>
      <c r="AB41" s="2156"/>
      <c r="AC41" s="2200"/>
      <c r="AD41" s="2214"/>
      <c r="AE41" s="2136"/>
      <c r="AF41" s="1298" t="s">
        <v>443</v>
      </c>
      <c r="AG41" s="1298" t="s">
        <v>444</v>
      </c>
      <c r="AH41" s="1259" t="s">
        <v>445</v>
      </c>
      <c r="AI41" s="2154" t="s">
        <v>446</v>
      </c>
      <c r="AJ41" s="2156"/>
      <c r="AK41" s="2200"/>
      <c r="AL41" s="2203"/>
      <c r="AM41" s="2066"/>
      <c r="AN41" s="446"/>
      <c r="AO41" s="435"/>
      <c r="AP41" s="435"/>
      <c r="AQ41" s="435"/>
      <c r="AR41" s="435"/>
      <c r="AS41" s="517">
        <v>23</v>
      </c>
    </row>
    <row r="42" spans="1:45" s="1566" customFormat="1" ht="11.25" hidden="1" customHeight="1">
      <c r="A42" s="1295"/>
      <c r="B42" s="1295"/>
      <c r="C42" s="1295"/>
      <c r="D42" s="1295"/>
      <c r="E42" s="1295"/>
      <c r="F42" s="1295"/>
      <c r="G42" s="1295"/>
      <c r="H42" s="1295"/>
      <c r="I42" s="1295"/>
      <c r="J42" s="1295"/>
      <c r="K42" s="1295"/>
      <c r="L42" s="1289"/>
      <c r="M42" s="1287"/>
      <c r="N42" s="1287"/>
      <c r="O42" s="1287"/>
      <c r="P42" s="1171"/>
      <c r="Q42" s="1172"/>
      <c r="R42" s="1179">
        <v>1</v>
      </c>
      <c r="S42" s="1202" t="s">
        <v>109</v>
      </c>
      <c r="T42" s="1180" t="s">
        <v>110</v>
      </c>
      <c r="U42" s="1170" t="str">
        <f ca="1">OFFSET(U42,0,-1)</f>
        <v>2</v>
      </c>
      <c r="V42" s="1260">
        <f ca="1">OFFSET(V42,0,-1)+1</f>
        <v>3</v>
      </c>
      <c r="W42" s="1260"/>
      <c r="X42" s="1266">
        <f ca="1">OFFSET(X42,0,-1)+1</f>
        <v>1</v>
      </c>
      <c r="Y42" s="1266">
        <f ca="1">OFFSET(Y42,0,-1)+1</f>
        <v>2</v>
      </c>
      <c r="Z42" s="1260">
        <f ca="1">OFFSET(Z42,0,-1)+1</f>
        <v>3</v>
      </c>
      <c r="AA42" s="2193">
        <f ca="1">OFFSET(AA42,0,-1)+1</f>
        <v>4</v>
      </c>
      <c r="AB42" s="2193"/>
      <c r="AC42" s="1260">
        <f ca="1">OFFSET(AC42,0,-2)+1</f>
        <v>5</v>
      </c>
      <c r="AD42" s="1260">
        <f ca="1">OFFSET(AD42,0,-1)+1</f>
        <v>6</v>
      </c>
      <c r="AE42" s="1260"/>
      <c r="AF42" s="1266">
        <f ca="1">OFFSET(AF42,0,-1)+1</f>
        <v>1</v>
      </c>
      <c r="AG42" s="1266">
        <f ca="1">OFFSET(AG42,0,-1)+1</f>
        <v>2</v>
      </c>
      <c r="AH42" s="1260">
        <f ca="1">OFFSET(AH42,0,-1)+1</f>
        <v>3</v>
      </c>
      <c r="AI42" s="2193">
        <f ca="1">OFFSET(AI42,0,-1)+1</f>
        <v>4</v>
      </c>
      <c r="AJ42" s="2193"/>
      <c r="AK42" s="1260">
        <f ca="1">OFFSET(AK42,0,-2)+1</f>
        <v>5</v>
      </c>
      <c r="AL42" s="1170">
        <f ca="1">OFFSET(AL42,0,-1)</f>
        <v>5</v>
      </c>
      <c r="AM42" s="1260">
        <f ca="1">OFFSET(AM42,0,-1)+1</f>
        <v>6</v>
      </c>
      <c r="AN42" s="446"/>
      <c r="AO42" s="446"/>
      <c r="AP42" s="446"/>
      <c r="AQ42" s="446"/>
      <c r="AR42" s="446"/>
      <c r="AS42" s="431">
        <v>0</v>
      </c>
    </row>
    <row r="43" spans="1:45" ht="21.95" customHeight="1">
      <c r="A43" s="1288" t="s">
        <v>193</v>
      </c>
      <c r="B43" s="1288"/>
      <c r="C43" s="1288"/>
      <c r="D43" s="1288"/>
      <c r="E43" s="2186">
        <v>1</v>
      </c>
      <c r="F43" s="1288"/>
      <c r="G43" s="1288"/>
      <c r="H43" s="1288"/>
      <c r="I43" s="1288"/>
      <c r="J43" s="1288"/>
      <c r="K43" s="1288"/>
      <c r="L43" s="1289"/>
      <c r="M43" s="1290"/>
      <c r="N43" s="1290"/>
      <c r="O43" s="1290"/>
      <c r="P43" s="296"/>
      <c r="Q43" s="295"/>
      <c r="R43" s="290"/>
      <c r="S43" s="1261">
        <f>INDEX(PT_DIFFERENTIATION_NUM_NTAR,MATCH(A43,PT_DIFFERENTIATION_NTAR_ID,0))</f>
        <v>0</v>
      </c>
      <c r="T43" s="234" t="s">
        <v>124</v>
      </c>
      <c r="U43" s="236"/>
      <c r="V43" s="2172"/>
      <c r="W43" s="2173"/>
      <c r="X43" s="2173"/>
      <c r="Y43" s="2173"/>
      <c r="Z43" s="2173"/>
      <c r="AA43" s="2173"/>
      <c r="AB43" s="2173"/>
      <c r="AC43" s="2174"/>
      <c r="AD43" s="2172" t="str">
        <f>INDEX(PT_DIFFERENTIATION_NTAR,MATCH(A43,PT_DIFFERENTIATION_NTAR_ID,0))</f>
        <v/>
      </c>
      <c r="AE43" s="2173"/>
      <c r="AF43" s="2173"/>
      <c r="AG43" s="2173"/>
      <c r="AH43" s="2173"/>
      <c r="AI43" s="2173"/>
      <c r="AJ43" s="2173"/>
      <c r="AK43" s="2173"/>
      <c r="AL43" s="2174"/>
      <c r="AM43" s="1183" t="str">
        <f>IF(TEMPLATE_GROUP="P","По данной форме раскрывается в том числе информация об индикативном предельном уровне цены на тепловую энергию (мощность), который определен в соответствии с Правилами определения в ценовых зонах теплоснабжения предельного уровня "&amp;"цены на тепловую энергию (мощность), включая правила индексации предельного уровня цены на тепловую энергию (мощность), "&amp;"утвержденными постановлением Правительства Российской Федерации от 15 декабря 2017 г. N 1562 (далее - Правила), о графике поэтапного равномерного доведения предельного уровня цены на тепловую энергию (мощность) до уровня, "&amp;"определяемого в соответствии с указанными "&amp;"Правилами, а также информация о тарифах на товары (услуги) в сфере теплоснабжения в случаях, указанных частях 12 1 - 12 4 статьи 10 Федерального закона от 27 июля 2010 г. N 190-ФЗ ""О теплоснабжении"", "&amp;"теплоснабжающей организации, теплосетевой организации в ценовых зонах теплоснабжения. Для каждого вида тарифа в сфере теплоснабжения форма заполняется отдельно."&amp;"
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"&amp;"об установлении цены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"&amp;"Указывается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Для каждого вида тарифа в сфере теплоснабжения форма заполняется отдельно.
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Указывается наименование тарифа в случае предложения нескольких тарифов.
В случае наличия нескольких тарифов информация по ним указывается в отдельных строках.</v>
      </c>
      <c r="AO43" s="435"/>
      <c r="AP43" s="435" t="str">
        <f t="shared" ref="AP43:AP57" si="1">IF(T43="","",T43)</f>
        <v>Наименование тарифа</v>
      </c>
      <c r="AQ43" s="435"/>
      <c r="AR43" s="435"/>
      <c r="AS43" s="1080">
        <v>21</v>
      </c>
    </row>
    <row r="44" spans="1:45" ht="21.95" customHeight="1">
      <c r="A44" s="1288" t="s">
        <v>193</v>
      </c>
      <c r="B44" s="1288" t="s">
        <v>194</v>
      </c>
      <c r="C44" s="1288"/>
      <c r="D44" s="1288"/>
      <c r="E44" s="2187"/>
      <c r="F44" s="2186">
        <v>1</v>
      </c>
      <c r="G44" s="1288"/>
      <c r="H44" s="1288"/>
      <c r="I44" s="1288"/>
      <c r="J44" s="1288"/>
      <c r="K44" s="1288"/>
      <c r="L44" s="1289"/>
      <c r="M44" s="1290"/>
      <c r="N44" s="1290"/>
      <c r="O44" s="1290"/>
      <c r="P44" s="1257"/>
      <c r="Q44" s="287"/>
      <c r="R44" s="288"/>
      <c r="S44" s="1261" t="str">
        <f>INDEX(PT_DIFFERENTIATION_NUM_TER,MATCH(B44,PT_DIFFERENTIATION_TER_ID,0))</f>
        <v>.</v>
      </c>
      <c r="T44" s="244" t="s">
        <v>396</v>
      </c>
      <c r="U44" s="236"/>
      <c r="V44" s="2172"/>
      <c r="W44" s="2173"/>
      <c r="X44" s="2173"/>
      <c r="Y44" s="2173"/>
      <c r="Z44" s="2173"/>
      <c r="AA44" s="2173"/>
      <c r="AB44" s="2173"/>
      <c r="AC44" s="2174"/>
      <c r="AD44" s="2172" t="str">
        <f>INDEX(PT_DIFFERENTIATION_TER,MATCH(B44,PT_DIFFERENTIATION_TER_ID,0))</f>
        <v/>
      </c>
      <c r="AE44" s="2173"/>
      <c r="AF44" s="2173"/>
      <c r="AG44" s="2173"/>
      <c r="AH44" s="2173"/>
      <c r="AI44" s="2173"/>
      <c r="AJ44" s="2173"/>
      <c r="AK44" s="2173"/>
      <c r="AL44" s="2174"/>
      <c r="AM44" s="1183" t="s">
        <v>397</v>
      </c>
      <c r="AO44" s="435"/>
      <c r="AP44" s="435" t="str">
        <f t="shared" si="1"/>
        <v>Территория действия тарифа</v>
      </c>
      <c r="AQ44" s="435"/>
      <c r="AR44" s="435"/>
      <c r="AS44" s="1080">
        <v>21</v>
      </c>
    </row>
    <row r="45" spans="1:45" ht="24" customHeight="1">
      <c r="A45" s="1288" t="s">
        <v>193</v>
      </c>
      <c r="B45" s="1288" t="s">
        <v>194</v>
      </c>
      <c r="C45" s="1288" t="s">
        <v>195</v>
      </c>
      <c r="D45" s="1288"/>
      <c r="E45" s="2187"/>
      <c r="F45" s="2187"/>
      <c r="G45" s="2186">
        <v>1</v>
      </c>
      <c r="H45" s="1288"/>
      <c r="I45" s="1288"/>
      <c r="J45" s="1288"/>
      <c r="K45" s="1288"/>
      <c r="L45" s="1289"/>
      <c r="M45" s="1290"/>
      <c r="N45" s="1290"/>
      <c r="O45" s="1290"/>
      <c r="P45" s="289"/>
      <c r="Q45" s="287"/>
      <c r="R45" s="288"/>
      <c r="S45" s="1261" t="str">
        <f>INDEX(PT_DIFFERENTIATION_NUM_CS,MATCH(C45,PT_DIFFERENTIATION_CS_ID,0))</f>
        <v>..</v>
      </c>
      <c r="T45" s="245" t="s">
        <v>398</v>
      </c>
      <c r="U45" s="236"/>
      <c r="V45" s="2172"/>
      <c r="W45" s="2173"/>
      <c r="X45" s="2173"/>
      <c r="Y45" s="2173"/>
      <c r="Z45" s="2173"/>
      <c r="AA45" s="2173"/>
      <c r="AB45" s="2173"/>
      <c r="AC45" s="2174"/>
      <c r="AD45" s="2172" t="str">
        <f>INDEX(PT_DIFFERENTIATION_CS,MATCH(C45,PT_DIFFERENTIATION_CS_ID,0))</f>
        <v/>
      </c>
      <c r="AE45" s="2173"/>
      <c r="AF45" s="2173"/>
      <c r="AG45" s="2173"/>
      <c r="AH45" s="2173"/>
      <c r="AI45" s="2173"/>
      <c r="AJ45" s="2173"/>
      <c r="AK45" s="2173"/>
      <c r="AL45" s="2174"/>
      <c r="AM45" s="1183" t="s">
        <v>399</v>
      </c>
      <c r="AO45" s="435"/>
      <c r="AP45" s="435" t="str">
        <f t="shared" si="1"/>
        <v xml:space="preserve">Наименование системы теплоснабжения </v>
      </c>
      <c r="AQ45" s="435"/>
      <c r="AR45" s="435"/>
      <c r="AS45" s="1080">
        <v>23</v>
      </c>
    </row>
    <row r="46" spans="1:45" ht="21.95" customHeight="1">
      <c r="A46" s="1288" t="s">
        <v>193</v>
      </c>
      <c r="B46" s="1288" t="s">
        <v>194</v>
      </c>
      <c r="C46" s="1288" t="s">
        <v>195</v>
      </c>
      <c r="D46" s="1288" t="s">
        <v>196</v>
      </c>
      <c r="E46" s="2187"/>
      <c r="F46" s="2187"/>
      <c r="G46" s="2187"/>
      <c r="H46" s="2186">
        <v>1</v>
      </c>
      <c r="I46" s="1288"/>
      <c r="J46" s="1288"/>
      <c r="K46" s="1288"/>
      <c r="L46" s="1289"/>
      <c r="M46" s="1290"/>
      <c r="N46" s="1290"/>
      <c r="O46" s="1290"/>
      <c r="P46" s="289"/>
      <c r="Q46" s="287"/>
      <c r="R46" s="288"/>
      <c r="S46" s="1261" t="str">
        <f>INDEX(PT_DIFFERENTIATION_NUM_IST_TE,MATCH(D46,PT_DIFFERENTIATION_IST_TE_ID,0))</f>
        <v>...</v>
      </c>
      <c r="T46" s="246" t="s">
        <v>400</v>
      </c>
      <c r="U46" s="236"/>
      <c r="V46" s="2172"/>
      <c r="W46" s="2173"/>
      <c r="X46" s="2173"/>
      <c r="Y46" s="2173"/>
      <c r="Z46" s="2173"/>
      <c r="AA46" s="2173"/>
      <c r="AB46" s="2173"/>
      <c r="AC46" s="2174"/>
      <c r="AD46" s="2172" t="str">
        <f>INDEX(PT_DIFFERENTIATION_IST_TE,MATCH(D46,PT_DIFFERENTIATION_IST_TE_ID,0))</f>
        <v/>
      </c>
      <c r="AE46" s="2173"/>
      <c r="AF46" s="2173"/>
      <c r="AG46" s="2173"/>
      <c r="AH46" s="2173"/>
      <c r="AI46" s="2173"/>
      <c r="AJ46" s="2173"/>
      <c r="AK46" s="2173"/>
      <c r="AL46" s="2174"/>
      <c r="AM46" s="1183" t="s">
        <v>401</v>
      </c>
      <c r="AO46" s="435"/>
      <c r="AP46" s="435" t="str">
        <f t="shared" si="1"/>
        <v xml:space="preserve">Источник тепловой энергии  </v>
      </c>
      <c r="AQ46" s="435"/>
      <c r="AR46" s="435"/>
      <c r="AS46" s="1080">
        <v>21</v>
      </c>
    </row>
    <row r="47" spans="1:45" ht="49.5" customHeight="1">
      <c r="A47" s="1288" t="s">
        <v>193</v>
      </c>
      <c r="B47" s="1288" t="s">
        <v>194</v>
      </c>
      <c r="C47" s="1288" t="s">
        <v>195</v>
      </c>
      <c r="D47" s="1288" t="s">
        <v>196</v>
      </c>
      <c r="E47" s="2187"/>
      <c r="F47" s="2187"/>
      <c r="G47" s="2187"/>
      <c r="H47" s="2187"/>
      <c r="I47" s="2184" t="str">
        <f>S46&amp;".1"</f>
        <v>....1</v>
      </c>
      <c r="J47" s="1288"/>
      <c r="K47" s="1288"/>
      <c r="L47" s="1289" t="s">
        <v>402</v>
      </c>
      <c r="P47" s="2185">
        <v>1</v>
      </c>
      <c r="Q47" s="1256"/>
      <c r="R47" s="291"/>
      <c r="S47" s="1261" t="str">
        <f>$I47</f>
        <v>....1</v>
      </c>
      <c r="T47" s="221" t="s">
        <v>403</v>
      </c>
      <c r="U47" s="236"/>
      <c r="V47" s="2175"/>
      <c r="W47" s="2176"/>
      <c r="X47" s="2176"/>
      <c r="Y47" s="2176"/>
      <c r="Z47" s="2176"/>
      <c r="AA47" s="2176"/>
      <c r="AB47" s="2176"/>
      <c r="AC47" s="2177"/>
      <c r="AD47" s="2175"/>
      <c r="AE47" s="2176"/>
      <c r="AF47" s="2176"/>
      <c r="AG47" s="2176"/>
      <c r="AH47" s="2176"/>
      <c r="AI47" s="2176"/>
      <c r="AJ47" s="2176"/>
      <c r="AK47" s="2176"/>
      <c r="AL47" s="2177"/>
      <c r="AM47" s="1183" t="s">
        <v>404</v>
      </c>
      <c r="AO47" s="435"/>
      <c r="AP47" s="435" t="str">
        <f t="shared" si="1"/>
        <v>Схема подключения теплопотребляющей установки к коллектору источника тепловой энергии</v>
      </c>
      <c r="AQ47" s="435"/>
      <c r="AR47" s="435"/>
      <c r="AS47" s="1080">
        <v>47</v>
      </c>
    </row>
    <row r="48" spans="1:45" ht="21.95" customHeight="1">
      <c r="A48" s="1288" t="s">
        <v>193</v>
      </c>
      <c r="B48" s="1288" t="s">
        <v>194</v>
      </c>
      <c r="C48" s="1288" t="s">
        <v>195</v>
      </c>
      <c r="D48" s="1288" t="s">
        <v>196</v>
      </c>
      <c r="E48" s="2187"/>
      <c r="F48" s="2187"/>
      <c r="G48" s="2187"/>
      <c r="H48" s="2187"/>
      <c r="I48" s="2207"/>
      <c r="J48" s="2184" t="str">
        <f>I47&amp;".1"</f>
        <v>....1.1</v>
      </c>
      <c r="K48" s="1288"/>
      <c r="L48" s="1289" t="s">
        <v>405</v>
      </c>
      <c r="P48" s="2185"/>
      <c r="Q48" s="2185">
        <v>1</v>
      </c>
      <c r="R48" s="292"/>
      <c r="S48" s="1261" t="str">
        <f>$J48</f>
        <v>....1.1</v>
      </c>
      <c r="T48" s="222" t="s">
        <v>406</v>
      </c>
      <c r="U48" s="236"/>
      <c r="V48" s="2175"/>
      <c r="W48" s="2176"/>
      <c r="X48" s="2176"/>
      <c r="Y48" s="2176"/>
      <c r="Z48" s="2176"/>
      <c r="AA48" s="2176"/>
      <c r="AB48" s="2176"/>
      <c r="AC48" s="2177"/>
      <c r="AD48" s="2175"/>
      <c r="AE48" s="2176"/>
      <c r="AF48" s="2176"/>
      <c r="AG48" s="2176"/>
      <c r="AH48" s="2176"/>
      <c r="AI48" s="2176"/>
      <c r="AJ48" s="2176"/>
      <c r="AK48" s="2176"/>
      <c r="AL48" s="2177"/>
      <c r="AM48" s="1183" t="s">
        <v>407</v>
      </c>
      <c r="AO48" s="435"/>
      <c r="AP48" s="435" t="str">
        <f t="shared" si="1"/>
        <v>Группа потребителей</v>
      </c>
      <c r="AQ48" s="435"/>
      <c r="AR48" s="435"/>
      <c r="AS48" s="1080">
        <v>21</v>
      </c>
    </row>
    <row r="49" spans="1:45" ht="21.95" customHeight="1">
      <c r="A49" s="1288" t="s">
        <v>193</v>
      </c>
      <c r="B49" s="1288" t="s">
        <v>194</v>
      </c>
      <c r="C49" s="1288" t="s">
        <v>195</v>
      </c>
      <c r="D49" s="1288" t="s">
        <v>196</v>
      </c>
      <c r="E49" s="2187"/>
      <c r="F49" s="2187"/>
      <c r="G49" s="2187"/>
      <c r="H49" s="2187"/>
      <c r="I49" s="2207"/>
      <c r="J49" s="2207"/>
      <c r="K49" s="2184" t="str">
        <f>J48&amp;".1"</f>
        <v>....1.1.1</v>
      </c>
      <c r="L49" s="1289" t="s">
        <v>408</v>
      </c>
      <c r="P49" s="2185"/>
      <c r="Q49" s="2185"/>
      <c r="R49" s="292">
        <v>1</v>
      </c>
      <c r="S49" s="1261" t="str">
        <f>$K49</f>
        <v>....1.1.1</v>
      </c>
      <c r="T49" s="1272"/>
      <c r="U49" s="236"/>
      <c r="V49" s="261"/>
      <c r="W49" s="686"/>
      <c r="X49" s="261"/>
      <c r="Y49" s="319"/>
      <c r="Z49" s="2189"/>
      <c r="AA49" s="2047" t="s">
        <v>66</v>
      </c>
      <c r="AB49" s="2189"/>
      <c r="AC49" s="2047" t="s">
        <v>66</v>
      </c>
      <c r="AD49" s="261"/>
      <c r="AE49" s="686"/>
      <c r="AF49" s="261"/>
      <c r="AG49" s="319"/>
      <c r="AH49" s="2189"/>
      <c r="AI49" s="2047" t="s">
        <v>66</v>
      </c>
      <c r="AJ49" s="2208"/>
      <c r="AK49" s="2047" t="s">
        <v>66</v>
      </c>
      <c r="AL49" s="1273"/>
      <c r="AM49" s="2181" t="s">
        <v>409</v>
      </c>
      <c r="AN49" s="446" t="e">
        <f ca="1">STRCHECKDATE(V50:AL50)</f>
        <v>#NAME?</v>
      </c>
      <c r="AO49" s="435"/>
      <c r="AP49" s="435" t="str">
        <f t="shared" si="1"/>
        <v/>
      </c>
      <c r="AQ49" s="435"/>
      <c r="AR49" s="435"/>
      <c r="AS49" s="1080">
        <v>21</v>
      </c>
    </row>
    <row r="50" spans="1:45" ht="1.1499999999999999" customHeight="1">
      <c r="A50" s="1288" t="s">
        <v>193</v>
      </c>
      <c r="B50" s="1288" t="s">
        <v>194</v>
      </c>
      <c r="C50" s="1288" t="s">
        <v>195</v>
      </c>
      <c r="D50" s="1288" t="s">
        <v>196</v>
      </c>
      <c r="E50" s="2187"/>
      <c r="F50" s="2187"/>
      <c r="G50" s="2187"/>
      <c r="H50" s="2187"/>
      <c r="I50" s="2207"/>
      <c r="J50" s="2207"/>
      <c r="K50" s="2184"/>
      <c r="L50" s="1289"/>
      <c r="P50" s="2185"/>
      <c r="Q50" s="2185"/>
      <c r="R50" s="292"/>
      <c r="S50" s="1267"/>
      <c r="T50" s="236"/>
      <c r="U50" s="236"/>
      <c r="V50" s="261"/>
      <c r="W50" s="261"/>
      <c r="X50" s="261"/>
      <c r="Y50" s="264" t="str">
        <f>Z49&amp;"-"&amp;AB49</f>
        <v>-</v>
      </c>
      <c r="Z50" s="2190"/>
      <c r="AA50" s="2047"/>
      <c r="AB50" s="2190"/>
      <c r="AC50" s="2047"/>
      <c r="AD50" s="261"/>
      <c r="AE50" s="261"/>
      <c r="AF50" s="261"/>
      <c r="AG50" s="264" t="str">
        <f>AH49&amp;"-"&amp;AJ49</f>
        <v>-</v>
      </c>
      <c r="AH50" s="2190"/>
      <c r="AI50" s="2047"/>
      <c r="AJ50" s="2209"/>
      <c r="AK50" s="2047"/>
      <c r="AL50" s="1274"/>
      <c r="AM50" s="2182"/>
      <c r="AO50" s="435"/>
      <c r="AP50" s="435" t="str">
        <f t="shared" si="1"/>
        <v/>
      </c>
      <c r="AQ50" s="435"/>
      <c r="AR50" s="435"/>
      <c r="AS50" s="1080">
        <v>1</v>
      </c>
    </row>
    <row r="51" spans="1:45" ht="11.45" customHeight="1">
      <c r="A51" s="1288" t="s">
        <v>193</v>
      </c>
      <c r="B51" s="1288" t="s">
        <v>194</v>
      </c>
      <c r="C51" s="1288" t="s">
        <v>195</v>
      </c>
      <c r="D51" s="1288" t="s">
        <v>196</v>
      </c>
      <c r="E51" s="2187"/>
      <c r="F51" s="2187"/>
      <c r="G51" s="2187"/>
      <c r="H51" s="2187"/>
      <c r="I51" s="2207"/>
      <c r="J51" s="2184"/>
      <c r="K51" s="1288"/>
      <c r="L51" s="1289"/>
      <c r="P51" s="2185"/>
      <c r="Q51" s="2185"/>
      <c r="R51" s="291"/>
      <c r="S51" s="1203"/>
      <c r="T51" s="224" t="s">
        <v>410</v>
      </c>
      <c r="U51" s="302"/>
      <c r="V51" s="302"/>
      <c r="W51" s="302"/>
      <c r="X51" s="302"/>
      <c r="Y51" s="302"/>
      <c r="Z51" s="302"/>
      <c r="AA51" s="302"/>
      <c r="AB51" s="302"/>
      <c r="AC51" s="302"/>
      <c r="AD51" s="302"/>
      <c r="AE51" s="302"/>
      <c r="AF51" s="302"/>
      <c r="AG51" s="302"/>
      <c r="AH51" s="302"/>
      <c r="AI51" s="302"/>
      <c r="AJ51" s="302"/>
      <c r="AK51" s="302"/>
      <c r="AL51" s="260"/>
      <c r="AM51" s="2183"/>
      <c r="AO51" s="435"/>
      <c r="AP51" s="435" t="str">
        <f t="shared" si="1"/>
        <v>Добавить вид теплоносителя (параметры теплоносителя)</v>
      </c>
      <c r="AQ51" s="435"/>
      <c r="AR51" s="435"/>
      <c r="AS51" s="1080">
        <v>11</v>
      </c>
    </row>
    <row r="52" spans="1:45" ht="11.45" customHeight="1">
      <c r="A52" s="1288" t="s">
        <v>193</v>
      </c>
      <c r="B52" s="1288" t="s">
        <v>194</v>
      </c>
      <c r="C52" s="1288" t="s">
        <v>195</v>
      </c>
      <c r="D52" s="1288" t="s">
        <v>196</v>
      </c>
      <c r="E52" s="2187"/>
      <c r="F52" s="2187"/>
      <c r="G52" s="2187"/>
      <c r="H52" s="2187"/>
      <c r="I52" s="2184"/>
      <c r="J52" s="1288"/>
      <c r="K52" s="1288"/>
      <c r="L52" s="1289"/>
      <c r="P52" s="2185"/>
      <c r="Q52" s="1256"/>
      <c r="R52" s="291"/>
      <c r="S52" s="1203"/>
      <c r="T52" s="223" t="s">
        <v>411</v>
      </c>
      <c r="U52" s="302"/>
      <c r="V52" s="302"/>
      <c r="W52" s="302"/>
      <c r="X52" s="302"/>
      <c r="Y52" s="302"/>
      <c r="Z52" s="302"/>
      <c r="AA52" s="302"/>
      <c r="AB52" s="302"/>
      <c r="AC52" s="301"/>
      <c r="AD52" s="302"/>
      <c r="AE52" s="302"/>
      <c r="AF52" s="302"/>
      <c r="AG52" s="302"/>
      <c r="AH52" s="302"/>
      <c r="AI52" s="302"/>
      <c r="AJ52" s="302"/>
      <c r="AK52" s="301"/>
      <c r="AL52" s="302"/>
      <c r="AM52" s="239"/>
      <c r="AO52" s="435"/>
      <c r="AP52" s="435" t="str">
        <f t="shared" si="1"/>
        <v>Добавить группу потребителей</v>
      </c>
      <c r="AQ52" s="435"/>
      <c r="AR52" s="435"/>
      <c r="AS52" s="1080">
        <v>11</v>
      </c>
    </row>
    <row r="53" spans="1:45" ht="14.65" customHeight="1">
      <c r="A53" s="1288" t="s">
        <v>193</v>
      </c>
      <c r="B53" s="1288" t="s">
        <v>194</v>
      </c>
      <c r="C53" s="1288" t="s">
        <v>195</v>
      </c>
      <c r="D53" s="1288" t="s">
        <v>196</v>
      </c>
      <c r="E53" s="2187"/>
      <c r="F53" s="2187"/>
      <c r="G53" s="2187"/>
      <c r="H53" s="2186"/>
      <c r="I53" s="1288"/>
      <c r="J53" s="1288"/>
      <c r="K53" s="1288"/>
      <c r="L53" s="1289"/>
      <c r="M53" s="1290"/>
      <c r="N53" s="1290"/>
      <c r="O53" s="472"/>
      <c r="P53" s="295"/>
      <c r="Q53" s="310"/>
      <c r="R53" s="290"/>
      <c r="S53" s="1203"/>
      <c r="T53" s="300" t="s">
        <v>412</v>
      </c>
      <c r="U53" s="302"/>
      <c r="V53" s="302"/>
      <c r="W53" s="302"/>
      <c r="X53" s="302"/>
      <c r="Y53" s="302"/>
      <c r="Z53" s="302"/>
      <c r="AA53" s="302"/>
      <c r="AB53" s="302"/>
      <c r="AC53" s="301"/>
      <c r="AD53" s="302"/>
      <c r="AE53" s="302"/>
      <c r="AF53" s="302"/>
      <c r="AG53" s="302"/>
      <c r="AH53" s="302"/>
      <c r="AI53" s="302"/>
      <c r="AJ53" s="302"/>
      <c r="AK53" s="301"/>
      <c r="AL53" s="302"/>
      <c r="AM53" s="239"/>
      <c r="AO53" s="435"/>
      <c r="AP53" s="435" t="str">
        <f t="shared" si="1"/>
        <v>Добавить схему подключения</v>
      </c>
      <c r="AQ53" s="435"/>
      <c r="AR53" s="435"/>
      <c r="AS53" s="1080">
        <v>14</v>
      </c>
    </row>
    <row r="54" spans="1:45" s="1567" customFormat="1" ht="1.1499999999999999" customHeight="1">
      <c r="A54" s="1268" t="s">
        <v>193</v>
      </c>
      <c r="B54" s="1268" t="s">
        <v>194</v>
      </c>
      <c r="C54" s="1268" t="s">
        <v>195</v>
      </c>
      <c r="D54" s="1239"/>
      <c r="E54" s="2187"/>
      <c r="F54" s="2187"/>
      <c r="G54" s="2186"/>
      <c r="H54" s="1239"/>
      <c r="I54" s="1239"/>
      <c r="J54" s="1239"/>
      <c r="K54" s="1239"/>
      <c r="L54" s="1264"/>
      <c r="M54" s="1240"/>
      <c r="N54" s="1240"/>
      <c r="P54" s="1241"/>
      <c r="Q54" s="1242"/>
      <c r="R54" s="1241"/>
      <c r="S54" s="1247"/>
      <c r="T54" s="1250" t="s">
        <v>413</v>
      </c>
      <c r="U54" s="1249"/>
      <c r="V54" s="1249"/>
      <c r="W54" s="1249"/>
      <c r="X54" s="1249"/>
      <c r="Y54" s="1249"/>
      <c r="Z54" s="1249"/>
      <c r="AA54" s="1249"/>
      <c r="AB54" s="1249"/>
      <c r="AC54" s="1249"/>
      <c r="AD54" s="1249"/>
      <c r="AE54" s="1249"/>
      <c r="AF54" s="1249"/>
      <c r="AG54" s="1249"/>
      <c r="AH54" s="1249"/>
      <c r="AI54" s="1249"/>
      <c r="AJ54" s="1249"/>
      <c r="AK54" s="1249"/>
      <c r="AL54" s="1249"/>
      <c r="AM54" s="1249"/>
      <c r="AO54" s="718"/>
      <c r="AP54" s="718" t="str">
        <f t="shared" si="1"/>
        <v>Добавить источник для дифференциации</v>
      </c>
      <c r="AQ54" s="718"/>
      <c r="AR54" s="718"/>
      <c r="AS54" s="453">
        <v>1</v>
      </c>
    </row>
    <row r="55" spans="1:45" s="1567" customFormat="1" ht="1.1499999999999999" customHeight="1">
      <c r="A55" s="1268" t="s">
        <v>193</v>
      </c>
      <c r="B55" s="1268" t="s">
        <v>194</v>
      </c>
      <c r="C55" s="1239"/>
      <c r="D55" s="1239"/>
      <c r="E55" s="2187"/>
      <c r="F55" s="2186"/>
      <c r="G55" s="1239"/>
      <c r="H55" s="1239"/>
      <c r="I55" s="1239"/>
      <c r="J55" s="1239"/>
      <c r="K55" s="1239"/>
      <c r="L55" s="1264"/>
      <c r="M55" s="1246"/>
      <c r="N55" s="1246"/>
      <c r="P55" s="1241"/>
      <c r="Q55" s="1242"/>
      <c r="R55" s="1241"/>
      <c r="S55" s="1247"/>
      <c r="T55" s="1250" t="s">
        <v>414</v>
      </c>
      <c r="U55" s="1249"/>
      <c r="V55" s="1249"/>
      <c r="W55" s="1249"/>
      <c r="X55" s="1249"/>
      <c r="Y55" s="1249"/>
      <c r="Z55" s="1249"/>
      <c r="AA55" s="1249"/>
      <c r="AB55" s="1249"/>
      <c r="AC55" s="1249"/>
      <c r="AD55" s="1249"/>
      <c r="AE55" s="1249"/>
      <c r="AF55" s="1249"/>
      <c r="AG55" s="1249"/>
      <c r="AH55" s="1249"/>
      <c r="AI55" s="1249"/>
      <c r="AJ55" s="1249"/>
      <c r="AK55" s="1249"/>
      <c r="AL55" s="1249"/>
      <c r="AM55" s="1249"/>
      <c r="AO55" s="718"/>
      <c r="AP55" s="718" t="str">
        <f t="shared" si="1"/>
        <v>Добавить централизованную систему для дифференциации</v>
      </c>
      <c r="AQ55" s="718"/>
      <c r="AR55" s="718"/>
      <c r="AS55" s="453">
        <v>1</v>
      </c>
    </row>
    <row r="56" spans="1:45" s="1567" customFormat="1" ht="1.1499999999999999" customHeight="1">
      <c r="A56" s="1268" t="s">
        <v>193</v>
      </c>
      <c r="B56" s="1268"/>
      <c r="C56" s="1268"/>
      <c r="D56" s="1268"/>
      <c r="E56" s="2186"/>
      <c r="F56" s="1268"/>
      <c r="G56" s="1268"/>
      <c r="H56" s="1268"/>
      <c r="I56" s="1268"/>
      <c r="J56" s="1268"/>
      <c r="K56" s="1268"/>
      <c r="L56" s="1271"/>
      <c r="M56" s="1246"/>
      <c r="N56" s="1246"/>
      <c r="O56" s="453"/>
      <c r="P56" s="315"/>
      <c r="Q56" s="1269"/>
      <c r="R56" s="315"/>
      <c r="S56" s="1247"/>
      <c r="T56" s="1250" t="s">
        <v>415</v>
      </c>
      <c r="U56" s="1249"/>
      <c r="V56" s="1249"/>
      <c r="W56" s="1249"/>
      <c r="X56" s="1249"/>
      <c r="Y56" s="1249"/>
      <c r="Z56" s="1249"/>
      <c r="AA56" s="1249"/>
      <c r="AB56" s="1249"/>
      <c r="AC56" s="1249"/>
      <c r="AD56" s="1249"/>
      <c r="AE56" s="1249"/>
      <c r="AF56" s="1249"/>
      <c r="AG56" s="1249"/>
      <c r="AH56" s="1249"/>
      <c r="AI56" s="1249"/>
      <c r="AJ56" s="1249"/>
      <c r="AK56" s="1249"/>
      <c r="AL56" s="1249"/>
      <c r="AM56" s="1249"/>
      <c r="AO56" s="435"/>
      <c r="AP56" s="435" t="str">
        <f t="shared" si="1"/>
        <v>Добавить территорию для дифференциации</v>
      </c>
      <c r="AQ56" s="435"/>
      <c r="AR56" s="435"/>
      <c r="AS56" s="446">
        <v>1</v>
      </c>
    </row>
    <row r="57" spans="1:45" s="1567" customFormat="1" ht="1.1499999999999999" customHeight="1">
      <c r="A57" s="1239"/>
      <c r="B57" s="1239"/>
      <c r="C57" s="1239"/>
      <c r="D57" s="1239"/>
      <c r="E57" s="1268"/>
      <c r="F57" s="1239"/>
      <c r="G57" s="1239"/>
      <c r="H57" s="1239"/>
      <c r="I57" s="1239"/>
      <c r="J57" s="1239"/>
      <c r="K57" s="1239"/>
      <c r="L57" s="1264"/>
      <c r="M57" s="1246"/>
      <c r="N57" s="1246"/>
      <c r="P57" s="1241"/>
      <c r="Q57" s="1242"/>
      <c r="R57" s="1241"/>
      <c r="S57" s="1247"/>
      <c r="T57" s="1250" t="s">
        <v>447</v>
      </c>
      <c r="U57" s="1249"/>
      <c r="V57" s="1249"/>
      <c r="W57" s="1249"/>
      <c r="X57" s="1249"/>
      <c r="Y57" s="1249"/>
      <c r="Z57" s="1249"/>
      <c r="AA57" s="1249"/>
      <c r="AB57" s="1249"/>
      <c r="AC57" s="1249"/>
      <c r="AD57" s="1249"/>
      <c r="AE57" s="1249"/>
      <c r="AF57" s="1249"/>
      <c r="AG57" s="1249"/>
      <c r="AH57" s="1249"/>
      <c r="AI57" s="1249"/>
      <c r="AJ57" s="1249"/>
      <c r="AK57" s="1249"/>
      <c r="AL57" s="1249"/>
      <c r="AM57" s="1249"/>
      <c r="AO57" s="718"/>
      <c r="AP57" s="718" t="str">
        <f t="shared" si="1"/>
        <v>Добавить наименование тарифа</v>
      </c>
      <c r="AQ57" s="718"/>
      <c r="AR57" s="718"/>
      <c r="AS57" s="453">
        <v>1</v>
      </c>
    </row>
    <row r="58" spans="1:45" ht="11.45" customHeight="1">
      <c r="M58" s="1085"/>
      <c r="N58" s="1085"/>
      <c r="O58" s="472"/>
      <c r="P58" s="1080"/>
      <c r="Q58" s="1080"/>
      <c r="R58" s="1080"/>
      <c r="S58" s="1080"/>
      <c r="AN58" s="1080"/>
      <c r="AO58" s="1080"/>
      <c r="AP58" s="1080"/>
      <c r="AQ58" s="1080"/>
      <c r="AR58" s="1080"/>
      <c r="AS58" s="1080">
        <v>11</v>
      </c>
    </row>
    <row r="59" spans="1:45" ht="28.5" customHeight="1">
      <c r="O59" s="472"/>
      <c r="S59" s="1178"/>
      <c r="T59" s="2206"/>
      <c r="U59" s="2206"/>
      <c r="V59" s="2206"/>
      <c r="W59" s="2206"/>
      <c r="X59" s="2206"/>
      <c r="Y59" s="2206"/>
      <c r="Z59" s="2206"/>
      <c r="AA59" s="2206"/>
      <c r="AB59" s="2206"/>
      <c r="AC59" s="2206"/>
      <c r="AD59" s="2206"/>
      <c r="AE59" s="2206"/>
      <c r="AF59" s="2206"/>
      <c r="AG59" s="2206"/>
      <c r="AH59" s="2206"/>
      <c r="AI59" s="2206"/>
      <c r="AJ59" s="2206"/>
      <c r="AK59" s="2206"/>
      <c r="AL59" s="2206"/>
      <c r="AM59" s="2206"/>
      <c r="AS59" s="1080">
        <v>27</v>
      </c>
    </row>
    <row r="60" spans="1:45" ht="78.75" customHeight="1">
      <c r="O60" s="472"/>
      <c r="T60" s="2206"/>
      <c r="U60" s="2206"/>
      <c r="V60" s="2206"/>
      <c r="W60" s="2206"/>
      <c r="X60" s="2206"/>
      <c r="Y60" s="2206"/>
      <c r="Z60" s="2206"/>
      <c r="AA60" s="2206"/>
      <c r="AB60" s="2206"/>
      <c r="AC60" s="2206"/>
      <c r="AD60" s="2206"/>
      <c r="AE60" s="2206"/>
      <c r="AF60" s="2206"/>
      <c r="AG60" s="2206"/>
      <c r="AH60" s="2206"/>
      <c r="AI60" s="2206"/>
      <c r="AJ60" s="2206"/>
      <c r="AK60" s="2206"/>
      <c r="AL60" s="2206"/>
      <c r="AM60" s="2206"/>
      <c r="AS60" s="1080">
        <v>75</v>
      </c>
    </row>
    <row r="61" spans="1:45" ht="14.65" customHeight="1">
      <c r="O61" s="472"/>
      <c r="AS61" s="1080">
        <v>14</v>
      </c>
    </row>
    <row r="62" spans="1:45" ht="18.75" customHeight="1">
      <c r="O62" s="472"/>
      <c r="S62" s="1178"/>
      <c r="T62" s="2206"/>
      <c r="U62" s="2206"/>
      <c r="V62" s="2206"/>
      <c r="W62" s="2206"/>
      <c r="X62" s="2206"/>
      <c r="Y62" s="2206"/>
      <c r="Z62" s="2206"/>
      <c r="AA62" s="2206"/>
      <c r="AB62" s="2206"/>
      <c r="AC62" s="2206"/>
      <c r="AD62" s="2206"/>
      <c r="AE62" s="2206"/>
      <c r="AF62" s="2206"/>
      <c r="AG62" s="2206"/>
      <c r="AH62" s="2206"/>
      <c r="AI62" s="2206"/>
      <c r="AJ62" s="2206"/>
      <c r="AK62" s="2206"/>
      <c r="AL62" s="2206"/>
      <c r="AM62" s="2206"/>
      <c r="AS62" s="1080">
        <v>18</v>
      </c>
    </row>
    <row r="63" spans="1:45" ht="18.75" customHeight="1">
      <c r="O63" s="472"/>
      <c r="T63" s="2206"/>
      <c r="U63" s="2206"/>
      <c r="V63" s="2206"/>
      <c r="W63" s="2206"/>
      <c r="X63" s="2206"/>
      <c r="Y63" s="2206"/>
      <c r="Z63" s="2206"/>
      <c r="AA63" s="2206"/>
      <c r="AB63" s="2206"/>
      <c r="AC63" s="2206"/>
      <c r="AD63" s="2206"/>
      <c r="AE63" s="2206"/>
      <c r="AF63" s="2206"/>
      <c r="AG63" s="2206"/>
      <c r="AH63" s="2206"/>
      <c r="AI63" s="2206"/>
      <c r="AJ63" s="2206"/>
      <c r="AK63" s="2206"/>
      <c r="AL63" s="2206"/>
      <c r="AM63" s="2206"/>
      <c r="AS63" s="1080">
        <v>18</v>
      </c>
    </row>
    <row r="64" spans="1:45" ht="39.75" customHeight="1">
      <c r="O64" s="472"/>
      <c r="S64" s="1178"/>
      <c r="T64" s="2206"/>
      <c r="U64" s="2206"/>
      <c r="V64" s="2206"/>
      <c r="W64" s="2206"/>
      <c r="X64" s="2206"/>
      <c r="Y64" s="2206"/>
      <c r="Z64" s="2206"/>
      <c r="AA64" s="2206"/>
      <c r="AB64" s="2206"/>
      <c r="AC64" s="2206"/>
      <c r="AD64" s="2206"/>
      <c r="AE64" s="2206"/>
      <c r="AF64" s="2206"/>
      <c r="AG64" s="2206"/>
      <c r="AH64" s="2206"/>
      <c r="AI64" s="2206"/>
      <c r="AJ64" s="2206"/>
      <c r="AK64" s="2206"/>
      <c r="AL64" s="2206"/>
      <c r="AM64" s="2206"/>
      <c r="AS64" s="1080">
        <v>38</v>
      </c>
    </row>
    <row r="65" spans="1:45" ht="22.5" hidden="1" customHeight="1">
      <c r="A65" s="1085" t="s">
        <v>82</v>
      </c>
      <c r="B65" s="1085">
        <v>0</v>
      </c>
      <c r="C65" s="1085">
        <v>0</v>
      </c>
      <c r="D65" s="1085">
        <v>0</v>
      </c>
      <c r="E65" s="1085">
        <v>0</v>
      </c>
      <c r="F65" s="1085">
        <v>0</v>
      </c>
      <c r="G65" s="1085">
        <v>0</v>
      </c>
      <c r="H65" s="1085">
        <v>0</v>
      </c>
      <c r="I65" s="1085">
        <v>0</v>
      </c>
      <c r="J65" s="1085">
        <v>0</v>
      </c>
      <c r="K65" s="1085">
        <v>0</v>
      </c>
      <c r="L65" s="1254">
        <v>0</v>
      </c>
      <c r="M65" s="1287">
        <v>0</v>
      </c>
      <c r="N65" s="1287">
        <v>0</v>
      </c>
      <c r="O65" s="1287">
        <v>0</v>
      </c>
      <c r="P65" s="1253">
        <v>3</v>
      </c>
      <c r="Q65" s="280">
        <v>3</v>
      </c>
      <c r="R65" s="280">
        <v>3</v>
      </c>
      <c r="S65" s="516">
        <v>12</v>
      </c>
      <c r="T65" s="1080">
        <v>31</v>
      </c>
      <c r="U65" s="1080">
        <v>0</v>
      </c>
      <c r="V65" s="1080">
        <v>0</v>
      </c>
      <c r="W65" s="1080">
        <v>0</v>
      </c>
      <c r="X65" s="1080">
        <v>0</v>
      </c>
      <c r="Y65" s="1080">
        <v>0</v>
      </c>
      <c r="Z65" s="1080">
        <v>0</v>
      </c>
      <c r="AA65" s="1080">
        <v>0</v>
      </c>
      <c r="AB65" s="1080">
        <v>0</v>
      </c>
      <c r="AC65" s="1080">
        <v>0</v>
      </c>
      <c r="AD65" s="1080">
        <v>0</v>
      </c>
      <c r="AE65" s="1080">
        <v>24</v>
      </c>
      <c r="AF65" s="1080">
        <v>0</v>
      </c>
      <c r="AG65" s="1080">
        <v>0</v>
      </c>
      <c r="AH65" s="1080">
        <v>11</v>
      </c>
      <c r="AI65" s="1080">
        <v>3</v>
      </c>
      <c r="AJ65" s="1080">
        <v>11</v>
      </c>
      <c r="AK65" s="1080">
        <v>0</v>
      </c>
      <c r="AL65" s="1080">
        <v>4</v>
      </c>
      <c r="AM65" s="1080">
        <v>115</v>
      </c>
      <c r="AN65" s="446">
        <v>10</v>
      </c>
      <c r="AO65" s="446">
        <v>10</v>
      </c>
      <c r="AP65" s="446">
        <v>10</v>
      </c>
      <c r="AQ65" s="446">
        <v>10</v>
      </c>
      <c r="AR65" s="446">
        <v>10</v>
      </c>
      <c r="AS65" s="1080">
        <v>23</v>
      </c>
    </row>
  </sheetData>
  <sheetProtection formatColumns="0" formatRows="0" insertRows="0" deleteColumns="0" deleteRows="0" sort="0" autoFilter="0"/>
  <mergeCells count="110">
    <mergeCell ref="V2:AC2"/>
    <mergeCell ref="AD2:AL2"/>
    <mergeCell ref="V3:AC3"/>
    <mergeCell ref="AD3:AL3"/>
    <mergeCell ref="V4:AC4"/>
    <mergeCell ref="AD4:AL4"/>
    <mergeCell ref="T62:AM62"/>
    <mergeCell ref="T63:AM63"/>
    <mergeCell ref="T64:AM64"/>
    <mergeCell ref="S34:T34"/>
    <mergeCell ref="V34:AB34"/>
    <mergeCell ref="AD34:AJ34"/>
    <mergeCell ref="S35:T35"/>
    <mergeCell ref="V35:AB35"/>
    <mergeCell ref="AD35:AJ35"/>
    <mergeCell ref="AM49:AM51"/>
    <mergeCell ref="T59:AM59"/>
    <mergeCell ref="T60:AM60"/>
    <mergeCell ref="V47:AC47"/>
    <mergeCell ref="AD47:AL47"/>
    <mergeCell ref="AA42:AB42"/>
    <mergeCell ref="AI42:AJ42"/>
    <mergeCell ref="AD40:AD41"/>
    <mergeCell ref="AE40:AE41"/>
    <mergeCell ref="AI49:AI50"/>
    <mergeCell ref="AJ49:AJ50"/>
    <mergeCell ref="AK49:AK50"/>
    <mergeCell ref="V5:AC5"/>
    <mergeCell ref="AD5:AL5"/>
    <mergeCell ref="V6:AC6"/>
    <mergeCell ref="AD6:AL6"/>
    <mergeCell ref="V7:AC7"/>
    <mergeCell ref="AD7:AL7"/>
    <mergeCell ref="AH40:AJ40"/>
    <mergeCell ref="AA41:AB41"/>
    <mergeCell ref="AI41:AJ41"/>
    <mergeCell ref="AD32:AJ32"/>
    <mergeCell ref="V37:AC37"/>
    <mergeCell ref="AD37:AK37"/>
    <mergeCell ref="S38:AL38"/>
    <mergeCell ref="S32:T32"/>
    <mergeCell ref="V32:AB32"/>
    <mergeCell ref="AD29:AJ29"/>
    <mergeCell ref="S30:T30"/>
    <mergeCell ref="V30:AB30"/>
    <mergeCell ref="AD30:AJ30"/>
    <mergeCell ref="S31:T31"/>
    <mergeCell ref="V31:AB31"/>
    <mergeCell ref="E43:E56"/>
    <mergeCell ref="V43:AC43"/>
    <mergeCell ref="AD43:AL43"/>
    <mergeCell ref="F44:F55"/>
    <mergeCell ref="V44:AC44"/>
    <mergeCell ref="AD44:AL44"/>
    <mergeCell ref="G45:G54"/>
    <mergeCell ref="V45:AC45"/>
    <mergeCell ref="AD45:AL45"/>
    <mergeCell ref="H46:H53"/>
    <mergeCell ref="V46:AC46"/>
    <mergeCell ref="AD46:AL46"/>
    <mergeCell ref="I47:I52"/>
    <mergeCell ref="P47:P52"/>
    <mergeCell ref="J48:J51"/>
    <mergeCell ref="Q48:Q51"/>
    <mergeCell ref="V48:AC48"/>
    <mergeCell ref="AD48:AL48"/>
    <mergeCell ref="K49:K50"/>
    <mergeCell ref="Z49:Z50"/>
    <mergeCell ref="AA49:AA50"/>
    <mergeCell ref="AB49:AB50"/>
    <mergeCell ref="AC49:AC50"/>
    <mergeCell ref="AH49:AH50"/>
    <mergeCell ref="AM38:AM41"/>
    <mergeCell ref="S39:S41"/>
    <mergeCell ref="T39:T41"/>
    <mergeCell ref="V39:AB39"/>
    <mergeCell ref="AC39:AC41"/>
    <mergeCell ref="AD39:AJ39"/>
    <mergeCell ref="AK39:AK41"/>
    <mergeCell ref="AL39:AL41"/>
    <mergeCell ref="V40:V41"/>
    <mergeCell ref="W40:W41"/>
    <mergeCell ref="Z40:AB40"/>
    <mergeCell ref="AD31:AJ31"/>
    <mergeCell ref="AJ8:AJ9"/>
    <mergeCell ref="AK8:AK9"/>
    <mergeCell ref="Z8:Z9"/>
    <mergeCell ref="S26:AJ26"/>
    <mergeCell ref="S27:AJ27"/>
    <mergeCell ref="S29:T29"/>
    <mergeCell ref="V29:AB29"/>
    <mergeCell ref="AM8:AM10"/>
    <mergeCell ref="AH17:AH18"/>
    <mergeCell ref="AI17:AI18"/>
    <mergeCell ref="AJ17:AJ18"/>
    <mergeCell ref="AK17:AK18"/>
    <mergeCell ref="AA8:AA9"/>
    <mergeCell ref="AB8:AB9"/>
    <mergeCell ref="AC8:AC9"/>
    <mergeCell ref="AH8:AH9"/>
    <mergeCell ref="AI8:AI9"/>
    <mergeCell ref="E2:E15"/>
    <mergeCell ref="F3:F14"/>
    <mergeCell ref="G4:G13"/>
    <mergeCell ref="H5:H12"/>
    <mergeCell ref="I6:I11"/>
    <mergeCell ref="P6:P11"/>
    <mergeCell ref="J7:J10"/>
    <mergeCell ref="Q7:Q10"/>
    <mergeCell ref="K8:K9"/>
  </mergeCells>
  <dataValidations count="8">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AG50 AG18 Y50"/>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524337 AK8 AK589873 AK655409 AK17 AK720945 AK786481 AK852017 AK917553 AK983089 AK65585 AK131121 AK458801 AK196657 AK262193 AI49 AI8 AC8 AA8 AI17 AK327729 AK393265 AA49 AC49 AK49"/>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formula1>900</formula1>
    </dataValidation>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formula1>kind_of_scheme_in</formula1>
    </dataValidation>
    <dataValidation type="list" allowBlank="1" showInputMessage="1" showErrorMessage="1" errorTitle="Ошибка" error="Выберите значение из списка" sqref="T65585 T131121 T196657 T262193 T327729 T393265 T458801 T524337 T589873 T655409 T720945 T786481 T852017 T917553 T983089">
      <formula1>kind_of_heat_transfer</formula1>
    </dataValidation>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formula1>kind_of_cons</formula1>
    </dataValidation>
    <dataValidation allowBlank="1" sqref="S131123:AM131129 S196659:AM196665 S262195:AM262201 S327731:AM327737 S393267:AM393273 S458803:AM458809 S524339:AM524345 S589875:AM589881 S655411:AM655417 S720947:AM720953 S786483:AM786489 S852019:AM852025 S917555:AM917561 S983091:AM983097 S65587:AM65593"/>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6" tint="0.39997558519241921"/>
  </sheetPr>
  <dimension ref="A1:AS66"/>
  <sheetViews>
    <sheetView showGridLines="0" zoomScale="90" workbookViewId="0">
      <pane xSplit="29" ySplit="42" topLeftCell="AD43" activePane="bottomRight" state="frozen"/>
      <selection pane="topRight" activeCell="AD1" sqref="AD1"/>
      <selection pane="bottomLeft" activeCell="A43" sqref="A43"/>
      <selection pane="bottomRight"/>
    </sheetView>
  </sheetViews>
  <sheetFormatPr defaultColWidth="10.5703125" defaultRowHeight="14.25" customHeight="1"/>
  <cols>
    <col min="1" max="1" width="10.5703125" style="1291" hidden="1"/>
    <col min="2" max="2" width="11" style="1291" hidden="1" customWidth="1"/>
    <col min="3" max="3" width="10.5703125" style="1291" hidden="1"/>
    <col min="4" max="4" width="11.85546875" style="1291" hidden="1" customWidth="1"/>
    <col min="5" max="5" width="10" style="1291" hidden="1" customWidth="1"/>
    <col min="6" max="6" width="8.7109375" style="1291" hidden="1" customWidth="1"/>
    <col min="7" max="7" width="7.5703125" style="1291" hidden="1" customWidth="1"/>
    <col min="8" max="8" width="11.42578125" style="1291" hidden="1" customWidth="1"/>
    <col min="9" max="9" width="12" style="1291" hidden="1" customWidth="1"/>
    <col min="10" max="10" width="9.85546875" style="1291" hidden="1" customWidth="1"/>
    <col min="11" max="11" width="11.42578125" style="1291" hidden="1" customWidth="1"/>
    <col min="12" max="12" width="19.140625" style="2002" hidden="1" customWidth="1"/>
    <col min="13" max="14" width="12.28515625" style="1701" hidden="1" customWidth="1"/>
    <col min="15" max="15" width="23.42578125" style="1701" hidden="1" customWidth="1"/>
    <col min="16" max="16" width="3.7109375" style="2000" hidden="1" customWidth="1"/>
    <col min="17" max="18" width="3" style="280" customWidth="1"/>
    <col min="19" max="19" width="12" style="2001" customWidth="1"/>
    <col min="20" max="20" width="31" style="1560" customWidth="1"/>
    <col min="21" max="21" width="0.140625" style="1560" customWidth="1"/>
    <col min="22" max="22" width="24.7109375" style="1560" hidden="1" customWidth="1"/>
    <col min="23" max="23" width="0.140625" style="1560" hidden="1" customWidth="1"/>
    <col min="24" max="25" width="24.7109375" style="1560" hidden="1" customWidth="1"/>
    <col min="26" max="26" width="11.7109375" style="1560" hidden="1" customWidth="1"/>
    <col min="27" max="27" width="3.7109375" style="1560" hidden="1" customWidth="1"/>
    <col min="28" max="28" width="11.7109375" style="1560" hidden="1" customWidth="1"/>
    <col min="29" max="29" width="8.5703125" style="1560" hidden="1" customWidth="1"/>
    <col min="30" max="30" width="24.7109375" style="1560" customWidth="1"/>
    <col min="31" max="31" width="0.140625" style="1560" customWidth="1"/>
    <col min="32" max="33" width="24" style="1560" customWidth="1"/>
    <col min="34" max="34" width="11" style="1560" customWidth="1"/>
    <col min="35" max="35" width="3.7109375" style="1560" customWidth="1"/>
    <col min="36" max="36" width="11" style="1560" customWidth="1"/>
    <col min="37" max="37" width="8.5703125" style="1560" hidden="1" customWidth="1"/>
    <col min="38" max="38" width="4" style="1560" customWidth="1"/>
    <col min="39" max="39" width="115" style="1560" customWidth="1"/>
    <col min="40" max="44" width="10" style="1567" customWidth="1"/>
    <col min="45" max="45" width="8.42578125" style="1560" hidden="1" customWidth="1"/>
  </cols>
  <sheetData>
    <row r="1" spans="1:45" ht="22.5" hidden="1" customHeight="1">
      <c r="Y1" s="263"/>
      <c r="Z1" s="263"/>
      <c r="AG1" s="263"/>
      <c r="AH1" s="263"/>
      <c r="AS1" s="1080" t="s">
        <v>14</v>
      </c>
    </row>
    <row r="2" spans="1:45" ht="21" hidden="1" customHeight="1">
      <c r="A2" s="1288"/>
      <c r="B2" s="1288"/>
      <c r="C2" s="1288"/>
      <c r="D2" s="1288"/>
      <c r="E2" s="2186">
        <v>1</v>
      </c>
      <c r="F2" s="1288"/>
      <c r="G2" s="1288"/>
      <c r="H2" s="1288"/>
      <c r="I2" s="1288"/>
      <c r="J2" s="1288"/>
      <c r="K2" s="1288"/>
      <c r="L2" s="1289"/>
      <c r="M2" s="1290"/>
      <c r="N2" s="1290"/>
      <c r="O2" s="1290"/>
      <c r="P2" s="296"/>
      <c r="Q2" s="295"/>
      <c r="R2" s="290"/>
      <c r="S2" s="1261" t="e">
        <f>INDEX(PT_DIFFERENTIATION_NUM_NTAR,MATCH(A2,PT_DIFFERENTIATION_NTAR_ID,0))</f>
        <v>#N/A</v>
      </c>
      <c r="T2" s="234" t="s">
        <v>124</v>
      </c>
      <c r="U2" s="236"/>
      <c r="V2" s="2172"/>
      <c r="W2" s="2173"/>
      <c r="X2" s="2173"/>
      <c r="Y2" s="2173"/>
      <c r="Z2" s="2173"/>
      <c r="AA2" s="2173"/>
      <c r="AB2" s="2173"/>
      <c r="AC2" s="2174"/>
      <c r="AD2" s="2172" t="e">
        <f>INDEX(PT_DIFFERENTIATION_NTAR,MATCH(A2,PT_DIFFERENTIATION_NTAR_ID,0))</f>
        <v>#N/A</v>
      </c>
      <c r="AE2" s="2173"/>
      <c r="AF2" s="2173"/>
      <c r="AG2" s="2173"/>
      <c r="AH2" s="2173"/>
      <c r="AI2" s="2173"/>
      <c r="AJ2" s="2173"/>
      <c r="AK2" s="2173"/>
      <c r="AL2" s="2174"/>
      <c r="AM2" s="1183" t="s">
        <v>395</v>
      </c>
      <c r="AO2" s="435"/>
      <c r="AP2" s="435" t="str">
        <f t="shared" ref="AP2:AP15" si="0">IF(T2="","",T2)</f>
        <v>Наименование тарифа</v>
      </c>
      <c r="AQ2" s="435"/>
      <c r="AR2" s="435"/>
      <c r="AS2" s="1080">
        <v>0</v>
      </c>
    </row>
    <row r="3" spans="1:45" ht="21" hidden="1" customHeight="1">
      <c r="A3" s="1288"/>
      <c r="B3" s="1288"/>
      <c r="C3" s="1288"/>
      <c r="D3" s="1288"/>
      <c r="E3" s="2187"/>
      <c r="F3" s="2186">
        <v>1</v>
      </c>
      <c r="G3" s="1288"/>
      <c r="H3" s="1288"/>
      <c r="I3" s="1288"/>
      <c r="J3" s="1288"/>
      <c r="K3" s="1288"/>
      <c r="L3" s="1289"/>
      <c r="M3" s="1290"/>
      <c r="N3" s="1290"/>
      <c r="O3" s="1290"/>
      <c r="P3" s="1257"/>
      <c r="Q3" s="287"/>
      <c r="R3" s="288"/>
      <c r="S3" s="1261" t="e">
        <f>INDEX(PT_DIFFERENTIATION_NUM_TER,MATCH(B3,PT_DIFFERENTIATION_TER_ID,0))</f>
        <v>#N/A</v>
      </c>
      <c r="T3" s="244" t="s">
        <v>396</v>
      </c>
      <c r="U3" s="236"/>
      <c r="V3" s="2172"/>
      <c r="W3" s="2173"/>
      <c r="X3" s="2173"/>
      <c r="Y3" s="2173"/>
      <c r="Z3" s="2173"/>
      <c r="AA3" s="2173"/>
      <c r="AB3" s="2173"/>
      <c r="AC3" s="2174"/>
      <c r="AD3" s="2172" t="e">
        <f>INDEX(PT_DIFFERENTIATION_TER,MATCH(B3,PT_DIFFERENTIATION_TER_ID,0))</f>
        <v>#N/A</v>
      </c>
      <c r="AE3" s="2173"/>
      <c r="AF3" s="2173"/>
      <c r="AG3" s="2173"/>
      <c r="AH3" s="2173"/>
      <c r="AI3" s="2173"/>
      <c r="AJ3" s="2173"/>
      <c r="AK3" s="2173"/>
      <c r="AL3" s="2174"/>
      <c r="AM3" s="1183" t="s">
        <v>397</v>
      </c>
      <c r="AO3" s="435"/>
      <c r="AP3" s="435" t="str">
        <f t="shared" si="0"/>
        <v>Территория действия тарифа</v>
      </c>
      <c r="AQ3" s="435"/>
      <c r="AR3" s="435"/>
      <c r="AS3" s="1080">
        <v>0</v>
      </c>
    </row>
    <row r="4" spans="1:45" ht="23.25" hidden="1" customHeight="1">
      <c r="A4" s="1288"/>
      <c r="B4" s="1288"/>
      <c r="C4" s="1288"/>
      <c r="D4" s="1288"/>
      <c r="E4" s="2187"/>
      <c r="F4" s="2187"/>
      <c r="G4" s="2186">
        <v>1</v>
      </c>
      <c r="H4" s="1288"/>
      <c r="I4" s="1288"/>
      <c r="J4" s="1288"/>
      <c r="K4" s="1288"/>
      <c r="L4" s="1289"/>
      <c r="M4" s="1290"/>
      <c r="N4" s="1290"/>
      <c r="O4" s="1290"/>
      <c r="P4" s="289"/>
      <c r="Q4" s="287"/>
      <c r="R4" s="288"/>
      <c r="S4" s="1261" t="e">
        <f>INDEX(PT_DIFFERENTIATION_NUM_CS,MATCH(C4,PT_DIFFERENTIATION_CS_ID,0))</f>
        <v>#N/A</v>
      </c>
      <c r="T4" s="245" t="s">
        <v>398</v>
      </c>
      <c r="U4" s="236"/>
      <c r="V4" s="2172"/>
      <c r="W4" s="2173"/>
      <c r="X4" s="2173"/>
      <c r="Y4" s="2173"/>
      <c r="Z4" s="2173"/>
      <c r="AA4" s="2173"/>
      <c r="AB4" s="2173"/>
      <c r="AC4" s="2174"/>
      <c r="AD4" s="2172" t="e">
        <f>INDEX(PT_DIFFERENTIATION_CS,MATCH(C4,PT_DIFFERENTIATION_CS_ID,0))</f>
        <v>#N/A</v>
      </c>
      <c r="AE4" s="2173"/>
      <c r="AF4" s="2173"/>
      <c r="AG4" s="2173"/>
      <c r="AH4" s="2173"/>
      <c r="AI4" s="2173"/>
      <c r="AJ4" s="2173"/>
      <c r="AK4" s="2173"/>
      <c r="AL4" s="2174"/>
      <c r="AM4" s="1183" t="s">
        <v>399</v>
      </c>
      <c r="AO4" s="435"/>
      <c r="AP4" s="435" t="str">
        <f t="shared" si="0"/>
        <v xml:space="preserve">Наименование системы теплоснабжения </v>
      </c>
      <c r="AQ4" s="435"/>
      <c r="AR4" s="435"/>
      <c r="AS4" s="1080">
        <v>0</v>
      </c>
    </row>
    <row r="5" spans="1:45" ht="21" hidden="1" customHeight="1">
      <c r="A5" s="1288"/>
      <c r="B5" s="1288"/>
      <c r="C5" s="1288"/>
      <c r="D5" s="1288"/>
      <c r="E5" s="2187"/>
      <c r="F5" s="2187"/>
      <c r="G5" s="2187"/>
      <c r="H5" s="2186">
        <v>1</v>
      </c>
      <c r="I5" s="1288"/>
      <c r="J5" s="1288"/>
      <c r="K5" s="1288"/>
      <c r="L5" s="1289"/>
      <c r="M5" s="1290"/>
      <c r="N5" s="1290"/>
      <c r="O5" s="1290"/>
      <c r="P5" s="289"/>
      <c r="Q5" s="287"/>
      <c r="R5" s="288"/>
      <c r="S5" s="1261" t="e">
        <f>INDEX(PT_DIFFERENTIATION_NUM_IST_TE,MATCH(D5,PT_DIFFERENTIATION_IST_TE_ID,0))</f>
        <v>#N/A</v>
      </c>
      <c r="T5" s="246" t="s">
        <v>400</v>
      </c>
      <c r="U5" s="236"/>
      <c r="V5" s="2172"/>
      <c r="W5" s="2173"/>
      <c r="X5" s="2173"/>
      <c r="Y5" s="2173"/>
      <c r="Z5" s="2173"/>
      <c r="AA5" s="2173"/>
      <c r="AB5" s="2173"/>
      <c r="AC5" s="2174"/>
      <c r="AD5" s="2172" t="e">
        <f>INDEX(PT_DIFFERENTIATION_IST_TE,MATCH(D5,PT_DIFFERENTIATION_IST_TE_ID,0))</f>
        <v>#N/A</v>
      </c>
      <c r="AE5" s="2173"/>
      <c r="AF5" s="2173"/>
      <c r="AG5" s="2173"/>
      <c r="AH5" s="2173"/>
      <c r="AI5" s="2173"/>
      <c r="AJ5" s="2173"/>
      <c r="AK5" s="2173"/>
      <c r="AL5" s="2174"/>
      <c r="AM5" s="1183" t="s">
        <v>401</v>
      </c>
      <c r="AO5" s="435"/>
      <c r="AP5" s="435" t="str">
        <f t="shared" si="0"/>
        <v xml:space="preserve">Источник тепловой энергии  </v>
      </c>
      <c r="AQ5" s="435"/>
      <c r="AR5" s="435"/>
      <c r="AS5" s="1080">
        <v>0</v>
      </c>
    </row>
    <row r="6" spans="1:45" ht="14.25" hidden="1" customHeight="1">
      <c r="A6" s="1288"/>
      <c r="B6" s="1288"/>
      <c r="C6" s="1288"/>
      <c r="D6" s="1288"/>
      <c r="E6" s="2187"/>
      <c r="F6" s="2187"/>
      <c r="G6" s="2187"/>
      <c r="H6" s="2187"/>
      <c r="I6" s="2184" t="e">
        <f>S5&amp;".1"</f>
        <v>#N/A</v>
      </c>
      <c r="J6" s="1288"/>
      <c r="K6" s="1288"/>
      <c r="L6" s="1289" t="s">
        <v>402</v>
      </c>
      <c r="M6" s="472"/>
      <c r="P6" s="2185">
        <v>1</v>
      </c>
      <c r="Q6" s="1256"/>
      <c r="R6" s="291"/>
      <c r="S6" s="970"/>
      <c r="T6" s="1308"/>
      <c r="U6" s="1309"/>
      <c r="V6" s="2215"/>
      <c r="W6" s="2216"/>
      <c r="X6" s="2216"/>
      <c r="Y6" s="2216"/>
      <c r="Z6" s="2216"/>
      <c r="AA6" s="2216"/>
      <c r="AB6" s="2216"/>
      <c r="AC6" s="2217"/>
      <c r="AD6" s="2215"/>
      <c r="AE6" s="2216"/>
      <c r="AF6" s="2216"/>
      <c r="AG6" s="2216"/>
      <c r="AH6" s="2216"/>
      <c r="AI6" s="2216"/>
      <c r="AJ6" s="2216"/>
      <c r="AK6" s="2216"/>
      <c r="AL6" s="2217"/>
      <c r="AM6" s="1310"/>
      <c r="AO6" s="435"/>
      <c r="AP6" s="435" t="str">
        <f t="shared" si="0"/>
        <v/>
      </c>
      <c r="AQ6" s="435"/>
      <c r="AR6" s="435"/>
      <c r="AS6" s="1080">
        <v>0</v>
      </c>
    </row>
    <row r="7" spans="1:45" ht="21" hidden="1" customHeight="1">
      <c r="A7" s="1288"/>
      <c r="B7" s="1288"/>
      <c r="C7" s="1288"/>
      <c r="D7" s="1288"/>
      <c r="E7" s="2187"/>
      <c r="F7" s="2187"/>
      <c r="G7" s="2187"/>
      <c r="H7" s="2187"/>
      <c r="I7" s="2207"/>
      <c r="J7" s="2184" t="e">
        <f>I6&amp;".1"</f>
        <v>#N/A</v>
      </c>
      <c r="K7" s="1288"/>
      <c r="L7" s="1289" t="s">
        <v>405</v>
      </c>
      <c r="M7" s="472"/>
      <c r="N7" s="1291"/>
      <c r="P7" s="2185"/>
      <c r="Q7" s="2185">
        <v>1</v>
      </c>
      <c r="R7" s="292"/>
      <c r="S7" s="1261" t="e">
        <f>$J7</f>
        <v>#N/A</v>
      </c>
      <c r="T7" s="222" t="s">
        <v>406</v>
      </c>
      <c r="U7" s="236"/>
      <c r="V7" s="2175"/>
      <c r="W7" s="2176"/>
      <c r="X7" s="2176"/>
      <c r="Y7" s="2176"/>
      <c r="Z7" s="2176"/>
      <c r="AA7" s="2176"/>
      <c r="AB7" s="2176"/>
      <c r="AC7" s="2177"/>
      <c r="AD7" s="2175"/>
      <c r="AE7" s="2176"/>
      <c r="AF7" s="2176"/>
      <c r="AG7" s="2176"/>
      <c r="AH7" s="2176"/>
      <c r="AI7" s="2176"/>
      <c r="AJ7" s="2176"/>
      <c r="AK7" s="2176"/>
      <c r="AL7" s="2177"/>
      <c r="AM7" s="1183" t="s">
        <v>407</v>
      </c>
      <c r="AO7" s="435"/>
      <c r="AP7" s="435" t="str">
        <f t="shared" si="0"/>
        <v>Группа потребителей</v>
      </c>
      <c r="AQ7" s="435"/>
      <c r="AR7" s="435"/>
      <c r="AS7" s="1080">
        <v>0</v>
      </c>
    </row>
    <row r="8" spans="1:45" ht="21" hidden="1" customHeight="1">
      <c r="A8" s="1288"/>
      <c r="B8" s="1288"/>
      <c r="C8" s="1288"/>
      <c r="D8" s="1288"/>
      <c r="E8" s="2187"/>
      <c r="F8" s="2187"/>
      <c r="G8" s="2187"/>
      <c r="H8" s="2187"/>
      <c r="I8" s="2207"/>
      <c r="J8" s="2207"/>
      <c r="K8" s="2184" t="e">
        <f>J7&amp;".1"</f>
        <v>#N/A</v>
      </c>
      <c r="L8" s="1289" t="s">
        <v>408</v>
      </c>
      <c r="M8" s="472"/>
      <c r="N8" s="1291"/>
      <c r="O8" s="1291"/>
      <c r="P8" s="2185"/>
      <c r="Q8" s="2185"/>
      <c r="R8" s="292">
        <v>1</v>
      </c>
      <c r="S8" s="1261" t="e">
        <f>$K8</f>
        <v>#N/A</v>
      </c>
      <c r="T8" s="1272"/>
      <c r="U8" s="236"/>
      <c r="V8" s="686"/>
      <c r="W8" s="261"/>
      <c r="X8" s="686"/>
      <c r="Y8" s="1182"/>
      <c r="Z8" s="2189"/>
      <c r="AA8" s="2047" t="s">
        <v>66</v>
      </c>
      <c r="AB8" s="2189"/>
      <c r="AC8" s="2047" t="s">
        <v>66</v>
      </c>
      <c r="AD8" s="686"/>
      <c r="AE8" s="261"/>
      <c r="AF8" s="686"/>
      <c r="AG8" s="1182"/>
      <c r="AH8" s="2189"/>
      <c r="AI8" s="2047" t="s">
        <v>66</v>
      </c>
      <c r="AJ8" s="2189"/>
      <c r="AK8" s="2047" t="s">
        <v>66</v>
      </c>
      <c r="AL8" s="261"/>
      <c r="AM8" s="2181" t="s">
        <v>409</v>
      </c>
      <c r="AN8" s="446" t="e">
        <f ca="1">STRCHECKDATE(V9:AL9)</f>
        <v>#NAME?</v>
      </c>
      <c r="AO8" s="435"/>
      <c r="AP8" s="435" t="str">
        <f t="shared" si="0"/>
        <v/>
      </c>
      <c r="AQ8" s="435"/>
      <c r="AR8" s="435"/>
      <c r="AS8" s="1080">
        <v>0</v>
      </c>
    </row>
    <row r="9" spans="1:45" ht="0.75" hidden="1" customHeight="1">
      <c r="A9" s="1288"/>
      <c r="B9" s="1288"/>
      <c r="C9" s="1288"/>
      <c r="D9" s="1288"/>
      <c r="E9" s="2187"/>
      <c r="F9" s="2187"/>
      <c r="G9" s="2187"/>
      <c r="H9" s="2187"/>
      <c r="I9" s="2207"/>
      <c r="J9" s="2207"/>
      <c r="K9" s="2184"/>
      <c r="L9" s="1289"/>
      <c r="M9" s="472"/>
      <c r="N9" s="1291"/>
      <c r="O9" s="1291"/>
      <c r="P9" s="2185"/>
      <c r="Q9" s="2185"/>
      <c r="R9" s="292"/>
      <c r="S9" s="1267"/>
      <c r="T9" s="236"/>
      <c r="U9" s="236"/>
      <c r="V9" s="261"/>
      <c r="W9" s="261"/>
      <c r="X9" s="261"/>
      <c r="Y9" s="264" t="str">
        <f>Z8&amp;"-"&amp;AB8</f>
        <v>-</v>
      </c>
      <c r="Z9" s="2190"/>
      <c r="AA9" s="2047"/>
      <c r="AB9" s="2190"/>
      <c r="AC9" s="2047"/>
      <c r="AD9" s="261"/>
      <c r="AE9" s="261"/>
      <c r="AF9" s="261"/>
      <c r="AG9" s="264" t="str">
        <f>AH8&amp;"-"&amp;AJ8</f>
        <v>-</v>
      </c>
      <c r="AH9" s="2190"/>
      <c r="AI9" s="2047"/>
      <c r="AJ9" s="2190"/>
      <c r="AK9" s="2047"/>
      <c r="AL9" s="261"/>
      <c r="AM9" s="2182"/>
      <c r="AO9" s="435"/>
      <c r="AP9" s="435" t="str">
        <f t="shared" si="0"/>
        <v/>
      </c>
      <c r="AQ9" s="435"/>
      <c r="AR9" s="435"/>
      <c r="AS9" s="1080">
        <v>0</v>
      </c>
    </row>
    <row r="10" spans="1:45" ht="15" hidden="1" customHeight="1">
      <c r="A10" s="1288"/>
      <c r="B10" s="1288"/>
      <c r="C10" s="1288"/>
      <c r="D10" s="1288"/>
      <c r="E10" s="2187"/>
      <c r="F10" s="2187"/>
      <c r="G10" s="2187"/>
      <c r="H10" s="2187"/>
      <c r="I10" s="2207"/>
      <c r="J10" s="2184"/>
      <c r="K10" s="1288"/>
      <c r="L10" s="1289"/>
      <c r="M10" s="472"/>
      <c r="N10" s="1291"/>
      <c r="P10" s="2185"/>
      <c r="Q10" s="2185"/>
      <c r="R10" s="291"/>
      <c r="S10" s="1203"/>
      <c r="T10" s="223" t="s">
        <v>410</v>
      </c>
      <c r="U10" s="302"/>
      <c r="V10" s="302"/>
      <c r="W10" s="302"/>
      <c r="X10" s="302"/>
      <c r="Y10" s="302"/>
      <c r="Z10" s="302"/>
      <c r="AA10" s="302"/>
      <c r="AB10" s="302"/>
      <c r="AC10" s="302"/>
      <c r="AD10" s="302"/>
      <c r="AE10" s="302"/>
      <c r="AF10" s="302"/>
      <c r="AG10" s="302"/>
      <c r="AH10" s="302"/>
      <c r="AI10" s="302"/>
      <c r="AJ10" s="302"/>
      <c r="AK10" s="302"/>
      <c r="AL10" s="260"/>
      <c r="AM10" s="2183"/>
      <c r="AO10" s="435"/>
      <c r="AP10" s="435" t="str">
        <f t="shared" si="0"/>
        <v>Добавить вид теплоносителя (параметры теплоносителя)</v>
      </c>
      <c r="AQ10" s="435"/>
      <c r="AR10" s="435"/>
      <c r="AS10" s="1080">
        <v>0</v>
      </c>
    </row>
    <row r="11" spans="1:45" ht="15" hidden="1" customHeight="1">
      <c r="A11" s="1288"/>
      <c r="B11" s="1288"/>
      <c r="C11" s="1288"/>
      <c r="D11" s="1288"/>
      <c r="E11" s="2187"/>
      <c r="F11" s="2187"/>
      <c r="G11" s="2187"/>
      <c r="H11" s="2187"/>
      <c r="I11" s="2184"/>
      <c r="J11" s="1288"/>
      <c r="K11" s="1288"/>
      <c r="L11" s="1289"/>
      <c r="M11" s="472"/>
      <c r="P11" s="2185"/>
      <c r="Q11" s="1256"/>
      <c r="R11" s="291"/>
      <c r="S11" s="1203"/>
      <c r="T11" s="300" t="s">
        <v>411</v>
      </c>
      <c r="U11" s="302"/>
      <c r="V11" s="302"/>
      <c r="W11" s="302"/>
      <c r="X11" s="302"/>
      <c r="Y11" s="302"/>
      <c r="Z11" s="302"/>
      <c r="AA11" s="302"/>
      <c r="AB11" s="302"/>
      <c r="AC11" s="301"/>
      <c r="AD11" s="302"/>
      <c r="AE11" s="302"/>
      <c r="AF11" s="302"/>
      <c r="AG11" s="302"/>
      <c r="AH11" s="302"/>
      <c r="AI11" s="302"/>
      <c r="AJ11" s="302"/>
      <c r="AK11" s="301"/>
      <c r="AL11" s="302"/>
      <c r="AM11" s="239"/>
      <c r="AO11" s="435"/>
      <c r="AP11" s="435" t="str">
        <f t="shared" si="0"/>
        <v>Добавить группу потребителей</v>
      </c>
      <c r="AQ11" s="435"/>
      <c r="AR11" s="435"/>
      <c r="AS11" s="1080">
        <v>0</v>
      </c>
    </row>
    <row r="12" spans="1:45" ht="14.25" hidden="1" customHeight="1">
      <c r="A12" s="1288"/>
      <c r="B12" s="1288"/>
      <c r="C12" s="1288"/>
      <c r="D12" s="1288"/>
      <c r="E12" s="2187"/>
      <c r="F12" s="2187"/>
      <c r="G12" s="2187"/>
      <c r="H12" s="2186"/>
      <c r="I12" s="1288"/>
      <c r="J12" s="1288"/>
      <c r="K12" s="1288"/>
      <c r="L12" s="1289"/>
      <c r="M12" s="1290"/>
      <c r="N12" s="1290"/>
      <c r="O12" s="472"/>
      <c r="P12" s="295"/>
      <c r="Q12" s="310"/>
      <c r="R12" s="290"/>
      <c r="S12" s="1311"/>
      <c r="T12" s="1312"/>
      <c r="U12" s="1313"/>
      <c r="V12" s="1313"/>
      <c r="W12" s="1313"/>
      <c r="X12" s="1313"/>
      <c r="Y12" s="1313"/>
      <c r="Z12" s="1313"/>
      <c r="AA12" s="1313"/>
      <c r="AB12" s="1313"/>
      <c r="AC12" s="1313"/>
      <c r="AD12" s="1313"/>
      <c r="AE12" s="1313"/>
      <c r="AF12" s="1313"/>
      <c r="AG12" s="1313"/>
      <c r="AH12" s="1313"/>
      <c r="AI12" s="1313"/>
      <c r="AJ12" s="1313"/>
      <c r="AK12" s="1313"/>
      <c r="AL12" s="1313"/>
      <c r="AM12" s="1314"/>
      <c r="AO12" s="435"/>
      <c r="AP12" s="435" t="str">
        <f t="shared" si="0"/>
        <v/>
      </c>
      <c r="AQ12" s="435"/>
      <c r="AR12" s="435"/>
      <c r="AS12" s="1080">
        <v>0</v>
      </c>
    </row>
    <row r="13" spans="1:45" s="1567" customFormat="1" ht="0.75" hidden="1" customHeight="1">
      <c r="A13" s="1239"/>
      <c r="B13" s="1239"/>
      <c r="C13" s="1239"/>
      <c r="D13" s="1239"/>
      <c r="E13" s="2187"/>
      <c r="F13" s="2187"/>
      <c r="G13" s="2186"/>
      <c r="H13" s="1239"/>
      <c r="I13" s="1239"/>
      <c r="J13" s="1239"/>
      <c r="K13" s="1239"/>
      <c r="L13" s="1264"/>
      <c r="M13" s="1240"/>
      <c r="N13" s="1240"/>
      <c r="P13" s="1241"/>
      <c r="Q13" s="1242"/>
      <c r="R13" s="1241"/>
      <c r="S13" s="1243"/>
      <c r="T13" s="1244" t="s">
        <v>413</v>
      </c>
      <c r="U13" s="1245"/>
      <c r="V13" s="1245"/>
      <c r="W13" s="1245"/>
      <c r="X13" s="1245"/>
      <c r="Y13" s="1245"/>
      <c r="Z13" s="1245"/>
      <c r="AA13" s="1245"/>
      <c r="AB13" s="1245"/>
      <c r="AC13" s="1245"/>
      <c r="AD13" s="1245"/>
      <c r="AE13" s="1245"/>
      <c r="AF13" s="1245"/>
      <c r="AG13" s="1245"/>
      <c r="AH13" s="1245"/>
      <c r="AI13" s="1245"/>
      <c r="AJ13" s="1245"/>
      <c r="AK13" s="1245"/>
      <c r="AL13" s="1245"/>
      <c r="AM13" s="1245"/>
      <c r="AO13" s="718"/>
      <c r="AP13" s="718" t="str">
        <f t="shared" si="0"/>
        <v>Добавить источник для дифференциации</v>
      </c>
      <c r="AQ13" s="718"/>
      <c r="AR13" s="718"/>
      <c r="AS13" s="453">
        <v>0</v>
      </c>
    </row>
    <row r="14" spans="1:45" s="1567" customFormat="1" ht="0.75" hidden="1" customHeight="1">
      <c r="A14" s="1239"/>
      <c r="B14" s="1239"/>
      <c r="C14" s="1239"/>
      <c r="D14" s="1239"/>
      <c r="E14" s="2187"/>
      <c r="F14" s="2186"/>
      <c r="G14" s="1239"/>
      <c r="H14" s="1239"/>
      <c r="I14" s="1239"/>
      <c r="J14" s="1239"/>
      <c r="K14" s="1239"/>
      <c r="L14" s="1264"/>
      <c r="M14" s="1246"/>
      <c r="N14" s="1246"/>
      <c r="P14" s="1241"/>
      <c r="Q14" s="1242"/>
      <c r="R14" s="1241"/>
      <c r="S14" s="1247"/>
      <c r="T14" s="1248" t="s">
        <v>414</v>
      </c>
      <c r="U14" s="1249"/>
      <c r="V14" s="1249"/>
      <c r="W14" s="1249"/>
      <c r="X14" s="1249"/>
      <c r="Y14" s="1249"/>
      <c r="Z14" s="1249"/>
      <c r="AA14" s="1249"/>
      <c r="AB14" s="1249"/>
      <c r="AC14" s="1249"/>
      <c r="AD14" s="1249"/>
      <c r="AE14" s="1249"/>
      <c r="AF14" s="1249"/>
      <c r="AG14" s="1249"/>
      <c r="AH14" s="1249"/>
      <c r="AI14" s="1249"/>
      <c r="AJ14" s="1249"/>
      <c r="AK14" s="1249"/>
      <c r="AL14" s="1249"/>
      <c r="AM14" s="1249"/>
      <c r="AO14" s="718"/>
      <c r="AP14" s="718" t="str">
        <f t="shared" si="0"/>
        <v>Добавить централизованную систему для дифференциации</v>
      </c>
      <c r="AQ14" s="718"/>
      <c r="AR14" s="718"/>
      <c r="AS14" s="453">
        <v>0</v>
      </c>
    </row>
    <row r="15" spans="1:45" s="1567" customFormat="1" ht="0.75" hidden="1" customHeight="1">
      <c r="A15" s="1239"/>
      <c r="B15" s="1239"/>
      <c r="C15" s="1239"/>
      <c r="D15" s="1239"/>
      <c r="E15" s="2186"/>
      <c r="F15" s="1239"/>
      <c r="G15" s="1239"/>
      <c r="H15" s="1239"/>
      <c r="I15" s="1239"/>
      <c r="J15" s="1239"/>
      <c r="K15" s="1239"/>
      <c r="L15" s="1264"/>
      <c r="M15" s="1246"/>
      <c r="N15" s="1246"/>
      <c r="P15" s="1241"/>
      <c r="Q15" s="1242"/>
      <c r="R15" s="1241"/>
      <c r="S15" s="1247"/>
      <c r="T15" s="1250" t="s">
        <v>415</v>
      </c>
      <c r="U15" s="1249"/>
      <c r="V15" s="1249"/>
      <c r="W15" s="1249"/>
      <c r="X15" s="1249"/>
      <c r="Y15" s="1249"/>
      <c r="Z15" s="1249"/>
      <c r="AA15" s="1249"/>
      <c r="AB15" s="1249"/>
      <c r="AC15" s="1249"/>
      <c r="AD15" s="1249"/>
      <c r="AE15" s="1249"/>
      <c r="AF15" s="1249"/>
      <c r="AG15" s="1249"/>
      <c r="AH15" s="1249"/>
      <c r="AI15" s="1249"/>
      <c r="AJ15" s="1249"/>
      <c r="AK15" s="1249"/>
      <c r="AL15" s="1249"/>
      <c r="AM15" s="1249"/>
      <c r="AO15" s="718"/>
      <c r="AP15" s="718" t="str">
        <f t="shared" si="0"/>
        <v>Добавить территорию для дифференциации</v>
      </c>
      <c r="AQ15" s="718"/>
      <c r="AR15" s="718"/>
      <c r="AS15" s="453">
        <v>0</v>
      </c>
    </row>
    <row r="16" spans="1:45" ht="14.25" hidden="1" customHeight="1">
      <c r="AC16" s="263"/>
      <c r="AK16" s="263"/>
      <c r="AS16" s="1080">
        <v>0</v>
      </c>
    </row>
    <row r="17" spans="1:45" ht="14.25" hidden="1" customHeight="1">
      <c r="AD17" s="1285"/>
      <c r="AE17" s="1285"/>
      <c r="AF17" s="1285"/>
      <c r="AG17" s="1286"/>
      <c r="AH17" s="2191"/>
      <c r="AI17" s="2192" t="s">
        <v>66</v>
      </c>
      <c r="AJ17" s="2191"/>
      <c r="AK17" s="2192" t="s">
        <v>66</v>
      </c>
      <c r="AS17" s="1080">
        <v>0</v>
      </c>
    </row>
    <row r="18" spans="1:45" ht="14.25" hidden="1" customHeight="1">
      <c r="AD18" s="1285"/>
      <c r="AE18" s="1285"/>
      <c r="AF18" s="1285"/>
      <c r="AG18" s="264" t="str">
        <f>AH17&amp;"-"&amp;AJ17</f>
        <v>-</v>
      </c>
      <c r="AH18" s="2192"/>
      <c r="AI18" s="2192"/>
      <c r="AJ18" s="2192"/>
      <c r="AK18" s="2192"/>
      <c r="AS18" s="1080">
        <v>0</v>
      </c>
    </row>
    <row r="19" spans="1:45" ht="14.25" hidden="1" customHeight="1">
      <c r="AK19" s="263"/>
      <c r="AS19" s="1080">
        <v>0</v>
      </c>
    </row>
    <row r="20" spans="1:45" s="1291" customFormat="1" ht="22.5" hidden="1" customHeight="1">
      <c r="L20" s="1254"/>
      <c r="M20" s="1287"/>
      <c r="N20" s="1287"/>
      <c r="O20" s="1292" t="s">
        <v>416</v>
      </c>
      <c r="P20" s="1287"/>
      <c r="Q20" s="1296"/>
      <c r="R20" s="1296"/>
      <c r="S20" s="664"/>
      <c r="Z20" s="1292"/>
      <c r="AB20" s="1292"/>
      <c r="AH20" s="1292"/>
      <c r="AJ20" s="1292"/>
      <c r="AN20" s="446"/>
      <c r="AO20" s="446"/>
      <c r="AP20" s="446"/>
      <c r="AQ20" s="446"/>
      <c r="AR20" s="446"/>
      <c r="AS20" s="1085">
        <v>0</v>
      </c>
    </row>
    <row r="21" spans="1:45" s="1291" customFormat="1" ht="14.25" hidden="1" customHeight="1">
      <c r="L21" s="1254"/>
      <c r="M21" s="1287"/>
      <c r="N21" s="1287"/>
      <c r="O21" s="1287"/>
      <c r="P21" s="1287"/>
      <c r="Q21" s="1296"/>
      <c r="R21" s="1296"/>
      <c r="S21" s="664"/>
      <c r="AN21" s="446"/>
      <c r="AO21" s="446"/>
      <c r="AP21" s="446"/>
      <c r="AQ21" s="446"/>
      <c r="AR21" s="446"/>
      <c r="AS21" s="1085">
        <v>0</v>
      </c>
    </row>
    <row r="22" spans="1:45" s="1291" customFormat="1" ht="14.25" hidden="1" customHeight="1">
      <c r="L22" s="1254"/>
      <c r="M22" s="1287"/>
      <c r="N22" s="1287"/>
      <c r="O22" s="1289" t="s">
        <v>417</v>
      </c>
      <c r="P22" s="1287"/>
      <c r="Q22" s="1296"/>
      <c r="R22" s="1296"/>
      <c r="S22" s="664"/>
      <c r="T22" s="1085" t="s">
        <v>418</v>
      </c>
      <c r="AA22" s="122" t="s">
        <v>419</v>
      </c>
      <c r="AC22" s="122" t="s">
        <v>420</v>
      </c>
      <c r="AD22" s="1085" t="s">
        <v>418</v>
      </c>
      <c r="AI22" s="122" t="s">
        <v>421</v>
      </c>
      <c r="AK22" s="122" t="s">
        <v>420</v>
      </c>
      <c r="AN22" s="446"/>
      <c r="AO22" s="446"/>
      <c r="AP22" s="446"/>
      <c r="AQ22" s="446"/>
      <c r="AR22" s="446"/>
      <c r="AS22" s="1085">
        <v>0</v>
      </c>
    </row>
    <row r="23" spans="1:45" ht="14.25" hidden="1" customHeight="1">
      <c r="O23" s="1289"/>
      <c r="AS23" s="1080">
        <v>0</v>
      </c>
    </row>
    <row r="24" spans="1:45" ht="14.25" hidden="1" customHeight="1">
      <c r="O24" s="1289"/>
      <c r="AS24" s="1080">
        <v>0</v>
      </c>
    </row>
    <row r="25" spans="1:45" ht="14.65" customHeight="1">
      <c r="Q25" s="311"/>
      <c r="R25" s="311"/>
      <c r="S25" s="1200"/>
      <c r="T25" s="298"/>
      <c r="U25" s="298"/>
      <c r="V25" s="444"/>
      <c r="W25" s="444"/>
      <c r="X25" s="444"/>
      <c r="Y25" s="444"/>
      <c r="Z25" s="444"/>
      <c r="AA25" s="444"/>
      <c r="AB25" s="444"/>
      <c r="AC25" s="444"/>
      <c r="AD25" s="444"/>
      <c r="AE25" s="444"/>
      <c r="AF25" s="444"/>
      <c r="AG25" s="444"/>
      <c r="AH25" s="444"/>
      <c r="AI25" s="444"/>
      <c r="AJ25" s="444"/>
      <c r="AK25" s="444"/>
      <c r="AS25" s="1080">
        <v>14</v>
      </c>
    </row>
    <row r="26" spans="1:45" ht="63" customHeight="1">
      <c r="Q26" s="311"/>
      <c r="R26" s="311"/>
      <c r="S26" s="2170" t="str">
        <f>IF(TEMPLATE_GROUP="P",PT_P_FORM_HEAT_5_NAME_FORM,PT_R_FORM_HEAT_22_NAME_FORM)</f>
        <v>Форма 20. Информация о предложении регулируемой организации о расчетной величине тарифов на теплоноситель, поставляемый теплоснабжающими организациями потребителям, другим теплоснабжающим организациям, тарифов на услуги по передаче тепловой энергии, теплоносителя, о расчетной величине тарифов на теплоноситель в виде воды, поставляемый другим теплоснабжающим организациям в ценовых зонах теплоснабжения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v>
      </c>
      <c r="T26" s="2170"/>
      <c r="U26" s="2170"/>
      <c r="V26" s="2170"/>
      <c r="W26" s="2170"/>
      <c r="X26" s="2170"/>
      <c r="Y26" s="2170"/>
      <c r="Z26" s="2170"/>
      <c r="AA26" s="2170"/>
      <c r="AB26" s="2170"/>
      <c r="AC26" s="2170"/>
      <c r="AD26" s="2170"/>
      <c r="AE26" s="2170"/>
      <c r="AF26" s="2170"/>
      <c r="AG26" s="2170"/>
      <c r="AH26" s="2170"/>
      <c r="AI26" s="2170"/>
      <c r="AJ26" s="2170"/>
      <c r="AK26" s="1168"/>
      <c r="AS26" s="1080">
        <v>60</v>
      </c>
    </row>
    <row r="27" spans="1:45" ht="14.65" customHeight="1">
      <c r="Q27" s="311"/>
      <c r="R27" s="311"/>
      <c r="S27" s="2115" t="str">
        <f>IF(org=0,"Не определено",org)</f>
        <v>ООО "ЗЕНИТ ЭНЕРГО"</v>
      </c>
      <c r="T27" s="2115"/>
      <c r="U27" s="2115"/>
      <c r="V27" s="2115"/>
      <c r="W27" s="2115"/>
      <c r="X27" s="2115"/>
      <c r="Y27" s="2115"/>
      <c r="Z27" s="2115"/>
      <c r="AA27" s="2115"/>
      <c r="AB27" s="2115"/>
      <c r="AC27" s="2115"/>
      <c r="AD27" s="2115"/>
      <c r="AE27" s="2115"/>
      <c r="AF27" s="2115"/>
      <c r="AG27" s="2115"/>
      <c r="AH27" s="2115"/>
      <c r="AI27" s="2115"/>
      <c r="AJ27" s="2115"/>
      <c r="AK27" s="1168"/>
      <c r="AS27" s="1080">
        <v>14</v>
      </c>
    </row>
    <row r="28" spans="1:45" ht="14.25" hidden="1" customHeight="1">
      <c r="Q28" s="311"/>
      <c r="R28" s="311"/>
      <c r="S28" s="1200"/>
      <c r="T28" s="298"/>
      <c r="U28" s="298"/>
      <c r="V28" s="258"/>
      <c r="W28" s="258"/>
      <c r="X28" s="258"/>
      <c r="Y28" s="258"/>
      <c r="Z28" s="258"/>
      <c r="AA28" s="258"/>
      <c r="AB28" s="258"/>
      <c r="AC28" s="258"/>
      <c r="AD28" s="258"/>
      <c r="AE28" s="258"/>
      <c r="AF28" s="258"/>
      <c r="AG28" s="258"/>
      <c r="AH28" s="258"/>
      <c r="AI28" s="258"/>
      <c r="AJ28" s="258"/>
      <c r="AK28" s="258"/>
      <c r="AL28" s="444"/>
      <c r="AS28" s="1080">
        <v>0</v>
      </c>
    </row>
    <row r="29" spans="1:45" s="1777" customFormat="1" ht="25.5" hidden="1" customHeight="1">
      <c r="A29" s="1293"/>
      <c r="B29" s="1293"/>
      <c r="C29" s="1293"/>
      <c r="D29" s="1293"/>
      <c r="E29" s="1293"/>
      <c r="F29" s="1293"/>
      <c r="G29" s="1293"/>
      <c r="H29" s="1293"/>
      <c r="I29" s="1293"/>
      <c r="J29" s="1293"/>
      <c r="K29" s="1293"/>
      <c r="L29" s="1294"/>
      <c r="M29" s="1293"/>
      <c r="N29" s="1293"/>
      <c r="O29" s="1293"/>
      <c r="S29" s="2178" t="s">
        <v>42</v>
      </c>
      <c r="T29" s="2178"/>
      <c r="U29" s="1297"/>
      <c r="V29" s="2179" t="str">
        <f>IF(TITLE_NAME_OR_PR_CHANGE="",IF(TITLE_NAME_OR_PR="","",TITLE_NAME_OR_PR),TITLE_NAME_OR_PR_CHANGE)</f>
        <v/>
      </c>
      <c r="W29" s="2179"/>
      <c r="X29" s="2179"/>
      <c r="Y29" s="2179"/>
      <c r="Z29" s="2179"/>
      <c r="AA29" s="2179"/>
      <c r="AB29" s="2179"/>
      <c r="AC29" s="262"/>
      <c r="AD29" s="2179" t="str">
        <f>IF(TITLE_NAME_OR_PR_CHANGE="",IF(TITLE_NAME_OR_PR="","",TITLE_NAME_OR_PR),TITLE_NAME_OR_PR_CHANGE)</f>
        <v/>
      </c>
      <c r="AE29" s="2179"/>
      <c r="AF29" s="2179"/>
      <c r="AG29" s="2179"/>
      <c r="AH29" s="2179"/>
      <c r="AI29" s="2179"/>
      <c r="AJ29" s="2179"/>
      <c r="AK29" s="262"/>
      <c r="AL29" s="262"/>
      <c r="AM29" s="216"/>
      <c r="AN29" s="303"/>
      <c r="AO29" s="303"/>
      <c r="AP29" s="303"/>
      <c r="AQ29" s="303"/>
      <c r="AR29" s="303"/>
      <c r="AS29" s="353">
        <v>0</v>
      </c>
    </row>
    <row r="30" spans="1:45" s="1777" customFormat="1" ht="18.75" hidden="1" customHeight="1">
      <c r="A30" s="1293"/>
      <c r="B30" s="1293"/>
      <c r="C30" s="1293"/>
      <c r="D30" s="1293"/>
      <c r="E30" s="1293"/>
      <c r="F30" s="1293"/>
      <c r="G30" s="1293"/>
      <c r="H30" s="1293"/>
      <c r="I30" s="1293"/>
      <c r="J30" s="1293"/>
      <c r="K30" s="1293"/>
      <c r="L30" s="1294"/>
      <c r="M30" s="1293"/>
      <c r="N30" s="1293"/>
      <c r="O30" s="1293"/>
      <c r="S30" s="2178" t="s">
        <v>422</v>
      </c>
      <c r="T30" s="2178"/>
      <c r="U30" s="1297"/>
      <c r="V30" s="2188" t="str">
        <f>IF(TITLE_DATE_PR_CHANGE="",IF(TITLE_DATE_PR="","",TITLE_DATE_PR),TITLE_DATE_PR_CHANGE)</f>
        <v/>
      </c>
      <c r="W30" s="2188"/>
      <c r="X30" s="2188"/>
      <c r="Y30" s="2188"/>
      <c r="Z30" s="2188"/>
      <c r="AA30" s="2188"/>
      <c r="AB30" s="2188"/>
      <c r="AC30" s="262"/>
      <c r="AD30" s="2188" t="str">
        <f>IF(TITLE_DATE_PR_CHANGE="",IF(TITLE_DATE_PR="","",TITLE_DATE_PR),TITLE_DATE_PR_CHANGE)</f>
        <v/>
      </c>
      <c r="AE30" s="2188"/>
      <c r="AF30" s="2188"/>
      <c r="AG30" s="2188"/>
      <c r="AH30" s="2188"/>
      <c r="AI30" s="2188"/>
      <c r="AJ30" s="2188"/>
      <c r="AK30" s="262"/>
      <c r="AL30" s="262"/>
      <c r="AM30" s="216"/>
      <c r="AN30" s="303"/>
      <c r="AO30" s="303"/>
      <c r="AP30" s="303"/>
      <c r="AQ30" s="303"/>
      <c r="AR30" s="303"/>
      <c r="AS30" s="353">
        <v>0</v>
      </c>
    </row>
    <row r="31" spans="1:45" s="1777" customFormat="1" ht="18.75" hidden="1" customHeight="1">
      <c r="A31" s="1293"/>
      <c r="B31" s="1293"/>
      <c r="C31" s="1293"/>
      <c r="D31" s="1293"/>
      <c r="E31" s="1293"/>
      <c r="F31" s="1293"/>
      <c r="G31" s="1293"/>
      <c r="H31" s="1293"/>
      <c r="I31" s="1293"/>
      <c r="J31" s="1293"/>
      <c r="K31" s="1293"/>
      <c r="L31" s="1294"/>
      <c r="M31" s="1293"/>
      <c r="N31" s="1293"/>
      <c r="O31" s="1293"/>
      <c r="S31" s="2178" t="s">
        <v>423</v>
      </c>
      <c r="T31" s="2178"/>
      <c r="U31" s="1297"/>
      <c r="V31" s="2179" t="str">
        <f>IF(TITLE_NUMBER_PR_CHANGE="",IF(TITLE_NUMBER_PR="","",TITLE_NUMBER_PR),TITLE_NUMBER_PR_CHANGE)</f>
        <v/>
      </c>
      <c r="W31" s="2179"/>
      <c r="X31" s="2179"/>
      <c r="Y31" s="2179"/>
      <c r="Z31" s="2179"/>
      <c r="AA31" s="2179"/>
      <c r="AB31" s="2179"/>
      <c r="AC31" s="262"/>
      <c r="AD31" s="2179" t="str">
        <f>IF(TITLE_NUMBER_PR_CHANGE="",IF(TITLE_NUMBER_PR="","",TITLE_NUMBER_PR),TITLE_NUMBER_PR_CHANGE)</f>
        <v/>
      </c>
      <c r="AE31" s="2179"/>
      <c r="AF31" s="2179"/>
      <c r="AG31" s="2179"/>
      <c r="AH31" s="2179"/>
      <c r="AI31" s="2179"/>
      <c r="AJ31" s="2179"/>
      <c r="AK31" s="262"/>
      <c r="AL31" s="262"/>
      <c r="AM31" s="216"/>
      <c r="AN31" s="303"/>
      <c r="AO31" s="303"/>
      <c r="AP31" s="303"/>
      <c r="AQ31" s="303"/>
      <c r="AR31" s="303"/>
      <c r="AS31" s="353">
        <v>0</v>
      </c>
    </row>
    <row r="32" spans="1:45" s="1777" customFormat="1" ht="18.75" hidden="1" customHeight="1">
      <c r="A32" s="1293"/>
      <c r="B32" s="1293"/>
      <c r="C32" s="1293"/>
      <c r="D32" s="1293"/>
      <c r="E32" s="1293"/>
      <c r="F32" s="1293"/>
      <c r="G32" s="1293"/>
      <c r="H32" s="1293"/>
      <c r="I32" s="1293"/>
      <c r="J32" s="1293"/>
      <c r="K32" s="1293"/>
      <c r="L32" s="1294"/>
      <c r="M32" s="1293"/>
      <c r="N32" s="1293"/>
      <c r="O32" s="1293"/>
      <c r="S32" s="2178" t="s">
        <v>43</v>
      </c>
      <c r="T32" s="2178"/>
      <c r="U32" s="1297"/>
      <c r="V32" s="2179" t="str">
        <f>IF(TITLE_IST_PUB_CHANGE="",IF(TITLE_IST_PUB="","",TITLE_IST_PUB),TITLE_IST_PUB_CHANGE)</f>
        <v/>
      </c>
      <c r="W32" s="2179"/>
      <c r="X32" s="2179"/>
      <c r="Y32" s="2179"/>
      <c r="Z32" s="2179"/>
      <c r="AA32" s="2179"/>
      <c r="AB32" s="2179"/>
      <c r="AC32" s="262"/>
      <c r="AD32" s="2179" t="str">
        <f>IF(TITLE_IST_PUB_CHANGE="",IF(TITLE_IST_PUB="","",TITLE_IST_PUB),TITLE_IST_PUB_CHANGE)</f>
        <v/>
      </c>
      <c r="AE32" s="2179"/>
      <c r="AF32" s="2179"/>
      <c r="AG32" s="2179"/>
      <c r="AH32" s="2179"/>
      <c r="AI32" s="2179"/>
      <c r="AJ32" s="2179"/>
      <c r="AK32" s="262"/>
      <c r="AL32" s="262"/>
      <c r="AM32" s="216"/>
      <c r="AN32" s="303"/>
      <c r="AO32" s="303"/>
      <c r="AP32" s="303"/>
      <c r="AQ32" s="303"/>
      <c r="AR32" s="303"/>
      <c r="AS32" s="353">
        <v>0</v>
      </c>
    </row>
    <row r="33" spans="1:45" ht="14.25" hidden="1" customHeight="1">
      <c r="Q33" s="311"/>
      <c r="R33" s="311"/>
      <c r="S33" s="1200"/>
      <c r="T33" s="298"/>
      <c r="U33" s="298"/>
      <c r="V33" s="258"/>
      <c r="W33" s="258"/>
      <c r="X33" s="258"/>
      <c r="Y33" s="258"/>
      <c r="Z33" s="258"/>
      <c r="AA33" s="258"/>
      <c r="AB33" s="258"/>
      <c r="AC33" s="258"/>
      <c r="AD33" s="258"/>
      <c r="AE33" s="258"/>
      <c r="AF33" s="258"/>
      <c r="AG33" s="258"/>
      <c r="AH33" s="258"/>
      <c r="AI33" s="258"/>
      <c r="AJ33" s="258"/>
      <c r="AK33" s="258"/>
      <c r="AL33" s="444"/>
      <c r="AS33" s="1080">
        <v>0</v>
      </c>
    </row>
    <row r="34" spans="1:45" s="1777" customFormat="1" ht="18.75" hidden="1" customHeight="1">
      <c r="A34" s="1293"/>
      <c r="B34" s="1293"/>
      <c r="C34" s="1293"/>
      <c r="D34" s="1293"/>
      <c r="E34" s="1293"/>
      <c r="F34" s="1293"/>
      <c r="G34" s="1293"/>
      <c r="H34" s="1293"/>
      <c r="I34" s="1293"/>
      <c r="J34" s="1293"/>
      <c r="K34" s="1293"/>
      <c r="L34" s="1294"/>
      <c r="M34" s="1293"/>
      <c r="N34" s="1293"/>
      <c r="O34" s="1293"/>
      <c r="S34" s="2178" t="s">
        <v>424</v>
      </c>
      <c r="T34" s="2178"/>
      <c r="U34" s="1297"/>
      <c r="V34" s="2188" t="str">
        <f>IF(TITLE_DATE_PR_CHANGE="",IF(TITLE_DATE_PR="","",TITLE_DATE_PR),TITLE_DATE_PR_CHANGE)</f>
        <v/>
      </c>
      <c r="W34" s="2188"/>
      <c r="X34" s="2188"/>
      <c r="Y34" s="2188"/>
      <c r="Z34" s="2188"/>
      <c r="AA34" s="2188"/>
      <c r="AB34" s="2188"/>
      <c r="AC34" s="262"/>
      <c r="AD34" s="2188" t="str">
        <f>IF(TITLE_DATE_PR_CHANGE="",IF(TITLE_DATE_PR="","",TITLE_DATE_PR),TITLE_DATE_PR_CHANGE)</f>
        <v/>
      </c>
      <c r="AE34" s="2188"/>
      <c r="AF34" s="2188"/>
      <c r="AG34" s="2188"/>
      <c r="AH34" s="2188"/>
      <c r="AI34" s="2188"/>
      <c r="AJ34" s="2188"/>
      <c r="AK34" s="262"/>
      <c r="AL34" s="262"/>
      <c r="AM34" s="216"/>
      <c r="AN34" s="303"/>
      <c r="AO34" s="303"/>
      <c r="AP34" s="303"/>
      <c r="AQ34" s="303"/>
      <c r="AR34" s="303"/>
      <c r="AS34" s="353">
        <v>0</v>
      </c>
    </row>
    <row r="35" spans="1:45" s="1777" customFormat="1" ht="18.75" hidden="1" customHeight="1">
      <c r="A35" s="1293"/>
      <c r="B35" s="1293"/>
      <c r="C35" s="1293"/>
      <c r="D35" s="1293"/>
      <c r="E35" s="1293"/>
      <c r="F35" s="1293"/>
      <c r="G35" s="1293"/>
      <c r="H35" s="1293"/>
      <c r="I35" s="1293"/>
      <c r="J35" s="1293"/>
      <c r="K35" s="1293"/>
      <c r="L35" s="1294"/>
      <c r="M35" s="1293"/>
      <c r="N35" s="1293"/>
      <c r="O35" s="1293"/>
      <c r="S35" s="2178" t="s">
        <v>425</v>
      </c>
      <c r="T35" s="2178"/>
      <c r="U35" s="1297"/>
      <c r="V35" s="2179" t="str">
        <f>IF(TITLE_NUMBER_PR_CHANGE="",IF(TITLE_NUMBER_PR="","",TITLE_NUMBER_PR),TITLE_NUMBER_PR_CHANGE)</f>
        <v/>
      </c>
      <c r="W35" s="2179"/>
      <c r="X35" s="2179"/>
      <c r="Y35" s="2179"/>
      <c r="Z35" s="2179"/>
      <c r="AA35" s="2179"/>
      <c r="AB35" s="2179"/>
      <c r="AC35" s="262"/>
      <c r="AD35" s="2179" t="str">
        <f>IF(TITLE_NUMBER_PR_CHANGE="",IF(TITLE_NUMBER_PR="","",TITLE_NUMBER_PR),TITLE_NUMBER_PR_CHANGE)</f>
        <v/>
      </c>
      <c r="AE35" s="2179"/>
      <c r="AF35" s="2179"/>
      <c r="AG35" s="2179"/>
      <c r="AH35" s="2179"/>
      <c r="AI35" s="2179"/>
      <c r="AJ35" s="2179"/>
      <c r="AK35" s="262"/>
      <c r="AL35" s="262"/>
      <c r="AM35" s="216"/>
      <c r="AN35" s="303"/>
      <c r="AO35" s="303"/>
      <c r="AP35" s="303"/>
      <c r="AQ35" s="303"/>
      <c r="AR35" s="303"/>
      <c r="AS35" s="353">
        <v>0</v>
      </c>
    </row>
    <row r="36" spans="1:45" s="1777" customFormat="1" ht="0" hidden="1" customHeight="1">
      <c r="A36" s="1293"/>
      <c r="B36" s="1293"/>
      <c r="C36" s="1293"/>
      <c r="D36" s="1293"/>
      <c r="E36" s="1293"/>
      <c r="F36" s="1293"/>
      <c r="G36" s="1293"/>
      <c r="H36" s="1293"/>
      <c r="I36" s="1293"/>
      <c r="J36" s="1293"/>
      <c r="K36" s="1293"/>
      <c r="L36" s="1294"/>
      <c r="M36" s="1293"/>
      <c r="N36" s="1293"/>
      <c r="O36" s="1293"/>
      <c r="S36" s="259"/>
      <c r="T36" s="259"/>
      <c r="U36" s="1265"/>
      <c r="V36" s="262"/>
      <c r="W36" s="262"/>
      <c r="X36" s="262"/>
      <c r="Y36" s="262"/>
      <c r="Z36" s="262"/>
      <c r="AA36" s="262"/>
      <c r="AB36" s="262"/>
      <c r="AC36" s="214" t="s">
        <v>426</v>
      </c>
      <c r="AD36" s="262"/>
      <c r="AE36" s="262"/>
      <c r="AF36" s="262"/>
      <c r="AG36" s="262"/>
      <c r="AH36" s="262"/>
      <c r="AI36" s="262"/>
      <c r="AJ36" s="262"/>
      <c r="AK36" s="214" t="s">
        <v>426</v>
      </c>
      <c r="AN36" s="303"/>
      <c r="AO36" s="303"/>
      <c r="AP36" s="303"/>
      <c r="AQ36" s="303"/>
      <c r="AR36" s="303"/>
      <c r="AS36" s="353">
        <v>0</v>
      </c>
    </row>
    <row r="37" spans="1:45" ht="14.65" customHeight="1">
      <c r="Q37" s="311"/>
      <c r="R37" s="311"/>
      <c r="S37" s="1200"/>
      <c r="T37" s="298"/>
      <c r="U37" s="1169"/>
      <c r="V37" s="2180"/>
      <c r="W37" s="2180"/>
      <c r="X37" s="2180"/>
      <c r="Y37" s="2180"/>
      <c r="Z37" s="2180"/>
      <c r="AA37" s="2180"/>
      <c r="AB37" s="2180"/>
      <c r="AC37" s="2180"/>
      <c r="AD37" s="2180"/>
      <c r="AE37" s="2180"/>
      <c r="AF37" s="2180"/>
      <c r="AG37" s="2180"/>
      <c r="AH37" s="2180"/>
      <c r="AI37" s="2180"/>
      <c r="AJ37" s="2180"/>
      <c r="AK37" s="2180"/>
      <c r="AS37" s="1080">
        <v>14</v>
      </c>
    </row>
    <row r="38" spans="1:45" ht="14.65" customHeight="1">
      <c r="Q38" s="311"/>
      <c r="R38" s="311"/>
      <c r="S38" s="2066" t="s">
        <v>299</v>
      </c>
      <c r="T38" s="2066"/>
      <c r="U38" s="2066"/>
      <c r="V38" s="2066"/>
      <c r="W38" s="2066"/>
      <c r="X38" s="2066"/>
      <c r="Y38" s="2066"/>
      <c r="Z38" s="2066"/>
      <c r="AA38" s="2066"/>
      <c r="AB38" s="2066"/>
      <c r="AC38" s="2066"/>
      <c r="AD38" s="2066"/>
      <c r="AE38" s="2066"/>
      <c r="AF38" s="2066"/>
      <c r="AG38" s="2066"/>
      <c r="AH38" s="2066"/>
      <c r="AI38" s="2066"/>
      <c r="AJ38" s="2066"/>
      <c r="AK38" s="2066"/>
      <c r="AL38" s="2066"/>
      <c r="AM38" s="2066" t="s">
        <v>300</v>
      </c>
      <c r="AS38" s="1080">
        <v>14</v>
      </c>
    </row>
    <row r="39" spans="1:45" ht="14.65" customHeight="1">
      <c r="Q39" s="311"/>
      <c r="R39" s="311"/>
      <c r="S39" s="2194" t="s">
        <v>88</v>
      </c>
      <c r="T39" s="2145" t="s">
        <v>427</v>
      </c>
      <c r="U39" s="237"/>
      <c r="V39" s="2195" t="s">
        <v>428</v>
      </c>
      <c r="W39" s="2196"/>
      <c r="X39" s="2196"/>
      <c r="Y39" s="2196"/>
      <c r="Z39" s="2196"/>
      <c r="AA39" s="2196"/>
      <c r="AB39" s="2197"/>
      <c r="AC39" s="2198" t="s">
        <v>429</v>
      </c>
      <c r="AD39" s="2195" t="s">
        <v>428</v>
      </c>
      <c r="AE39" s="2196"/>
      <c r="AF39" s="2196"/>
      <c r="AG39" s="2196"/>
      <c r="AH39" s="2196"/>
      <c r="AI39" s="2196"/>
      <c r="AJ39" s="2197"/>
      <c r="AK39" s="2198" t="s">
        <v>430</v>
      </c>
      <c r="AL39" s="2201" t="s">
        <v>431</v>
      </c>
      <c r="AM39" s="2066"/>
      <c r="AS39" s="1080">
        <v>14</v>
      </c>
    </row>
    <row r="40" spans="1:45" ht="35.65" customHeight="1">
      <c r="Q40" s="311"/>
      <c r="R40" s="311"/>
      <c r="S40" s="2194"/>
      <c r="T40" s="2145"/>
      <c r="U40" s="959"/>
      <c r="V40" s="2114" t="s">
        <v>432</v>
      </c>
      <c r="W40" s="2204"/>
      <c r="X40" s="2038" t="s">
        <v>434</v>
      </c>
      <c r="Y40" s="2037"/>
      <c r="Z40" s="2038" t="s">
        <v>435</v>
      </c>
      <c r="AA40" s="2043"/>
      <c r="AB40" s="2037"/>
      <c r="AC40" s="2199"/>
      <c r="AD40" s="2114" t="s">
        <v>449</v>
      </c>
      <c r="AE40" s="2204"/>
      <c r="AF40" s="2038" t="s">
        <v>434</v>
      </c>
      <c r="AG40" s="2037"/>
      <c r="AH40" s="2038" t="s">
        <v>435</v>
      </c>
      <c r="AI40" s="2043"/>
      <c r="AJ40" s="2037"/>
      <c r="AK40" s="2199"/>
      <c r="AL40" s="2202"/>
      <c r="AM40" s="2066"/>
      <c r="AS40" s="1080">
        <v>34</v>
      </c>
    </row>
    <row r="41" spans="1:45" ht="35.65" customHeight="1">
      <c r="A41" s="1295"/>
      <c r="B41" s="1295" t="s">
        <v>136</v>
      </c>
      <c r="C41" s="1295" t="s">
        <v>137</v>
      </c>
      <c r="D41" s="1295" t="s">
        <v>138</v>
      </c>
      <c r="E41" s="1289" t="s">
        <v>436</v>
      </c>
      <c r="F41" s="1289" t="s">
        <v>437</v>
      </c>
      <c r="G41" s="1289" t="s">
        <v>438</v>
      </c>
      <c r="H41" s="1289" t="s">
        <v>439</v>
      </c>
      <c r="I41" s="1289" t="s">
        <v>440</v>
      </c>
      <c r="J41" s="1289" t="s">
        <v>441</v>
      </c>
      <c r="K41" s="1289" t="s">
        <v>442</v>
      </c>
      <c r="L41" s="1289" t="s">
        <v>417</v>
      </c>
      <c r="Q41" s="311"/>
      <c r="R41" s="311"/>
      <c r="S41" s="2194"/>
      <c r="T41" s="2145"/>
      <c r="U41" s="238"/>
      <c r="V41" s="2165"/>
      <c r="W41" s="2205"/>
      <c r="X41" s="1147" t="s">
        <v>443</v>
      </c>
      <c r="Y41" s="1147" t="s">
        <v>444</v>
      </c>
      <c r="Z41" s="1263" t="s">
        <v>445</v>
      </c>
      <c r="AA41" s="2154" t="s">
        <v>446</v>
      </c>
      <c r="AB41" s="2156"/>
      <c r="AC41" s="2200"/>
      <c r="AD41" s="2165"/>
      <c r="AE41" s="2205"/>
      <c r="AF41" s="1147" t="s">
        <v>443</v>
      </c>
      <c r="AG41" s="1147" t="s">
        <v>444</v>
      </c>
      <c r="AH41" s="1263" t="s">
        <v>445</v>
      </c>
      <c r="AI41" s="2154" t="s">
        <v>446</v>
      </c>
      <c r="AJ41" s="2156"/>
      <c r="AK41" s="2200"/>
      <c r="AL41" s="2203"/>
      <c r="AM41" s="2066"/>
      <c r="AS41" s="1080">
        <v>34</v>
      </c>
    </row>
    <row r="42" spans="1:45" s="1566" customFormat="1" ht="11.25" hidden="1" customHeight="1">
      <c r="A42" s="1295"/>
      <c r="B42" s="1295"/>
      <c r="C42" s="1295"/>
      <c r="D42" s="1295"/>
      <c r="E42" s="1295"/>
      <c r="F42" s="1295"/>
      <c r="G42" s="1295"/>
      <c r="H42" s="1295"/>
      <c r="I42" s="1295"/>
      <c r="J42" s="1295"/>
      <c r="K42" s="1295"/>
      <c r="L42" s="1289"/>
      <c r="M42" s="1287"/>
      <c r="N42" s="1287"/>
      <c r="O42" s="1287"/>
      <c r="P42" s="1171"/>
      <c r="Q42" s="1172"/>
      <c r="R42" s="1179">
        <v>1</v>
      </c>
      <c r="S42" s="1202" t="s">
        <v>109</v>
      </c>
      <c r="T42" s="1180" t="s">
        <v>110</v>
      </c>
      <c r="U42" s="1170" t="str">
        <f ca="1">OFFSET(U42,0,-1)</f>
        <v>2</v>
      </c>
      <c r="V42" s="1260">
        <f ca="1">OFFSET(V42,0,-1)+1</f>
        <v>3</v>
      </c>
      <c r="W42" s="1260"/>
      <c r="X42" s="1260">
        <f ca="1">OFFSET(X42,0,-1)+1</f>
        <v>1</v>
      </c>
      <c r="Y42" s="1260">
        <f ca="1">OFFSET(Y42,0,-1)+1</f>
        <v>2</v>
      </c>
      <c r="Z42" s="1260">
        <f ca="1">OFFSET(Z42,0,-1)+1</f>
        <v>3</v>
      </c>
      <c r="AA42" s="2193">
        <f ca="1">OFFSET(AA42,0,-1)+1</f>
        <v>4</v>
      </c>
      <c r="AB42" s="2193"/>
      <c r="AC42" s="1260">
        <f ca="1">OFFSET(AC42,0,-2)+1</f>
        <v>5</v>
      </c>
      <c r="AD42" s="1260">
        <f ca="1">OFFSET(AD42,0,-1)+1</f>
        <v>6</v>
      </c>
      <c r="AE42" s="1260"/>
      <c r="AF42" s="1260">
        <f ca="1">OFFSET(AF42,0,-1)+1</f>
        <v>1</v>
      </c>
      <c r="AG42" s="1260">
        <f ca="1">OFFSET(AG42,0,-1)+1</f>
        <v>2</v>
      </c>
      <c r="AH42" s="1260">
        <f ca="1">OFFSET(AH42,0,-1)+1</f>
        <v>3</v>
      </c>
      <c r="AI42" s="2193">
        <f ca="1">OFFSET(AI42,0,-1)+1</f>
        <v>4</v>
      </c>
      <c r="AJ42" s="2193"/>
      <c r="AK42" s="1260">
        <f ca="1">OFFSET(AK42,0,-2)+1</f>
        <v>5</v>
      </c>
      <c r="AL42" s="1170">
        <f ca="1">OFFSET(AL42,0,-1)</f>
        <v>5</v>
      </c>
      <c r="AM42" s="1260">
        <f ca="1">OFFSET(AM42,0,-1)+1</f>
        <v>6</v>
      </c>
      <c r="AN42" s="446"/>
      <c r="AO42" s="446"/>
      <c r="AP42" s="446"/>
      <c r="AQ42" s="446"/>
      <c r="AR42" s="446"/>
      <c r="AS42" s="431">
        <v>0</v>
      </c>
    </row>
    <row r="43" spans="1:45" ht="21.95" customHeight="1">
      <c r="A43" s="1288" t="s">
        <v>169</v>
      </c>
      <c r="B43" s="1288"/>
      <c r="C43" s="1288"/>
      <c r="D43" s="1288"/>
      <c r="E43" s="2186">
        <v>1</v>
      </c>
      <c r="F43" s="1288"/>
      <c r="G43" s="1288"/>
      <c r="H43" s="1288"/>
      <c r="I43" s="1288"/>
      <c r="J43" s="1288"/>
      <c r="K43" s="1288"/>
      <c r="L43" s="1289"/>
      <c r="M43" s="1290"/>
      <c r="N43" s="1290"/>
      <c r="O43" s="1290"/>
      <c r="P43" s="296"/>
      <c r="Q43" s="295"/>
      <c r="R43" s="290"/>
      <c r="S43" s="1261">
        <f>INDEX(PT_DIFFERENTIATION_NUM_NTAR,MATCH(A43,PT_DIFFERENTIATION_NTAR_ID,0))</f>
        <v>0</v>
      </c>
      <c r="T43" s="234" t="s">
        <v>124</v>
      </c>
      <c r="U43" s="236"/>
      <c r="V43" s="2172"/>
      <c r="W43" s="2173"/>
      <c r="X43" s="2173"/>
      <c r="Y43" s="2173"/>
      <c r="Z43" s="2173"/>
      <c r="AA43" s="2173"/>
      <c r="AB43" s="2173"/>
      <c r="AC43" s="2174"/>
      <c r="AD43" s="2172" t="str">
        <f>INDEX(PT_DIFFERENTIATION_NTAR,MATCH(A43,PT_DIFFERENTIATION_NTAR_ID,0))</f>
        <v/>
      </c>
      <c r="AE43" s="2173"/>
      <c r="AF43" s="2173"/>
      <c r="AG43" s="2173"/>
      <c r="AH43" s="2173"/>
      <c r="AI43" s="2173"/>
      <c r="AJ43" s="2173"/>
      <c r="AK43" s="2173"/>
      <c r="AL43" s="2174"/>
      <c r="AM43" s="1183" t="str">
        <f>IF(TEMPLATE_GROUP="P","По данной форме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организациям "&amp;"с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"&amp;"2010 г. N 190-ФЗ ""О теплоснабжении"", а также информация о тарифах на теплоноситель в виде воды, поставляемый теплоснабжающей организацией, теплосетевой организацией в ценовых зонах "&amp;"теплоснабжения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"&amp;"6 части 1 статьи 23 4 Федерального закона от 27 июля 2010 г. N 190-ФЗ ""О теплоснабжении"".
"&amp;"Для каждого вида тарифа в сфере теплоснабжения форма заполняется отдельно.
"&amp;"При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об установлении цены"&amp;"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"&amp;"организациям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"&amp;"В соответствии с данной формой раскрывается в том числе информация о тарифах на теплоноситель в виде воды, поставляемый теплоснабжающей организаций, теплосетевой организацией в ценовых зонах теплоснабжения другим теплоснабжающим "&amp;"организациям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"&amp;"Федерального закона от 27 июля 2010 г. N 190-ФЗ ""О теплоснабжении"". 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Для каждого вида тарифа в сфере теплоснабжения форма заполняется отдельно.
В соответствии с данной формой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В соответствии с данной формой раскрывается в том числе информация о тарифах на теплоноситель в виде воды, поставляемый теплоснабжающей организаций, теплосетевой организацией в ценовых зонах 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Указывается наименование тарифа в случае предложения нескольких тарифов.
В случае наличия нескольких тарифов информация по ним указывается в отдельных строках.</v>
      </c>
      <c r="AO43" s="435"/>
      <c r="AP43" s="435" t="str">
        <f t="shared" ref="AP43:AP57" si="1">IF(T43="","",T43)</f>
        <v>Наименование тарифа</v>
      </c>
      <c r="AQ43" s="435"/>
      <c r="AR43" s="435"/>
      <c r="AS43" s="1080">
        <v>21</v>
      </c>
    </row>
    <row r="44" spans="1:45" ht="21.95" customHeight="1">
      <c r="A44" s="1288" t="s">
        <v>169</v>
      </c>
      <c r="B44" s="1288" t="s">
        <v>170</v>
      </c>
      <c r="C44" s="1288"/>
      <c r="D44" s="1288"/>
      <c r="E44" s="2187"/>
      <c r="F44" s="2186">
        <v>1</v>
      </c>
      <c r="G44" s="1288"/>
      <c r="H44" s="1288"/>
      <c r="I44" s="1288"/>
      <c r="J44" s="1288"/>
      <c r="K44" s="1288"/>
      <c r="L44" s="1289"/>
      <c r="M44" s="1290"/>
      <c r="N44" s="1290"/>
      <c r="O44" s="1290"/>
      <c r="P44" s="1257"/>
      <c r="Q44" s="287"/>
      <c r="R44" s="288"/>
      <c r="S44" s="1261" t="str">
        <f>INDEX(PT_DIFFERENTIATION_NUM_TER,MATCH(B44,PT_DIFFERENTIATION_TER_ID,0))</f>
        <v>.</v>
      </c>
      <c r="T44" s="244" t="s">
        <v>396</v>
      </c>
      <c r="U44" s="236"/>
      <c r="V44" s="2172"/>
      <c r="W44" s="2173"/>
      <c r="X44" s="2173"/>
      <c r="Y44" s="2173"/>
      <c r="Z44" s="2173"/>
      <c r="AA44" s="2173"/>
      <c r="AB44" s="2173"/>
      <c r="AC44" s="2174"/>
      <c r="AD44" s="2172" t="str">
        <f>INDEX(PT_DIFFERENTIATION_TER,MATCH(B44,PT_DIFFERENTIATION_TER_ID,0))</f>
        <v/>
      </c>
      <c r="AE44" s="2173"/>
      <c r="AF44" s="2173"/>
      <c r="AG44" s="2173"/>
      <c r="AH44" s="2173"/>
      <c r="AI44" s="2173"/>
      <c r="AJ44" s="2173"/>
      <c r="AK44" s="2173"/>
      <c r="AL44" s="2174"/>
      <c r="AM44" s="1183" t="s">
        <v>397</v>
      </c>
      <c r="AO44" s="435"/>
      <c r="AP44" s="435" t="str">
        <f t="shared" si="1"/>
        <v>Территория действия тарифа</v>
      </c>
      <c r="AQ44" s="435"/>
      <c r="AR44" s="435"/>
      <c r="AS44" s="1080">
        <v>21</v>
      </c>
    </row>
    <row r="45" spans="1:45" ht="24" customHeight="1">
      <c r="A45" s="1288" t="s">
        <v>169</v>
      </c>
      <c r="B45" s="1288" t="s">
        <v>170</v>
      </c>
      <c r="C45" s="1288" t="s">
        <v>171</v>
      </c>
      <c r="D45" s="1288"/>
      <c r="E45" s="2187"/>
      <c r="F45" s="2187"/>
      <c r="G45" s="2186">
        <v>1</v>
      </c>
      <c r="H45" s="1288"/>
      <c r="I45" s="1288"/>
      <c r="J45" s="1288"/>
      <c r="K45" s="1288"/>
      <c r="L45" s="1289"/>
      <c r="M45" s="1290"/>
      <c r="N45" s="1290"/>
      <c r="O45" s="1290"/>
      <c r="P45" s="289"/>
      <c r="Q45" s="287"/>
      <c r="R45" s="288"/>
      <c r="S45" s="1261" t="str">
        <f>INDEX(PT_DIFFERENTIATION_NUM_CS,MATCH(C45,PT_DIFFERENTIATION_CS_ID,0))</f>
        <v>..</v>
      </c>
      <c r="T45" s="245" t="s">
        <v>398</v>
      </c>
      <c r="U45" s="236"/>
      <c r="V45" s="2172"/>
      <c r="W45" s="2173"/>
      <c r="X45" s="2173"/>
      <c r="Y45" s="2173"/>
      <c r="Z45" s="2173"/>
      <c r="AA45" s="2173"/>
      <c r="AB45" s="2173"/>
      <c r="AC45" s="2174"/>
      <c r="AD45" s="2172" t="str">
        <f>INDEX(PT_DIFFERENTIATION_CS,MATCH(C45,PT_DIFFERENTIATION_CS_ID,0))</f>
        <v/>
      </c>
      <c r="AE45" s="2173"/>
      <c r="AF45" s="2173"/>
      <c r="AG45" s="2173"/>
      <c r="AH45" s="2173"/>
      <c r="AI45" s="2173"/>
      <c r="AJ45" s="2173"/>
      <c r="AK45" s="2173"/>
      <c r="AL45" s="2174"/>
      <c r="AM45" s="1183" t="s">
        <v>399</v>
      </c>
      <c r="AO45" s="435"/>
      <c r="AP45" s="435" t="str">
        <f t="shared" si="1"/>
        <v xml:space="preserve">Наименование системы теплоснабжения </v>
      </c>
      <c r="AQ45" s="435"/>
      <c r="AR45" s="435"/>
      <c r="AS45" s="1080">
        <v>23</v>
      </c>
    </row>
    <row r="46" spans="1:45" ht="21.95" customHeight="1">
      <c r="A46" s="1288" t="s">
        <v>169</v>
      </c>
      <c r="B46" s="1288" t="s">
        <v>170</v>
      </c>
      <c r="C46" s="1288" t="s">
        <v>171</v>
      </c>
      <c r="D46" s="1288" t="s">
        <v>172</v>
      </c>
      <c r="E46" s="2187"/>
      <c r="F46" s="2187"/>
      <c r="G46" s="2187"/>
      <c r="H46" s="2186">
        <v>1</v>
      </c>
      <c r="I46" s="1288"/>
      <c r="J46" s="1288"/>
      <c r="K46" s="1288"/>
      <c r="L46" s="1289"/>
      <c r="M46" s="1290"/>
      <c r="N46" s="1290"/>
      <c r="O46" s="1290"/>
      <c r="P46" s="289"/>
      <c r="Q46" s="287"/>
      <c r="R46" s="288"/>
      <c r="S46" s="1261" t="str">
        <f>INDEX(PT_DIFFERENTIATION_NUM_IST_TE,MATCH(D46,PT_DIFFERENTIATION_IST_TE_ID,0))</f>
        <v>...</v>
      </c>
      <c r="T46" s="246" t="s">
        <v>400</v>
      </c>
      <c r="U46" s="236"/>
      <c r="V46" s="2172"/>
      <c r="W46" s="2173"/>
      <c r="X46" s="2173"/>
      <c r="Y46" s="2173"/>
      <c r="Z46" s="2173"/>
      <c r="AA46" s="2173"/>
      <c r="AB46" s="2173"/>
      <c r="AC46" s="2174"/>
      <c r="AD46" s="2172" t="str">
        <f>INDEX(PT_DIFFERENTIATION_IST_TE,MATCH(D46,PT_DIFFERENTIATION_IST_TE_ID,0))</f>
        <v/>
      </c>
      <c r="AE46" s="2173"/>
      <c r="AF46" s="2173"/>
      <c r="AG46" s="2173"/>
      <c r="AH46" s="2173"/>
      <c r="AI46" s="2173"/>
      <c r="AJ46" s="2173"/>
      <c r="AK46" s="2173"/>
      <c r="AL46" s="2174"/>
      <c r="AM46" s="1183" t="s">
        <v>401</v>
      </c>
      <c r="AO46" s="435"/>
      <c r="AP46" s="435" t="str">
        <f t="shared" si="1"/>
        <v xml:space="preserve">Источник тепловой энергии  </v>
      </c>
      <c r="AQ46" s="435"/>
      <c r="AR46" s="435"/>
      <c r="AS46" s="1080">
        <v>21</v>
      </c>
    </row>
    <row r="47" spans="1:45" s="1567" customFormat="1" ht="0" hidden="1" customHeight="1">
      <c r="A47" s="1268" t="s">
        <v>169</v>
      </c>
      <c r="B47" s="1268" t="s">
        <v>170</v>
      </c>
      <c r="C47" s="1268" t="s">
        <v>171</v>
      </c>
      <c r="D47" s="1268" t="s">
        <v>172</v>
      </c>
      <c r="E47" s="2187"/>
      <c r="F47" s="2187"/>
      <c r="G47" s="2187"/>
      <c r="H47" s="2187"/>
      <c r="I47" s="2184" t="str">
        <f>S46&amp;".1"</f>
        <v>....1</v>
      </c>
      <c r="J47" s="1268"/>
      <c r="K47" s="1268"/>
      <c r="L47" s="1271" t="s">
        <v>402</v>
      </c>
      <c r="M47" s="445"/>
      <c r="N47" s="445"/>
      <c r="O47" s="445"/>
      <c r="P47" s="2185">
        <v>1</v>
      </c>
      <c r="Q47" s="1256"/>
      <c r="R47" s="291"/>
      <c r="S47" s="970"/>
      <c r="T47" s="1308"/>
      <c r="U47" s="1309"/>
      <c r="V47" s="2215"/>
      <c r="W47" s="2216"/>
      <c r="X47" s="2216"/>
      <c r="Y47" s="2216"/>
      <c r="Z47" s="2216"/>
      <c r="AA47" s="2216"/>
      <c r="AB47" s="2216"/>
      <c r="AC47" s="2217"/>
      <c r="AD47" s="2215"/>
      <c r="AE47" s="2216"/>
      <c r="AF47" s="2216"/>
      <c r="AG47" s="2216"/>
      <c r="AH47" s="2216"/>
      <c r="AI47" s="2216"/>
      <c r="AJ47" s="2216"/>
      <c r="AK47" s="2216"/>
      <c r="AL47" s="2217"/>
      <c r="AM47" s="1310"/>
      <c r="AO47" s="435"/>
      <c r="AP47" s="435" t="str">
        <f t="shared" si="1"/>
        <v/>
      </c>
      <c r="AQ47" s="435"/>
      <c r="AR47" s="435"/>
      <c r="AS47" s="446">
        <v>0</v>
      </c>
    </row>
    <row r="48" spans="1:45" ht="21.95" customHeight="1">
      <c r="A48" s="1288" t="s">
        <v>169</v>
      </c>
      <c r="B48" s="1288" t="s">
        <v>170</v>
      </c>
      <c r="C48" s="1288" t="s">
        <v>171</v>
      </c>
      <c r="D48" s="1288" t="s">
        <v>172</v>
      </c>
      <c r="E48" s="2187"/>
      <c r="F48" s="2187"/>
      <c r="G48" s="2187"/>
      <c r="H48" s="2187"/>
      <c r="I48" s="2207"/>
      <c r="J48" s="2184" t="str">
        <f>S46&amp;".1"</f>
        <v>....1</v>
      </c>
      <c r="K48" s="1288"/>
      <c r="L48" s="1289" t="s">
        <v>405</v>
      </c>
      <c r="P48" s="2185"/>
      <c r="Q48" s="2185">
        <v>1</v>
      </c>
      <c r="R48" s="292"/>
      <c r="S48" s="1261" t="str">
        <f>$J48</f>
        <v>....1</v>
      </c>
      <c r="T48" s="222" t="s">
        <v>406</v>
      </c>
      <c r="U48" s="236"/>
      <c r="V48" s="2175"/>
      <c r="W48" s="2176"/>
      <c r="X48" s="2176"/>
      <c r="Y48" s="2176"/>
      <c r="Z48" s="2176"/>
      <c r="AA48" s="2176"/>
      <c r="AB48" s="2176"/>
      <c r="AC48" s="2177"/>
      <c r="AD48" s="2175"/>
      <c r="AE48" s="2176"/>
      <c r="AF48" s="2176"/>
      <c r="AG48" s="2176"/>
      <c r="AH48" s="2176"/>
      <c r="AI48" s="2176"/>
      <c r="AJ48" s="2176"/>
      <c r="AK48" s="2176"/>
      <c r="AL48" s="2177"/>
      <c r="AM48" s="1183" t="s">
        <v>407</v>
      </c>
      <c r="AO48" s="435"/>
      <c r="AP48" s="435" t="str">
        <f t="shared" si="1"/>
        <v>Группа потребителей</v>
      </c>
      <c r="AQ48" s="435"/>
      <c r="AR48" s="435"/>
      <c r="AS48" s="1080">
        <v>21</v>
      </c>
    </row>
    <row r="49" spans="1:45" ht="21.95" customHeight="1">
      <c r="A49" s="1288" t="s">
        <v>169</v>
      </c>
      <c r="B49" s="1288" t="s">
        <v>170</v>
      </c>
      <c r="C49" s="1288" t="s">
        <v>171</v>
      </c>
      <c r="D49" s="1288" t="s">
        <v>172</v>
      </c>
      <c r="E49" s="2187"/>
      <c r="F49" s="2187"/>
      <c r="G49" s="2187"/>
      <c r="H49" s="2187"/>
      <c r="I49" s="2207"/>
      <c r="J49" s="2207"/>
      <c r="K49" s="2184" t="str">
        <f>J48&amp;".1"</f>
        <v>....1.1</v>
      </c>
      <c r="L49" s="1289" t="s">
        <v>408</v>
      </c>
      <c r="P49" s="2185"/>
      <c r="Q49" s="2185"/>
      <c r="R49" s="292">
        <v>1</v>
      </c>
      <c r="S49" s="1261" t="str">
        <f>$K49</f>
        <v>....1.1</v>
      </c>
      <c r="T49" s="1272"/>
      <c r="U49" s="236"/>
      <c r="V49" s="686"/>
      <c r="W49" s="261"/>
      <c r="X49" s="686"/>
      <c r="Y49" s="1182"/>
      <c r="Z49" s="2189"/>
      <c r="AA49" s="2047" t="s">
        <v>66</v>
      </c>
      <c r="AB49" s="2189"/>
      <c r="AC49" s="2047" t="s">
        <v>66</v>
      </c>
      <c r="AD49" s="686"/>
      <c r="AE49" s="261"/>
      <c r="AF49" s="686"/>
      <c r="AG49" s="1182"/>
      <c r="AH49" s="2189"/>
      <c r="AI49" s="2047" t="s">
        <v>66</v>
      </c>
      <c r="AJ49" s="2208"/>
      <c r="AK49" s="2047" t="s">
        <v>66</v>
      </c>
      <c r="AL49" s="1273"/>
      <c r="AM49" s="2181" t="s">
        <v>450</v>
      </c>
      <c r="AN49" s="446" t="e">
        <f ca="1">STRCHECKDATE(V50:AL50)</f>
        <v>#NAME?</v>
      </c>
      <c r="AO49" s="435"/>
      <c r="AP49" s="435" t="str">
        <f t="shared" si="1"/>
        <v/>
      </c>
      <c r="AQ49" s="435"/>
      <c r="AR49" s="435"/>
      <c r="AS49" s="1080">
        <v>21</v>
      </c>
    </row>
    <row r="50" spans="1:45" ht="1.1499999999999999" customHeight="1">
      <c r="A50" s="1288" t="s">
        <v>169</v>
      </c>
      <c r="B50" s="1288" t="s">
        <v>170</v>
      </c>
      <c r="C50" s="1288" t="s">
        <v>171</v>
      </c>
      <c r="D50" s="1288" t="s">
        <v>172</v>
      </c>
      <c r="E50" s="2187"/>
      <c r="F50" s="2187"/>
      <c r="G50" s="2187"/>
      <c r="H50" s="2187"/>
      <c r="I50" s="2207"/>
      <c r="J50" s="2207"/>
      <c r="K50" s="2184"/>
      <c r="L50" s="1289"/>
      <c r="P50" s="2185"/>
      <c r="Q50" s="2185"/>
      <c r="R50" s="292"/>
      <c r="S50" s="1267"/>
      <c r="T50" s="236"/>
      <c r="U50" s="236"/>
      <c r="V50" s="261"/>
      <c r="W50" s="261"/>
      <c r="X50" s="261"/>
      <c r="Y50" s="264" t="str">
        <f>Z49&amp;"-"&amp;AB49</f>
        <v>-</v>
      </c>
      <c r="Z50" s="2190"/>
      <c r="AA50" s="2047"/>
      <c r="AB50" s="2190"/>
      <c r="AC50" s="2047"/>
      <c r="AD50" s="261"/>
      <c r="AE50" s="261"/>
      <c r="AF50" s="261"/>
      <c r="AG50" s="264" t="str">
        <f>AH49&amp;"-"&amp;AJ49</f>
        <v>-</v>
      </c>
      <c r="AH50" s="2190"/>
      <c r="AI50" s="2047"/>
      <c r="AJ50" s="2209"/>
      <c r="AK50" s="2047"/>
      <c r="AL50" s="1274"/>
      <c r="AM50" s="2182"/>
      <c r="AO50" s="435"/>
      <c r="AP50" s="435" t="str">
        <f t="shared" si="1"/>
        <v/>
      </c>
      <c r="AQ50" s="435"/>
      <c r="AR50" s="435"/>
      <c r="AS50" s="1080">
        <v>1</v>
      </c>
    </row>
    <row r="51" spans="1:45" ht="11.45" customHeight="1">
      <c r="A51" s="1288" t="s">
        <v>169</v>
      </c>
      <c r="B51" s="1288" t="s">
        <v>170</v>
      </c>
      <c r="C51" s="1288" t="s">
        <v>171</v>
      </c>
      <c r="D51" s="1288" t="s">
        <v>172</v>
      </c>
      <c r="E51" s="2187"/>
      <c r="F51" s="2187"/>
      <c r="G51" s="2187"/>
      <c r="H51" s="2187"/>
      <c r="I51" s="2207"/>
      <c r="J51" s="2184"/>
      <c r="K51" s="1288"/>
      <c r="L51" s="1289"/>
      <c r="P51" s="2185"/>
      <c r="Q51" s="2185"/>
      <c r="R51" s="291"/>
      <c r="S51" s="1203"/>
      <c r="T51" s="223" t="s">
        <v>410</v>
      </c>
      <c r="U51" s="302"/>
      <c r="V51" s="302"/>
      <c r="W51" s="302"/>
      <c r="X51" s="302"/>
      <c r="Y51" s="302"/>
      <c r="Z51" s="302"/>
      <c r="AA51" s="302"/>
      <c r="AB51" s="302"/>
      <c r="AC51" s="302"/>
      <c r="AD51" s="302"/>
      <c r="AE51" s="302"/>
      <c r="AF51" s="302"/>
      <c r="AG51" s="302"/>
      <c r="AH51" s="302"/>
      <c r="AI51" s="302"/>
      <c r="AJ51" s="302"/>
      <c r="AK51" s="302"/>
      <c r="AL51" s="260"/>
      <c r="AM51" s="2183"/>
      <c r="AO51" s="435"/>
      <c r="AP51" s="435" t="str">
        <f t="shared" si="1"/>
        <v>Добавить вид теплоносителя (параметры теплоносителя)</v>
      </c>
      <c r="AQ51" s="435"/>
      <c r="AR51" s="435"/>
      <c r="AS51" s="1080">
        <v>11</v>
      </c>
    </row>
    <row r="52" spans="1:45" ht="11.45" customHeight="1">
      <c r="A52" s="1288" t="s">
        <v>169</v>
      </c>
      <c r="B52" s="1288" t="s">
        <v>170</v>
      </c>
      <c r="C52" s="1288" t="s">
        <v>171</v>
      </c>
      <c r="D52" s="1288" t="s">
        <v>172</v>
      </c>
      <c r="E52" s="2187"/>
      <c r="F52" s="2187"/>
      <c r="G52" s="2187"/>
      <c r="H52" s="2187"/>
      <c r="I52" s="2184"/>
      <c r="J52" s="1288"/>
      <c r="K52" s="1288"/>
      <c r="L52" s="1289"/>
      <c r="P52" s="2185"/>
      <c r="Q52" s="1256"/>
      <c r="R52" s="291"/>
      <c r="S52" s="1203"/>
      <c r="T52" s="300" t="s">
        <v>411</v>
      </c>
      <c r="U52" s="302"/>
      <c r="V52" s="302"/>
      <c r="W52" s="302"/>
      <c r="X52" s="302"/>
      <c r="Y52" s="302"/>
      <c r="Z52" s="302"/>
      <c r="AA52" s="302"/>
      <c r="AB52" s="302"/>
      <c r="AC52" s="301"/>
      <c r="AD52" s="302"/>
      <c r="AE52" s="302"/>
      <c r="AF52" s="302"/>
      <c r="AG52" s="302"/>
      <c r="AH52" s="302"/>
      <c r="AI52" s="302"/>
      <c r="AJ52" s="302"/>
      <c r="AK52" s="301"/>
      <c r="AL52" s="302"/>
      <c r="AM52" s="239"/>
      <c r="AO52" s="435"/>
      <c r="AP52" s="435" t="str">
        <f t="shared" si="1"/>
        <v>Добавить группу потребителей</v>
      </c>
      <c r="AQ52" s="435"/>
      <c r="AR52" s="435"/>
      <c r="AS52" s="1080">
        <v>11</v>
      </c>
    </row>
    <row r="53" spans="1:45" ht="0" hidden="1" customHeight="1">
      <c r="A53" s="1288" t="s">
        <v>169</v>
      </c>
      <c r="B53" s="1288" t="s">
        <v>170</v>
      </c>
      <c r="C53" s="1288" t="s">
        <v>171</v>
      </c>
      <c r="D53" s="1288" t="s">
        <v>172</v>
      </c>
      <c r="E53" s="2187"/>
      <c r="F53" s="2187"/>
      <c r="G53" s="2187"/>
      <c r="H53" s="2186"/>
      <c r="I53" s="1288"/>
      <c r="J53" s="1288"/>
      <c r="K53" s="1288"/>
      <c r="L53" s="1289"/>
      <c r="M53" s="1290"/>
      <c r="N53" s="1290"/>
      <c r="O53" s="472"/>
      <c r="P53" s="295"/>
      <c r="Q53" s="310"/>
      <c r="R53" s="290"/>
      <c r="S53" s="1311"/>
      <c r="T53" s="1312"/>
      <c r="U53" s="1313"/>
      <c r="V53" s="1313"/>
      <c r="W53" s="1313"/>
      <c r="X53" s="1313"/>
      <c r="Y53" s="1313"/>
      <c r="Z53" s="1313"/>
      <c r="AA53" s="1313"/>
      <c r="AB53" s="1313"/>
      <c r="AC53" s="1313"/>
      <c r="AD53" s="1313"/>
      <c r="AE53" s="1313"/>
      <c r="AF53" s="1313"/>
      <c r="AG53" s="1313"/>
      <c r="AH53" s="1313"/>
      <c r="AI53" s="1313"/>
      <c r="AJ53" s="1313"/>
      <c r="AK53" s="1313"/>
      <c r="AL53" s="1313"/>
      <c r="AM53" s="1314"/>
      <c r="AO53" s="435"/>
      <c r="AP53" s="435" t="str">
        <f t="shared" si="1"/>
        <v/>
      </c>
      <c r="AQ53" s="435"/>
      <c r="AR53" s="435"/>
      <c r="AS53" s="1080">
        <v>0</v>
      </c>
    </row>
    <row r="54" spans="1:45" s="1567" customFormat="1" ht="1.1499999999999999" customHeight="1">
      <c r="A54" s="1268" t="s">
        <v>169</v>
      </c>
      <c r="B54" s="1268" t="s">
        <v>170</v>
      </c>
      <c r="C54" s="1268" t="s">
        <v>171</v>
      </c>
      <c r="D54" s="1239"/>
      <c r="E54" s="2187"/>
      <c r="F54" s="2187"/>
      <c r="G54" s="2186"/>
      <c r="H54" s="1239"/>
      <c r="I54" s="1239"/>
      <c r="J54" s="1239"/>
      <c r="K54" s="1239"/>
      <c r="L54" s="1264"/>
      <c r="M54" s="1240"/>
      <c r="N54" s="1240"/>
      <c r="P54" s="1241"/>
      <c r="Q54" s="1242"/>
      <c r="R54" s="1241"/>
      <c r="S54" s="1247"/>
      <c r="T54" s="1250" t="s">
        <v>413</v>
      </c>
      <c r="U54" s="1249"/>
      <c r="V54" s="1249"/>
      <c r="W54" s="1249"/>
      <c r="X54" s="1249"/>
      <c r="Y54" s="1249"/>
      <c r="Z54" s="1249"/>
      <c r="AA54" s="1249"/>
      <c r="AB54" s="1249"/>
      <c r="AC54" s="1249"/>
      <c r="AD54" s="1249"/>
      <c r="AE54" s="1249"/>
      <c r="AF54" s="1249"/>
      <c r="AG54" s="1249"/>
      <c r="AH54" s="1249"/>
      <c r="AI54" s="1249"/>
      <c r="AJ54" s="1249"/>
      <c r="AK54" s="1249"/>
      <c r="AL54" s="1249"/>
      <c r="AM54" s="1249"/>
      <c r="AO54" s="718"/>
      <c r="AP54" s="718" t="str">
        <f t="shared" si="1"/>
        <v>Добавить источник для дифференциации</v>
      </c>
      <c r="AQ54" s="718"/>
      <c r="AR54" s="718"/>
      <c r="AS54" s="453">
        <v>1</v>
      </c>
    </row>
    <row r="55" spans="1:45" s="1567" customFormat="1" ht="1.1499999999999999" customHeight="1">
      <c r="A55" s="1268" t="s">
        <v>169</v>
      </c>
      <c r="B55" s="1268" t="s">
        <v>170</v>
      </c>
      <c r="C55" s="1239"/>
      <c r="D55" s="1239"/>
      <c r="E55" s="2187"/>
      <c r="F55" s="2186"/>
      <c r="G55" s="1239"/>
      <c r="H55" s="1239"/>
      <c r="I55" s="1239"/>
      <c r="J55" s="1239"/>
      <c r="K55" s="1239"/>
      <c r="L55" s="1264"/>
      <c r="M55" s="1246"/>
      <c r="N55" s="1246"/>
      <c r="P55" s="1241"/>
      <c r="Q55" s="1242"/>
      <c r="R55" s="1241"/>
      <c r="S55" s="1247"/>
      <c r="T55" s="1250" t="s">
        <v>414</v>
      </c>
      <c r="U55" s="1249"/>
      <c r="V55" s="1249"/>
      <c r="W55" s="1249"/>
      <c r="X55" s="1249"/>
      <c r="Y55" s="1249"/>
      <c r="Z55" s="1249"/>
      <c r="AA55" s="1249"/>
      <c r="AB55" s="1249"/>
      <c r="AC55" s="1249"/>
      <c r="AD55" s="1249"/>
      <c r="AE55" s="1249"/>
      <c r="AF55" s="1249"/>
      <c r="AG55" s="1249"/>
      <c r="AH55" s="1249"/>
      <c r="AI55" s="1249"/>
      <c r="AJ55" s="1249"/>
      <c r="AK55" s="1249"/>
      <c r="AL55" s="1249"/>
      <c r="AM55" s="1249"/>
      <c r="AO55" s="718"/>
      <c r="AP55" s="718" t="str">
        <f t="shared" si="1"/>
        <v>Добавить централизованную систему для дифференциации</v>
      </c>
      <c r="AQ55" s="718"/>
      <c r="AR55" s="718"/>
      <c r="AS55" s="453">
        <v>1</v>
      </c>
    </row>
    <row r="56" spans="1:45" s="1567" customFormat="1" ht="1.1499999999999999" customHeight="1">
      <c r="A56" s="1268" t="s">
        <v>169</v>
      </c>
      <c r="B56" s="1268"/>
      <c r="C56" s="1268"/>
      <c r="D56" s="1268"/>
      <c r="E56" s="2186"/>
      <c r="F56" s="1268"/>
      <c r="G56" s="1268"/>
      <c r="H56" s="1268"/>
      <c r="I56" s="1268"/>
      <c r="J56" s="1268"/>
      <c r="K56" s="1268"/>
      <c r="L56" s="1271"/>
      <c r="M56" s="1246"/>
      <c r="N56" s="1246"/>
      <c r="O56" s="453"/>
      <c r="P56" s="315"/>
      <c r="Q56" s="1269"/>
      <c r="R56" s="315"/>
      <c r="S56" s="1247"/>
      <c r="T56" s="1250" t="s">
        <v>415</v>
      </c>
      <c r="U56" s="1249"/>
      <c r="V56" s="1249"/>
      <c r="W56" s="1249"/>
      <c r="X56" s="1249"/>
      <c r="Y56" s="1249"/>
      <c r="Z56" s="1249"/>
      <c r="AA56" s="1249"/>
      <c r="AB56" s="1249"/>
      <c r="AC56" s="1249"/>
      <c r="AD56" s="1249"/>
      <c r="AE56" s="1249"/>
      <c r="AF56" s="1249"/>
      <c r="AG56" s="1249"/>
      <c r="AH56" s="1249"/>
      <c r="AI56" s="1249"/>
      <c r="AJ56" s="1249"/>
      <c r="AK56" s="1249"/>
      <c r="AL56" s="1249"/>
      <c r="AM56" s="1249"/>
      <c r="AO56" s="435"/>
      <c r="AP56" s="435" t="str">
        <f t="shared" si="1"/>
        <v>Добавить территорию для дифференциации</v>
      </c>
      <c r="AQ56" s="435"/>
      <c r="AR56" s="435"/>
      <c r="AS56" s="446">
        <v>1</v>
      </c>
    </row>
    <row r="57" spans="1:45" s="1567" customFormat="1" ht="1.1499999999999999" customHeight="1">
      <c r="A57" s="1239"/>
      <c r="B57" s="1239"/>
      <c r="C57" s="1239"/>
      <c r="D57" s="1239"/>
      <c r="E57" s="1268"/>
      <c r="F57" s="1239"/>
      <c r="G57" s="1239"/>
      <c r="H57" s="1239"/>
      <c r="I57" s="1239"/>
      <c r="J57" s="1239"/>
      <c r="K57" s="1239"/>
      <c r="L57" s="1264"/>
      <c r="M57" s="1246"/>
      <c r="N57" s="1246"/>
      <c r="P57" s="1241"/>
      <c r="Q57" s="1242"/>
      <c r="R57" s="1241"/>
      <c r="S57" s="1247"/>
      <c r="T57" s="1250" t="s">
        <v>447</v>
      </c>
      <c r="U57" s="1249"/>
      <c r="V57" s="1249"/>
      <c r="W57" s="1249"/>
      <c r="X57" s="1249"/>
      <c r="Y57" s="1249"/>
      <c r="Z57" s="1249"/>
      <c r="AA57" s="1249"/>
      <c r="AB57" s="1249"/>
      <c r="AC57" s="1249"/>
      <c r="AD57" s="1249"/>
      <c r="AE57" s="1249"/>
      <c r="AF57" s="1249"/>
      <c r="AG57" s="1249"/>
      <c r="AH57" s="1249"/>
      <c r="AI57" s="1249"/>
      <c r="AJ57" s="1249"/>
      <c r="AK57" s="1249"/>
      <c r="AL57" s="1249"/>
      <c r="AM57" s="1249"/>
      <c r="AO57" s="718"/>
      <c r="AP57" s="718" t="str">
        <f t="shared" si="1"/>
        <v>Добавить наименование тарифа</v>
      </c>
      <c r="AQ57" s="718"/>
      <c r="AR57" s="718"/>
      <c r="AS57" s="453">
        <v>1</v>
      </c>
    </row>
    <row r="58" spans="1:45" ht="11.45" customHeight="1">
      <c r="M58" s="1085"/>
      <c r="N58" s="1085"/>
      <c r="O58" s="472"/>
      <c r="P58" s="1080"/>
      <c r="Q58" s="1080"/>
      <c r="R58" s="1080"/>
      <c r="S58" s="1080"/>
      <c r="AN58" s="1080"/>
      <c r="AO58" s="1080"/>
      <c r="AP58" s="1080"/>
      <c r="AQ58" s="1080"/>
      <c r="AR58" s="1080"/>
      <c r="AS58" s="1080">
        <v>11</v>
      </c>
    </row>
    <row r="59" spans="1:45" ht="19.899999999999999" customHeight="1">
      <c r="O59" s="472"/>
      <c r="S59" s="1178"/>
      <c r="T59" s="2206"/>
      <c r="U59" s="2206"/>
      <c r="V59" s="2206"/>
      <c r="W59" s="2206"/>
      <c r="X59" s="2206"/>
      <c r="Y59" s="2206"/>
      <c r="Z59" s="2206"/>
      <c r="AA59" s="2206"/>
      <c r="AB59" s="2206"/>
      <c r="AC59" s="2206"/>
      <c r="AD59" s="2206"/>
      <c r="AE59" s="2206"/>
      <c r="AF59" s="2206"/>
      <c r="AG59" s="2206"/>
      <c r="AH59" s="2206"/>
      <c r="AI59" s="2206"/>
      <c r="AJ59" s="2206"/>
      <c r="AK59" s="2206"/>
      <c r="AL59" s="2206"/>
      <c r="AM59" s="2206"/>
      <c r="AS59" s="1080">
        <v>19</v>
      </c>
    </row>
    <row r="60" spans="1:45" ht="29.25" customHeight="1">
      <c r="O60" s="472"/>
      <c r="T60" s="2206"/>
      <c r="U60" s="2206"/>
      <c r="V60" s="2206"/>
      <c r="W60" s="2206"/>
      <c r="X60" s="2206"/>
      <c r="Y60" s="2206"/>
      <c r="Z60" s="2206"/>
      <c r="AA60" s="2206"/>
      <c r="AB60" s="2206"/>
      <c r="AC60" s="2206"/>
      <c r="AD60" s="2206"/>
      <c r="AE60" s="2206"/>
      <c r="AF60" s="2206"/>
      <c r="AG60" s="2206"/>
      <c r="AH60" s="2206"/>
      <c r="AI60" s="2206"/>
      <c r="AJ60" s="2206"/>
      <c r="AK60" s="2206"/>
      <c r="AL60" s="2206"/>
      <c r="AM60" s="2206"/>
      <c r="AS60" s="1080">
        <v>28</v>
      </c>
    </row>
    <row r="61" spans="1:45" ht="42" customHeight="1">
      <c r="O61" s="472"/>
      <c r="T61" s="2206"/>
      <c r="U61" s="2206"/>
      <c r="V61" s="2206"/>
      <c r="W61" s="2206"/>
      <c r="X61" s="2206"/>
      <c r="Y61" s="2206"/>
      <c r="Z61" s="2206"/>
      <c r="AA61" s="2206"/>
      <c r="AB61" s="2206"/>
      <c r="AC61" s="2206"/>
      <c r="AD61" s="2206"/>
      <c r="AE61" s="2206"/>
      <c r="AF61" s="2206"/>
      <c r="AG61" s="2206"/>
      <c r="AH61" s="2206"/>
      <c r="AI61" s="2206"/>
      <c r="AJ61" s="2206"/>
      <c r="AK61" s="2206"/>
      <c r="AL61" s="2206"/>
      <c r="AM61" s="2206"/>
      <c r="AS61" s="1080">
        <v>40</v>
      </c>
    </row>
    <row r="62" spans="1:45" ht="14.65" customHeight="1">
      <c r="O62" s="472"/>
      <c r="AS62" s="1080">
        <v>14</v>
      </c>
    </row>
    <row r="63" spans="1:45" ht="21" customHeight="1">
      <c r="O63" s="472"/>
      <c r="S63" s="1178"/>
      <c r="T63" s="2113"/>
      <c r="U63" s="2206"/>
      <c r="V63" s="2206"/>
      <c r="W63" s="2206"/>
      <c r="X63" s="2206"/>
      <c r="Y63" s="2206"/>
      <c r="Z63" s="2206"/>
      <c r="AA63" s="2206"/>
      <c r="AB63" s="2206"/>
      <c r="AC63" s="2206"/>
      <c r="AD63" s="2206"/>
      <c r="AE63" s="2206"/>
      <c r="AF63" s="2206"/>
      <c r="AG63" s="2206"/>
      <c r="AH63" s="2206"/>
      <c r="AI63" s="2206"/>
      <c r="AJ63" s="2206"/>
      <c r="AK63" s="2206"/>
      <c r="AL63" s="2206"/>
      <c r="AM63" s="2206"/>
      <c r="AS63" s="1080">
        <v>20</v>
      </c>
    </row>
    <row r="64" spans="1:45" ht="29.25" customHeight="1">
      <c r="O64" s="472"/>
      <c r="T64" s="2206"/>
      <c r="U64" s="2206"/>
      <c r="V64" s="2206"/>
      <c r="W64" s="2206"/>
      <c r="X64" s="2206"/>
      <c r="Y64" s="2206"/>
      <c r="Z64" s="2206"/>
      <c r="AA64" s="2206"/>
      <c r="AB64" s="2206"/>
      <c r="AC64" s="2206"/>
      <c r="AD64" s="2206"/>
      <c r="AE64" s="2206"/>
      <c r="AF64" s="2206"/>
      <c r="AG64" s="2206"/>
      <c r="AH64" s="2206"/>
      <c r="AI64" s="2206"/>
      <c r="AJ64" s="2206"/>
      <c r="AK64" s="2206"/>
      <c r="AL64" s="2206"/>
      <c r="AM64" s="2206"/>
      <c r="AS64" s="1080">
        <v>28</v>
      </c>
    </row>
    <row r="65" spans="1:45" ht="35.65" customHeight="1">
      <c r="T65" s="2206"/>
      <c r="U65" s="2206"/>
      <c r="V65" s="2206"/>
      <c r="W65" s="2206"/>
      <c r="X65" s="2206"/>
      <c r="Y65" s="2206"/>
      <c r="Z65" s="2206"/>
      <c r="AA65" s="2206"/>
      <c r="AB65" s="2206"/>
      <c r="AC65" s="2206"/>
      <c r="AD65" s="2206"/>
      <c r="AE65" s="2206"/>
      <c r="AF65" s="2206"/>
      <c r="AG65" s="2206"/>
      <c r="AH65" s="2206"/>
      <c r="AI65" s="2206"/>
      <c r="AJ65" s="2206"/>
      <c r="AK65" s="2206"/>
      <c r="AL65" s="2206"/>
      <c r="AM65" s="2206"/>
      <c r="AS65" s="1080">
        <v>34</v>
      </c>
    </row>
    <row r="66" spans="1:45" ht="22.5" hidden="1" customHeight="1">
      <c r="A66" s="1085" t="s">
        <v>82</v>
      </c>
      <c r="B66" s="1085">
        <v>0</v>
      </c>
      <c r="C66" s="1085">
        <v>0</v>
      </c>
      <c r="D66" s="1085">
        <v>0</v>
      </c>
      <c r="E66" s="1085">
        <v>0</v>
      </c>
      <c r="F66" s="1085">
        <v>0</v>
      </c>
      <c r="G66" s="1085">
        <v>0</v>
      </c>
      <c r="H66" s="1085">
        <v>0</v>
      </c>
      <c r="I66" s="1085">
        <v>0</v>
      </c>
      <c r="J66" s="1085">
        <v>0</v>
      </c>
      <c r="K66" s="1085">
        <v>0</v>
      </c>
      <c r="L66" s="1254">
        <v>0</v>
      </c>
      <c r="M66" s="1287">
        <v>0</v>
      </c>
      <c r="N66" s="1287">
        <v>0</v>
      </c>
      <c r="O66" s="1287">
        <v>0</v>
      </c>
      <c r="P66" s="1253">
        <v>0</v>
      </c>
      <c r="Q66" s="280">
        <v>3</v>
      </c>
      <c r="R66" s="280">
        <v>3</v>
      </c>
      <c r="S66" s="516">
        <v>12</v>
      </c>
      <c r="T66" s="1080">
        <v>31</v>
      </c>
      <c r="U66" s="1080">
        <v>0</v>
      </c>
      <c r="V66" s="1080">
        <v>0</v>
      </c>
      <c r="W66" s="1080">
        <v>0</v>
      </c>
      <c r="X66" s="1080">
        <v>0</v>
      </c>
      <c r="Y66" s="1080">
        <v>0</v>
      </c>
      <c r="Z66" s="1080">
        <v>0</v>
      </c>
      <c r="AA66" s="1080">
        <v>0</v>
      </c>
      <c r="AB66" s="1080">
        <v>0</v>
      </c>
      <c r="AC66" s="1080">
        <v>0</v>
      </c>
      <c r="AD66" s="1080">
        <v>24</v>
      </c>
      <c r="AE66" s="1080">
        <v>0</v>
      </c>
      <c r="AF66" s="1080">
        <v>24</v>
      </c>
      <c r="AG66" s="1080">
        <v>24</v>
      </c>
      <c r="AH66" s="1080">
        <v>11</v>
      </c>
      <c r="AI66" s="1080">
        <v>3</v>
      </c>
      <c r="AJ66" s="1080">
        <v>11</v>
      </c>
      <c r="AK66" s="1080">
        <v>0</v>
      </c>
      <c r="AL66" s="1080">
        <v>4</v>
      </c>
      <c r="AM66" s="1080">
        <v>115</v>
      </c>
      <c r="AN66" s="446">
        <v>10</v>
      </c>
      <c r="AO66" s="446">
        <v>10</v>
      </c>
      <c r="AP66" s="446">
        <v>10</v>
      </c>
      <c r="AQ66" s="446">
        <v>10</v>
      </c>
      <c r="AR66" s="446">
        <v>10</v>
      </c>
      <c r="AS66" s="1080">
        <v>23</v>
      </c>
    </row>
  </sheetData>
  <sheetProtection formatColumns="0" formatRows="0" insertRows="0" deleteColumns="0" deleteRows="0" sort="0" autoFilter="0"/>
  <mergeCells count="113">
    <mergeCell ref="T64:AM64"/>
    <mergeCell ref="T65:AM65"/>
    <mergeCell ref="S35:T35"/>
    <mergeCell ref="V35:AB35"/>
    <mergeCell ref="AD35:AJ35"/>
    <mergeCell ref="S34:T34"/>
    <mergeCell ref="V34:AB34"/>
    <mergeCell ref="AD34:AJ34"/>
    <mergeCell ref="V2:AC2"/>
    <mergeCell ref="AD2:AL2"/>
    <mergeCell ref="V3:AC3"/>
    <mergeCell ref="AD3:AL3"/>
    <mergeCell ref="V4:AC4"/>
    <mergeCell ref="AD4:AL4"/>
    <mergeCell ref="V5:AC5"/>
    <mergeCell ref="AD5:AL5"/>
    <mergeCell ref="V6:AC6"/>
    <mergeCell ref="AD6:AL6"/>
    <mergeCell ref="V7:AC7"/>
    <mergeCell ref="AD7:AL7"/>
    <mergeCell ref="T63:AM63"/>
    <mergeCell ref="T61:AM61"/>
    <mergeCell ref="AJ49:AJ50"/>
    <mergeCell ref="AK49:AK50"/>
    <mergeCell ref="AM49:AM51"/>
    <mergeCell ref="T59:AM59"/>
    <mergeCell ref="T60:AM60"/>
    <mergeCell ref="AA42:AB42"/>
    <mergeCell ref="AI42:AJ42"/>
    <mergeCell ref="E43:E56"/>
    <mergeCell ref="V43:AC43"/>
    <mergeCell ref="AD43:AL43"/>
    <mergeCell ref="F44:F55"/>
    <mergeCell ref="V44:AC44"/>
    <mergeCell ref="AD44:AL44"/>
    <mergeCell ref="G45:G54"/>
    <mergeCell ref="V45:AC45"/>
    <mergeCell ref="AD45:AL45"/>
    <mergeCell ref="H46:H53"/>
    <mergeCell ref="V46:AC46"/>
    <mergeCell ref="AD46:AL46"/>
    <mergeCell ref="P47:P52"/>
    <mergeCell ref="J48:J51"/>
    <mergeCell ref="Q48:Q51"/>
    <mergeCell ref="V48:AC48"/>
    <mergeCell ref="AD48:AL48"/>
    <mergeCell ref="K49:K50"/>
    <mergeCell ref="Z49:Z50"/>
    <mergeCell ref="AM38:AM41"/>
    <mergeCell ref="S39:S41"/>
    <mergeCell ref="T39:T41"/>
    <mergeCell ref="V39:AB39"/>
    <mergeCell ref="AC39:AC41"/>
    <mergeCell ref="AD39:AJ39"/>
    <mergeCell ref="AK39:AK41"/>
    <mergeCell ref="AL39:AL41"/>
    <mergeCell ref="V40:V41"/>
    <mergeCell ref="W40:W41"/>
    <mergeCell ref="X40:Y40"/>
    <mergeCell ref="Z40:AB40"/>
    <mergeCell ref="AD40:AD41"/>
    <mergeCell ref="AM8:AM10"/>
    <mergeCell ref="AH17:AH18"/>
    <mergeCell ref="AI17:AI18"/>
    <mergeCell ref="AJ17:AJ18"/>
    <mergeCell ref="AK17:AK18"/>
    <mergeCell ref="Z8:Z9"/>
    <mergeCell ref="AA8:AA9"/>
    <mergeCell ref="S29:T29"/>
    <mergeCell ref="S30:T30"/>
    <mergeCell ref="V29:AB29"/>
    <mergeCell ref="AD29:AJ29"/>
    <mergeCell ref="V30:AB30"/>
    <mergeCell ref="AD30:AJ30"/>
    <mergeCell ref="AH8:AH9"/>
    <mergeCell ref="AI8:AI9"/>
    <mergeCell ref="AJ8:AJ9"/>
    <mergeCell ref="AK8:AK9"/>
    <mergeCell ref="AB8:AB9"/>
    <mergeCell ref="AC8:AC9"/>
    <mergeCell ref="I47:I52"/>
    <mergeCell ref="V32:AB32"/>
    <mergeCell ref="E2:E15"/>
    <mergeCell ref="F3:F14"/>
    <mergeCell ref="G4:G13"/>
    <mergeCell ref="H5:H12"/>
    <mergeCell ref="I6:I11"/>
    <mergeCell ref="P6:P11"/>
    <mergeCell ref="J7:J10"/>
    <mergeCell ref="Q7:Q10"/>
    <mergeCell ref="K8:K9"/>
    <mergeCell ref="S31:T31"/>
    <mergeCell ref="V31:AB31"/>
    <mergeCell ref="S32:T32"/>
    <mergeCell ref="AA41:AB41"/>
    <mergeCell ref="V37:AC37"/>
    <mergeCell ref="S38:AL38"/>
    <mergeCell ref="S26:AJ26"/>
    <mergeCell ref="S27:AJ27"/>
    <mergeCell ref="AC49:AC50"/>
    <mergeCell ref="AA49:AA50"/>
    <mergeCell ref="AB49:AB50"/>
    <mergeCell ref="AH49:AH50"/>
    <mergeCell ref="AI49:AI50"/>
    <mergeCell ref="V47:AC47"/>
    <mergeCell ref="AD47:AL47"/>
    <mergeCell ref="AD31:AJ31"/>
    <mergeCell ref="AD32:AJ32"/>
    <mergeCell ref="AE40:AE41"/>
    <mergeCell ref="AF40:AG40"/>
    <mergeCell ref="AH40:AJ40"/>
    <mergeCell ref="AI41:AJ41"/>
    <mergeCell ref="AD37:AK37"/>
  </mergeCells>
  <dataValidations count="8">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AG50 AG18 Y50"/>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393265 AK49 AK524337 AK8 AK589873 AK655409 AK17 AK720945 AK786481 AK852017 AK917553 AK983089 AK65585 AK131121 AK458801 AI49 AK196657 AI8 AC8 AA8 AI17 AK262193 AA49 AC49 AK327729"/>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dataValidation type="list" allowBlank="1" showInputMessage="1" showErrorMessage="1" errorTitle="Ошибка" error="Выберите значение из списка" sqref="T65585 T131121 T196657 T262193 T327729 T393265 T458801 T524337 T589873 T655409 T720945 T786481 T852017 T917553 T983089">
      <formula1>kind_of_heat_transfer</formula1>
    </dataValidation>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formula1>900</formula1>
    </dataValidation>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formula1>kind_of_scheme_in</formula1>
    </dataValidation>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formula1>kind_of_cons</formula1>
    </dataValidation>
    <dataValidation allowBlank="1" sqref="S131123:AM131129 S196659:AM196665 S262195:AM262201 S327731:AM327737 S393267:AM393273 S458803:AM458809 S524339:AM524345 S589875:AM589881 S655411:AM655417 S720947:AM720953 S786483:AM786489 S852019:AM852025 S917555:AM917561 S983091:AM983097 S65587:AM65593"/>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6" tint="0.39997558519241921"/>
  </sheetPr>
  <dimension ref="A1:AS66"/>
  <sheetViews>
    <sheetView showGridLines="0" zoomScale="90" workbookViewId="0">
      <pane xSplit="29" ySplit="42" topLeftCell="AD43" activePane="bottomRight" state="frozen"/>
      <selection pane="topRight" activeCell="AD1" sqref="AD1"/>
      <selection pane="bottomLeft" activeCell="A43" sqref="A43"/>
      <selection pane="bottomRight"/>
    </sheetView>
  </sheetViews>
  <sheetFormatPr defaultColWidth="10.5703125" defaultRowHeight="14.25" customHeight="1"/>
  <cols>
    <col min="1" max="1" width="10.5703125" style="1291" hidden="1"/>
    <col min="2" max="2" width="11" style="1291" hidden="1" customWidth="1"/>
    <col min="3" max="3" width="10.5703125" style="1291" hidden="1"/>
    <col min="4" max="4" width="11.85546875" style="1291" hidden="1" customWidth="1"/>
    <col min="5" max="5" width="10" style="1291" hidden="1" customWidth="1"/>
    <col min="6" max="6" width="8.7109375" style="1291" hidden="1" customWidth="1"/>
    <col min="7" max="7" width="7.5703125" style="1291" hidden="1" customWidth="1"/>
    <col min="8" max="8" width="11.42578125" style="1291" hidden="1" customWidth="1"/>
    <col min="9" max="9" width="12" style="1291" hidden="1" customWidth="1"/>
    <col min="10" max="10" width="9.85546875" style="1291" hidden="1" customWidth="1"/>
    <col min="11" max="11" width="11.42578125" style="1291" hidden="1" customWidth="1"/>
    <col min="12" max="12" width="19.140625" style="2002" hidden="1" customWidth="1"/>
    <col min="13" max="14" width="12.28515625" style="1701" hidden="1" customWidth="1"/>
    <col min="15" max="15" width="23.42578125" style="1701" hidden="1" customWidth="1"/>
    <col min="16" max="16" width="3.7109375" style="2000" hidden="1" customWidth="1"/>
    <col min="17" max="18" width="3" style="280" customWidth="1"/>
    <col min="19" max="19" width="12" style="2001" customWidth="1"/>
    <col min="20" max="20" width="31" style="1560" customWidth="1"/>
    <col min="21" max="21" width="0.140625" style="1560" customWidth="1"/>
    <col min="22" max="22" width="24.7109375" style="1560" hidden="1" customWidth="1"/>
    <col min="23" max="23" width="0.140625" style="1560" hidden="1" customWidth="1"/>
    <col min="24" max="25" width="24.7109375" style="1560" hidden="1" customWidth="1"/>
    <col min="26" max="26" width="11.7109375" style="1560" hidden="1" customWidth="1"/>
    <col min="27" max="27" width="3.7109375" style="1560" hidden="1" customWidth="1"/>
    <col min="28" max="28" width="11.7109375" style="1560" hidden="1" customWidth="1"/>
    <col min="29" max="29" width="8.5703125" style="1560" hidden="1" customWidth="1"/>
    <col min="30" max="30" width="24.7109375" style="1560" customWidth="1"/>
    <col min="31" max="31" width="0.140625" style="1560" customWidth="1"/>
    <col min="32" max="33" width="24" style="1560" customWidth="1"/>
    <col min="34" max="34" width="11" style="1560" customWidth="1"/>
    <col min="35" max="35" width="3.7109375" style="1560" customWidth="1"/>
    <col min="36" max="36" width="11" style="1560" customWidth="1"/>
    <col min="37" max="37" width="8.5703125" style="1560" hidden="1" customWidth="1"/>
    <col min="38" max="38" width="4" style="1560" customWidth="1"/>
    <col min="39" max="39" width="115" style="1560" customWidth="1"/>
    <col min="40" max="44" width="10" style="1567" customWidth="1"/>
    <col min="45" max="45" width="10.5703125" style="1560" hidden="1"/>
  </cols>
  <sheetData>
    <row r="1" spans="1:45" ht="22.5" hidden="1" customHeight="1">
      <c r="A1" s="1795"/>
      <c r="Y1" s="263"/>
      <c r="Z1" s="263"/>
      <c r="AG1" s="263"/>
      <c r="AH1" s="263"/>
      <c r="AS1" s="1080" t="s">
        <v>14</v>
      </c>
    </row>
    <row r="2" spans="1:45" ht="21" hidden="1" customHeight="1">
      <c r="A2" s="1288"/>
      <c r="B2" s="1288"/>
      <c r="C2" s="1288"/>
      <c r="D2" s="1288"/>
      <c r="E2" s="2186">
        <v>1</v>
      </c>
      <c r="F2" s="1288"/>
      <c r="G2" s="1288"/>
      <c r="H2" s="1288"/>
      <c r="I2" s="1288"/>
      <c r="J2" s="1288"/>
      <c r="K2" s="1288"/>
      <c r="L2" s="1289"/>
      <c r="M2" s="1290"/>
      <c r="N2" s="1290"/>
      <c r="O2" s="1290"/>
      <c r="P2" s="296"/>
      <c r="Q2" s="295"/>
      <c r="R2" s="290"/>
      <c r="S2" s="1261" t="e">
        <f>INDEX(PT_DIFFERENTIATION_NUM_NTAR,MATCH(A2,PT_DIFFERENTIATION_NTAR_ID,0))</f>
        <v>#N/A</v>
      </c>
      <c r="T2" s="234" t="s">
        <v>124</v>
      </c>
      <c r="U2" s="236"/>
      <c r="V2" s="2172"/>
      <c r="W2" s="2173"/>
      <c r="X2" s="2173"/>
      <c r="Y2" s="2173"/>
      <c r="Z2" s="2173"/>
      <c r="AA2" s="2173"/>
      <c r="AB2" s="2173"/>
      <c r="AC2" s="2174"/>
      <c r="AD2" s="2172" t="e">
        <f>INDEX(PT_DIFFERENTIATION_NTAR,MATCH(A2,PT_DIFFERENTIATION_NTAR_ID,0))</f>
        <v>#N/A</v>
      </c>
      <c r="AE2" s="2173"/>
      <c r="AF2" s="2173"/>
      <c r="AG2" s="2173"/>
      <c r="AH2" s="2173"/>
      <c r="AI2" s="2173"/>
      <c r="AJ2" s="2173"/>
      <c r="AK2" s="2173"/>
      <c r="AL2" s="2174"/>
      <c r="AM2" s="1183" t="s">
        <v>395</v>
      </c>
      <c r="AO2" s="435"/>
      <c r="AP2" s="435" t="str">
        <f t="shared" ref="AP2:AP15" si="0">IF(T2="","",T2)</f>
        <v>Наименование тарифа</v>
      </c>
      <c r="AQ2" s="435"/>
      <c r="AR2" s="435"/>
      <c r="AS2" s="1080">
        <v>0</v>
      </c>
    </row>
    <row r="3" spans="1:45" ht="21" hidden="1" customHeight="1">
      <c r="A3" s="1288"/>
      <c r="B3" s="1288"/>
      <c r="C3" s="1288"/>
      <c r="D3" s="1288"/>
      <c r="E3" s="2187"/>
      <c r="F3" s="2186">
        <v>1</v>
      </c>
      <c r="G3" s="1288"/>
      <c r="H3" s="1288"/>
      <c r="I3" s="1288"/>
      <c r="J3" s="1288"/>
      <c r="K3" s="1288"/>
      <c r="L3" s="1289"/>
      <c r="M3" s="1290"/>
      <c r="N3" s="1290"/>
      <c r="O3" s="1290"/>
      <c r="P3" s="1257"/>
      <c r="Q3" s="287"/>
      <c r="R3" s="288"/>
      <c r="S3" s="1261" t="e">
        <f>INDEX(PT_DIFFERENTIATION_NUM_TER,MATCH(B3,PT_DIFFERENTIATION_TER_ID,0))</f>
        <v>#N/A</v>
      </c>
      <c r="T3" s="244" t="s">
        <v>396</v>
      </c>
      <c r="U3" s="236"/>
      <c r="V3" s="2172"/>
      <c r="W3" s="2173"/>
      <c r="X3" s="2173"/>
      <c r="Y3" s="2173"/>
      <c r="Z3" s="2173"/>
      <c r="AA3" s="2173"/>
      <c r="AB3" s="2173"/>
      <c r="AC3" s="2174"/>
      <c r="AD3" s="2172" t="e">
        <f>INDEX(PT_DIFFERENTIATION_TER,MATCH(B3,PT_DIFFERENTIATION_TER_ID,0))</f>
        <v>#N/A</v>
      </c>
      <c r="AE3" s="2173"/>
      <c r="AF3" s="2173"/>
      <c r="AG3" s="2173"/>
      <c r="AH3" s="2173"/>
      <c r="AI3" s="2173"/>
      <c r="AJ3" s="2173"/>
      <c r="AK3" s="2173"/>
      <c r="AL3" s="2174"/>
      <c r="AM3" s="1183" t="s">
        <v>397</v>
      </c>
      <c r="AO3" s="435"/>
      <c r="AP3" s="435" t="str">
        <f t="shared" si="0"/>
        <v>Территория действия тарифа</v>
      </c>
      <c r="AQ3" s="435"/>
      <c r="AR3" s="435"/>
      <c r="AS3" s="1080">
        <v>0</v>
      </c>
    </row>
    <row r="4" spans="1:45" ht="23.25" hidden="1" customHeight="1">
      <c r="A4" s="1288"/>
      <c r="B4" s="1288"/>
      <c r="C4" s="1288"/>
      <c r="D4" s="1288"/>
      <c r="E4" s="2187"/>
      <c r="F4" s="2187"/>
      <c r="G4" s="2186">
        <v>1</v>
      </c>
      <c r="H4" s="1288"/>
      <c r="I4" s="1288"/>
      <c r="J4" s="1288"/>
      <c r="K4" s="1288"/>
      <c r="L4" s="1289"/>
      <c r="M4" s="1290"/>
      <c r="N4" s="1290"/>
      <c r="O4" s="1290"/>
      <c r="P4" s="289"/>
      <c r="Q4" s="287"/>
      <c r="R4" s="288"/>
      <c r="S4" s="1929" t="e">
        <f>INDEX(PT_DIFFERENTIATION_NUM_CS,MATCH(C4,PT_DIFFERENTIATION_CS_ID,0))</f>
        <v>#N/A</v>
      </c>
      <c r="T4" s="1933" t="s">
        <v>398</v>
      </c>
      <c r="U4" s="1934"/>
      <c r="V4" s="2218"/>
      <c r="W4" s="2219"/>
      <c r="X4" s="2219"/>
      <c r="Y4" s="2219"/>
      <c r="Z4" s="2219"/>
      <c r="AA4" s="2219"/>
      <c r="AB4" s="2219"/>
      <c r="AC4" s="2220"/>
      <c r="AD4" s="2218" t="e">
        <f>INDEX(PT_DIFFERENTIATION_CS,MATCH(C4,PT_DIFFERENTIATION_CS_ID,0))</f>
        <v>#N/A</v>
      </c>
      <c r="AE4" s="2219"/>
      <c r="AF4" s="2219"/>
      <c r="AG4" s="2219"/>
      <c r="AH4" s="2219"/>
      <c r="AI4" s="2219"/>
      <c r="AJ4" s="2219"/>
      <c r="AK4" s="2219"/>
      <c r="AL4" s="2220"/>
      <c r="AM4" s="1183" t="s">
        <v>399</v>
      </c>
      <c r="AO4" s="435"/>
      <c r="AP4" s="435" t="str">
        <f t="shared" si="0"/>
        <v xml:space="preserve">Наименование системы теплоснабжения </v>
      </c>
      <c r="AQ4" s="435"/>
      <c r="AR4" s="435"/>
      <c r="AS4" s="1080">
        <v>0</v>
      </c>
    </row>
    <row r="5" spans="1:45" ht="21" hidden="1" customHeight="1">
      <c r="A5" s="1288"/>
      <c r="B5" s="1288"/>
      <c r="C5" s="1288"/>
      <c r="D5" s="1288"/>
      <c r="E5" s="2187"/>
      <c r="F5" s="2187"/>
      <c r="G5" s="2187"/>
      <c r="H5" s="2186">
        <v>1</v>
      </c>
      <c r="I5" s="1288"/>
      <c r="J5" s="1288"/>
      <c r="K5" s="1288"/>
      <c r="L5" s="1289"/>
      <c r="M5" s="1290"/>
      <c r="N5" s="1290"/>
      <c r="O5" s="1290"/>
      <c r="P5" s="289"/>
      <c r="Q5" s="287"/>
      <c r="R5" s="1560"/>
      <c r="S5" s="1928" t="e">
        <f>INDEX(PT_DIFFERENTIATION_NUM_IST_TE,MATCH(D5,PT_DIFFERENTIATION_IST_TE_ID,0))</f>
        <v>#N/A</v>
      </c>
      <c r="T5" s="246" t="s">
        <v>400</v>
      </c>
      <c r="U5" s="236"/>
      <c r="V5" s="2221"/>
      <c r="W5" s="2221"/>
      <c r="X5" s="2221"/>
      <c r="Y5" s="2221"/>
      <c r="Z5" s="2221"/>
      <c r="AA5" s="2221"/>
      <c r="AB5" s="2221"/>
      <c r="AC5" s="2221"/>
      <c r="AD5" s="2221" t="e">
        <f>INDEX(PT_DIFFERENTIATION_IST_TE,MATCH(D5,PT_DIFFERENTIATION_IST_TE_ID,0))</f>
        <v>#N/A</v>
      </c>
      <c r="AE5" s="2221"/>
      <c r="AF5" s="2221"/>
      <c r="AG5" s="2221"/>
      <c r="AH5" s="2221"/>
      <c r="AI5" s="2221"/>
      <c r="AJ5" s="2221"/>
      <c r="AK5" s="2221"/>
      <c r="AL5" s="2221"/>
      <c r="AM5" s="1931" t="s">
        <v>401</v>
      </c>
      <c r="AO5" s="435"/>
      <c r="AP5" s="435" t="str">
        <f t="shared" si="0"/>
        <v xml:space="preserve">Источник тепловой энергии  </v>
      </c>
      <c r="AQ5" s="435"/>
      <c r="AR5" s="435"/>
      <c r="AS5" s="1080">
        <v>0</v>
      </c>
    </row>
    <row r="6" spans="1:45" ht="0.75" hidden="1" customHeight="1">
      <c r="A6" s="1288"/>
      <c r="B6" s="1288"/>
      <c r="C6" s="1288"/>
      <c r="D6" s="1288"/>
      <c r="E6" s="2187"/>
      <c r="F6" s="2187"/>
      <c r="G6" s="2187"/>
      <c r="H6" s="2187"/>
      <c r="I6" s="2184" t="e">
        <f>S5&amp;".1"</f>
        <v>#N/A</v>
      </c>
      <c r="J6" s="1288"/>
      <c r="K6" s="1288"/>
      <c r="L6" s="1289" t="s">
        <v>402</v>
      </c>
      <c r="M6" s="472"/>
      <c r="P6" s="2185">
        <v>1</v>
      </c>
      <c r="Q6" s="1256"/>
      <c r="R6" s="1927"/>
      <c r="S6" s="970"/>
      <c r="T6" s="1308"/>
      <c r="U6" s="1309"/>
      <c r="V6" s="2222"/>
      <c r="W6" s="2222"/>
      <c r="X6" s="2222"/>
      <c r="Y6" s="2222"/>
      <c r="Z6" s="2222"/>
      <c r="AA6" s="2222"/>
      <c r="AB6" s="2222"/>
      <c r="AC6" s="2222"/>
      <c r="AD6" s="2222"/>
      <c r="AE6" s="2222"/>
      <c r="AF6" s="2222"/>
      <c r="AG6" s="2222"/>
      <c r="AH6" s="2222"/>
      <c r="AI6" s="2222"/>
      <c r="AJ6" s="2222"/>
      <c r="AK6" s="2222"/>
      <c r="AL6" s="2222"/>
      <c r="AM6" s="1932"/>
      <c r="AO6" s="435"/>
      <c r="AP6" s="435" t="str">
        <f t="shared" si="0"/>
        <v/>
      </c>
      <c r="AQ6" s="435"/>
      <c r="AR6" s="435"/>
      <c r="AS6" s="1080">
        <v>0</v>
      </c>
    </row>
    <row r="7" spans="1:45" ht="84" hidden="1" customHeight="1">
      <c r="A7" s="1288"/>
      <c r="B7" s="1288"/>
      <c r="C7" s="1288"/>
      <c r="D7" s="1288"/>
      <c r="E7" s="2187"/>
      <c r="F7" s="2187"/>
      <c r="G7" s="2187"/>
      <c r="H7" s="2187"/>
      <c r="I7" s="2207"/>
      <c r="J7" s="2184" t="e">
        <f>I6&amp;".1"</f>
        <v>#N/A</v>
      </c>
      <c r="K7" s="1288"/>
      <c r="L7" s="1289" t="s">
        <v>405</v>
      </c>
      <c r="M7" s="472"/>
      <c r="N7" s="1291"/>
      <c r="P7" s="2185"/>
      <c r="Q7" s="2185">
        <v>1</v>
      </c>
      <c r="R7" s="1567"/>
      <c r="S7" s="1928" t="e">
        <f>$J7</f>
        <v>#N/A</v>
      </c>
      <c r="T7" s="222" t="s">
        <v>406</v>
      </c>
      <c r="U7" s="236"/>
      <c r="V7" s="2223"/>
      <c r="W7" s="2223"/>
      <c r="X7" s="2223"/>
      <c r="Y7" s="2223"/>
      <c r="Z7" s="2223"/>
      <c r="AA7" s="2223"/>
      <c r="AB7" s="2223"/>
      <c r="AC7" s="2223"/>
      <c r="AD7" s="2223"/>
      <c r="AE7" s="2223"/>
      <c r="AF7" s="2223"/>
      <c r="AG7" s="2223"/>
      <c r="AH7" s="2223"/>
      <c r="AI7" s="2223"/>
      <c r="AJ7" s="2223"/>
      <c r="AK7" s="2223"/>
      <c r="AL7" s="2223"/>
      <c r="AM7" s="1931" t="s">
        <v>407</v>
      </c>
      <c r="AO7" s="435"/>
      <c r="AP7" s="435" t="str">
        <f t="shared" si="0"/>
        <v>Группа потребителей</v>
      </c>
      <c r="AQ7" s="435"/>
      <c r="AR7" s="435"/>
      <c r="AS7" s="1080">
        <v>0</v>
      </c>
    </row>
    <row r="8" spans="1:45" ht="11.25" hidden="1" customHeight="1">
      <c r="A8" s="1288"/>
      <c r="B8" s="1288"/>
      <c r="C8" s="1288"/>
      <c r="D8" s="1288"/>
      <c r="E8" s="2187"/>
      <c r="F8" s="2187"/>
      <c r="G8" s="2187"/>
      <c r="H8" s="2187"/>
      <c r="I8" s="2207"/>
      <c r="J8" s="2207"/>
      <c r="K8" s="2184" t="e">
        <f>J7&amp;".1"</f>
        <v>#N/A</v>
      </c>
      <c r="L8" s="1289" t="s">
        <v>408</v>
      </c>
      <c r="M8" s="472"/>
      <c r="N8" s="1291"/>
      <c r="O8" s="1291"/>
      <c r="P8" s="2185"/>
      <c r="Q8" s="2185"/>
      <c r="R8" s="292">
        <v>1</v>
      </c>
      <c r="S8" s="1930" t="e">
        <f>$K8</f>
        <v>#N/A</v>
      </c>
      <c r="T8" s="1935"/>
      <c r="U8" s="1936"/>
      <c r="V8" s="1937"/>
      <c r="W8" s="1274"/>
      <c r="X8" s="1937"/>
      <c r="Y8" s="1938"/>
      <c r="Z8" s="2224"/>
      <c r="AA8" s="2052" t="s">
        <v>66</v>
      </c>
      <c r="AB8" s="2224"/>
      <c r="AC8" s="2052" t="s">
        <v>66</v>
      </c>
      <c r="AD8" s="1937"/>
      <c r="AE8" s="1274"/>
      <c r="AF8" s="1937"/>
      <c r="AG8" s="1938"/>
      <c r="AH8" s="2224"/>
      <c r="AI8" s="2052" t="s">
        <v>66</v>
      </c>
      <c r="AJ8" s="2224"/>
      <c r="AK8" s="2052" t="s">
        <v>66</v>
      </c>
      <c r="AL8" s="1274"/>
      <c r="AM8" s="2181" t="s">
        <v>409</v>
      </c>
      <c r="AN8" s="446" t="e">
        <f ca="1">STRCHECKDATE(V9:AL9)</f>
        <v>#NAME?</v>
      </c>
      <c r="AO8" s="435"/>
      <c r="AP8" s="435" t="str">
        <f t="shared" si="0"/>
        <v/>
      </c>
      <c r="AQ8" s="435"/>
      <c r="AR8" s="435"/>
      <c r="AS8" s="1080">
        <v>0</v>
      </c>
    </row>
    <row r="9" spans="1:45" ht="0.75" hidden="1" customHeight="1">
      <c r="A9" s="1288"/>
      <c r="B9" s="1288"/>
      <c r="C9" s="1288"/>
      <c r="D9" s="1288"/>
      <c r="E9" s="2187"/>
      <c r="F9" s="2187"/>
      <c r="G9" s="2187"/>
      <c r="H9" s="2187"/>
      <c r="I9" s="2207"/>
      <c r="J9" s="2207"/>
      <c r="K9" s="2184"/>
      <c r="L9" s="1289"/>
      <c r="M9" s="472"/>
      <c r="N9" s="1291"/>
      <c r="O9" s="1291"/>
      <c r="P9" s="2185"/>
      <c r="Q9" s="2185"/>
      <c r="R9" s="292"/>
      <c r="S9" s="1267"/>
      <c r="T9" s="236"/>
      <c r="U9" s="236"/>
      <c r="V9" s="261"/>
      <c r="W9" s="261"/>
      <c r="X9" s="261"/>
      <c r="Y9" s="264" t="str">
        <f>Z8&amp;"-"&amp;AB8</f>
        <v>-</v>
      </c>
      <c r="Z9" s="2190"/>
      <c r="AA9" s="2047"/>
      <c r="AB9" s="2190"/>
      <c r="AC9" s="2047"/>
      <c r="AD9" s="261"/>
      <c r="AE9" s="261"/>
      <c r="AF9" s="261"/>
      <c r="AG9" s="264" t="str">
        <f>AH8&amp;"-"&amp;AJ8</f>
        <v>-</v>
      </c>
      <c r="AH9" s="2190"/>
      <c r="AI9" s="2047"/>
      <c r="AJ9" s="2190"/>
      <c r="AK9" s="2047"/>
      <c r="AL9" s="261"/>
      <c r="AM9" s="2182"/>
      <c r="AO9" s="435"/>
      <c r="AP9" s="435" t="str">
        <f t="shared" si="0"/>
        <v/>
      </c>
      <c r="AQ9" s="435"/>
      <c r="AR9" s="435"/>
      <c r="AS9" s="1080">
        <v>0</v>
      </c>
    </row>
    <row r="10" spans="1:45" ht="11.25" hidden="1" customHeight="1">
      <c r="A10" s="1288"/>
      <c r="B10" s="1288"/>
      <c r="C10" s="1288"/>
      <c r="D10" s="1288"/>
      <c r="E10" s="2187"/>
      <c r="F10" s="2187"/>
      <c r="G10" s="2187"/>
      <c r="H10" s="2187"/>
      <c r="I10" s="2207"/>
      <c r="J10" s="2184"/>
      <c r="K10" s="1288"/>
      <c r="L10" s="1289"/>
      <c r="M10" s="472"/>
      <c r="N10" s="1291"/>
      <c r="P10" s="2185"/>
      <c r="Q10" s="2185"/>
      <c r="R10" s="291"/>
      <c r="S10" s="1203"/>
      <c r="T10" s="223" t="s">
        <v>410</v>
      </c>
      <c r="U10" s="302"/>
      <c r="V10" s="302"/>
      <c r="W10" s="302"/>
      <c r="X10" s="302"/>
      <c r="Y10" s="302"/>
      <c r="Z10" s="302"/>
      <c r="AA10" s="302"/>
      <c r="AB10" s="302"/>
      <c r="AC10" s="302"/>
      <c r="AD10" s="302"/>
      <c r="AE10" s="302"/>
      <c r="AF10" s="302"/>
      <c r="AG10" s="302"/>
      <c r="AH10" s="302"/>
      <c r="AI10" s="302"/>
      <c r="AJ10" s="302"/>
      <c r="AK10" s="302"/>
      <c r="AL10" s="260"/>
      <c r="AM10" s="2183"/>
      <c r="AO10" s="435"/>
      <c r="AP10" s="435" t="str">
        <f t="shared" si="0"/>
        <v>Добавить вид теплоносителя (параметры теплоносителя)</v>
      </c>
      <c r="AQ10" s="435"/>
      <c r="AR10" s="435"/>
      <c r="AS10" s="1080">
        <v>0</v>
      </c>
    </row>
    <row r="11" spans="1:45" ht="11.25" hidden="1" customHeight="1">
      <c r="A11" s="1288"/>
      <c r="B11" s="1288"/>
      <c r="C11" s="1288"/>
      <c r="D11" s="1288"/>
      <c r="E11" s="2187"/>
      <c r="F11" s="2187"/>
      <c r="G11" s="2187"/>
      <c r="H11" s="2187"/>
      <c r="I11" s="2184"/>
      <c r="J11" s="1288"/>
      <c r="K11" s="1288"/>
      <c r="L11" s="1289"/>
      <c r="M11" s="472"/>
      <c r="P11" s="2185"/>
      <c r="Q11" s="1256"/>
      <c r="R11" s="291"/>
      <c r="S11" s="1203"/>
      <c r="T11" s="300" t="s">
        <v>411</v>
      </c>
      <c r="U11" s="302"/>
      <c r="V11" s="302"/>
      <c r="W11" s="302"/>
      <c r="X11" s="302"/>
      <c r="Y11" s="302"/>
      <c r="Z11" s="302"/>
      <c r="AA11" s="302"/>
      <c r="AB11" s="302"/>
      <c r="AC11" s="301"/>
      <c r="AD11" s="302"/>
      <c r="AE11" s="302"/>
      <c r="AF11" s="302"/>
      <c r="AG11" s="302"/>
      <c r="AH11" s="302"/>
      <c r="AI11" s="302"/>
      <c r="AJ11" s="302"/>
      <c r="AK11" s="301"/>
      <c r="AL11" s="302"/>
      <c r="AM11" s="239"/>
      <c r="AO11" s="435"/>
      <c r="AP11" s="435" t="str">
        <f t="shared" si="0"/>
        <v>Добавить группу потребителей</v>
      </c>
      <c r="AQ11" s="435"/>
      <c r="AR11" s="435"/>
      <c r="AS11" s="1080">
        <v>0</v>
      </c>
    </row>
    <row r="12" spans="1:45" ht="0.75" hidden="1" customHeight="1">
      <c r="A12" s="1288"/>
      <c r="B12" s="1288"/>
      <c r="C12" s="1288"/>
      <c r="D12" s="1288"/>
      <c r="E12" s="2187"/>
      <c r="F12" s="2187"/>
      <c r="G12" s="2187"/>
      <c r="H12" s="2186"/>
      <c r="I12" s="1288"/>
      <c r="J12" s="1288"/>
      <c r="K12" s="1288"/>
      <c r="L12" s="1289"/>
      <c r="M12" s="1290"/>
      <c r="N12" s="1290"/>
      <c r="O12" s="472"/>
      <c r="P12" s="295"/>
      <c r="Q12" s="310"/>
      <c r="R12" s="290"/>
      <c r="S12" s="1311"/>
      <c r="T12" s="1312"/>
      <c r="U12" s="1313"/>
      <c r="V12" s="1313"/>
      <c r="W12" s="1313"/>
      <c r="X12" s="1313"/>
      <c r="Y12" s="1313"/>
      <c r="Z12" s="1313"/>
      <c r="AA12" s="1313"/>
      <c r="AB12" s="1313"/>
      <c r="AC12" s="1313"/>
      <c r="AD12" s="1313"/>
      <c r="AE12" s="1313"/>
      <c r="AF12" s="1313"/>
      <c r="AG12" s="1313"/>
      <c r="AH12" s="1313"/>
      <c r="AI12" s="1313"/>
      <c r="AJ12" s="1313"/>
      <c r="AK12" s="1313"/>
      <c r="AL12" s="1313"/>
      <c r="AM12" s="1314"/>
      <c r="AO12" s="435"/>
      <c r="AP12" s="435" t="str">
        <f t="shared" si="0"/>
        <v/>
      </c>
      <c r="AQ12" s="435"/>
      <c r="AR12" s="435"/>
      <c r="AS12" s="1080">
        <v>0</v>
      </c>
    </row>
    <row r="13" spans="1:45" s="1567" customFormat="1" ht="0.75" hidden="1" customHeight="1">
      <c r="A13" s="1239"/>
      <c r="B13" s="1239"/>
      <c r="C13" s="1239"/>
      <c r="D13" s="1239"/>
      <c r="E13" s="2187"/>
      <c r="F13" s="2187"/>
      <c r="G13" s="2186"/>
      <c r="H13" s="1239"/>
      <c r="I13" s="1239"/>
      <c r="J13" s="1239"/>
      <c r="K13" s="1239"/>
      <c r="L13" s="1264"/>
      <c r="M13" s="1240"/>
      <c r="N13" s="1240"/>
      <c r="P13" s="1241"/>
      <c r="Q13" s="1242"/>
      <c r="R13" s="1241"/>
      <c r="S13" s="1243"/>
      <c r="T13" s="1244" t="s">
        <v>413</v>
      </c>
      <c r="U13" s="1245"/>
      <c r="V13" s="1245"/>
      <c r="W13" s="1245"/>
      <c r="X13" s="1245"/>
      <c r="Y13" s="1245"/>
      <c r="Z13" s="1245"/>
      <c r="AA13" s="1245"/>
      <c r="AB13" s="1245"/>
      <c r="AC13" s="1245"/>
      <c r="AD13" s="1245"/>
      <c r="AE13" s="1245"/>
      <c r="AF13" s="1245"/>
      <c r="AG13" s="1245"/>
      <c r="AH13" s="1245"/>
      <c r="AI13" s="1245"/>
      <c r="AJ13" s="1245"/>
      <c r="AK13" s="1245"/>
      <c r="AL13" s="1245"/>
      <c r="AM13" s="1245"/>
      <c r="AO13" s="718"/>
      <c r="AP13" s="718" t="str">
        <f t="shared" si="0"/>
        <v>Добавить источник для дифференциации</v>
      </c>
      <c r="AQ13" s="718"/>
      <c r="AR13" s="718"/>
      <c r="AS13" s="453">
        <v>0</v>
      </c>
    </row>
    <row r="14" spans="1:45" s="1567" customFormat="1" ht="0.75" hidden="1" customHeight="1">
      <c r="A14" s="1239"/>
      <c r="B14" s="1239"/>
      <c r="C14" s="1239"/>
      <c r="D14" s="1239"/>
      <c r="E14" s="2187"/>
      <c r="F14" s="2186"/>
      <c r="G14" s="1239"/>
      <c r="H14" s="1239"/>
      <c r="I14" s="1239"/>
      <c r="J14" s="1239"/>
      <c r="K14" s="1239"/>
      <c r="L14" s="1264"/>
      <c r="M14" s="1246"/>
      <c r="N14" s="1246"/>
      <c r="P14" s="1241"/>
      <c r="Q14" s="1242"/>
      <c r="R14" s="1241"/>
      <c r="S14" s="1247"/>
      <c r="T14" s="1248" t="s">
        <v>414</v>
      </c>
      <c r="U14" s="1249"/>
      <c r="V14" s="1249"/>
      <c r="W14" s="1249"/>
      <c r="X14" s="1249"/>
      <c r="Y14" s="1249"/>
      <c r="Z14" s="1249"/>
      <c r="AA14" s="1249"/>
      <c r="AB14" s="1249"/>
      <c r="AC14" s="1249"/>
      <c r="AD14" s="1249"/>
      <c r="AE14" s="1249"/>
      <c r="AF14" s="1249"/>
      <c r="AG14" s="1249"/>
      <c r="AH14" s="1249"/>
      <c r="AI14" s="1249"/>
      <c r="AJ14" s="1249"/>
      <c r="AK14" s="1249"/>
      <c r="AL14" s="1249"/>
      <c r="AM14" s="1249"/>
      <c r="AO14" s="718"/>
      <c r="AP14" s="718" t="str">
        <f t="shared" si="0"/>
        <v>Добавить централизованную систему для дифференциации</v>
      </c>
      <c r="AQ14" s="718"/>
      <c r="AR14" s="718"/>
      <c r="AS14" s="453">
        <v>0</v>
      </c>
    </row>
    <row r="15" spans="1:45" s="1567" customFormat="1" ht="0.75" hidden="1" customHeight="1">
      <c r="A15" s="1239"/>
      <c r="B15" s="1239"/>
      <c r="C15" s="1239"/>
      <c r="D15" s="1239"/>
      <c r="E15" s="2186"/>
      <c r="F15" s="1239"/>
      <c r="G15" s="1239"/>
      <c r="H15" s="1239"/>
      <c r="I15" s="1239"/>
      <c r="J15" s="1239"/>
      <c r="K15" s="1239"/>
      <c r="L15" s="1264"/>
      <c r="M15" s="1246"/>
      <c r="N15" s="1246"/>
      <c r="P15" s="1241"/>
      <c r="Q15" s="1242"/>
      <c r="R15" s="1241"/>
      <c r="S15" s="1247"/>
      <c r="T15" s="1250" t="s">
        <v>415</v>
      </c>
      <c r="U15" s="1249"/>
      <c r="V15" s="1249"/>
      <c r="W15" s="1249"/>
      <c r="X15" s="1249"/>
      <c r="Y15" s="1249"/>
      <c r="Z15" s="1249"/>
      <c r="AA15" s="1249"/>
      <c r="AB15" s="1249"/>
      <c r="AC15" s="1249"/>
      <c r="AD15" s="1249"/>
      <c r="AE15" s="1249"/>
      <c r="AF15" s="1249"/>
      <c r="AG15" s="1249"/>
      <c r="AH15" s="1249"/>
      <c r="AI15" s="1249"/>
      <c r="AJ15" s="1249"/>
      <c r="AK15" s="1249"/>
      <c r="AL15" s="1249"/>
      <c r="AM15" s="1249"/>
      <c r="AO15" s="718"/>
      <c r="AP15" s="718" t="str">
        <f t="shared" si="0"/>
        <v>Добавить территорию для дифференциации</v>
      </c>
      <c r="AQ15" s="718"/>
      <c r="AR15" s="718"/>
      <c r="AS15" s="453">
        <v>0</v>
      </c>
    </row>
    <row r="16" spans="1:45" ht="14.25" hidden="1" customHeight="1">
      <c r="AC16" s="263"/>
      <c r="AK16" s="263"/>
      <c r="AS16" s="1080">
        <v>0</v>
      </c>
    </row>
    <row r="17" spans="1:45" ht="14.25" hidden="1" customHeight="1">
      <c r="AD17" s="1285"/>
      <c r="AE17" s="1285"/>
      <c r="AF17" s="1285"/>
      <c r="AG17" s="1286"/>
      <c r="AH17" s="2191"/>
      <c r="AI17" s="2192" t="s">
        <v>66</v>
      </c>
      <c r="AJ17" s="2191"/>
      <c r="AK17" s="2192" t="s">
        <v>66</v>
      </c>
      <c r="AS17" s="1080">
        <v>0</v>
      </c>
    </row>
    <row r="18" spans="1:45" ht="14.25" hidden="1" customHeight="1">
      <c r="AD18" s="1285"/>
      <c r="AE18" s="1285"/>
      <c r="AF18" s="1285"/>
      <c r="AG18" s="264" t="str">
        <f>AH17&amp;"-"&amp;AJ17</f>
        <v>-</v>
      </c>
      <c r="AH18" s="2192"/>
      <c r="AI18" s="2192"/>
      <c r="AJ18" s="2192"/>
      <c r="AK18" s="2192"/>
      <c r="AS18" s="1080">
        <v>0</v>
      </c>
    </row>
    <row r="19" spans="1:45" ht="14.25" hidden="1" customHeight="1">
      <c r="AK19" s="263"/>
      <c r="AS19" s="1080">
        <v>0</v>
      </c>
    </row>
    <row r="20" spans="1:45" s="1291" customFormat="1" ht="22.5" hidden="1" customHeight="1">
      <c r="L20" s="1254"/>
      <c r="M20" s="1287"/>
      <c r="N20" s="1287"/>
      <c r="O20" s="1292" t="s">
        <v>416</v>
      </c>
      <c r="P20" s="1287"/>
      <c r="Q20" s="1296"/>
      <c r="R20" s="1296"/>
      <c r="S20" s="664"/>
      <c r="Z20" s="1292"/>
      <c r="AB20" s="1292"/>
      <c r="AH20" s="1292"/>
      <c r="AJ20" s="1292"/>
      <c r="AN20" s="446"/>
      <c r="AO20" s="446"/>
      <c r="AP20" s="446"/>
      <c r="AQ20" s="446"/>
      <c r="AR20" s="446"/>
      <c r="AS20" s="1085">
        <v>0</v>
      </c>
    </row>
    <row r="21" spans="1:45" s="1291" customFormat="1" ht="14.25" hidden="1" customHeight="1">
      <c r="L21" s="1254"/>
      <c r="M21" s="1287"/>
      <c r="N21" s="1287"/>
      <c r="O21" s="1287"/>
      <c r="P21" s="1287"/>
      <c r="Q21" s="1296"/>
      <c r="R21" s="1296"/>
      <c r="S21" s="664"/>
      <c r="AN21" s="446"/>
      <c r="AO21" s="446"/>
      <c r="AP21" s="446"/>
      <c r="AQ21" s="446"/>
      <c r="AR21" s="446"/>
      <c r="AS21" s="1085">
        <v>0</v>
      </c>
    </row>
    <row r="22" spans="1:45" s="1291" customFormat="1" ht="14.25" hidden="1" customHeight="1">
      <c r="L22" s="1254"/>
      <c r="M22" s="1287"/>
      <c r="N22" s="1287"/>
      <c r="O22" s="1289" t="s">
        <v>417</v>
      </c>
      <c r="P22" s="1287"/>
      <c r="Q22" s="1296"/>
      <c r="R22" s="1296"/>
      <c r="S22" s="664"/>
      <c r="T22" s="1085" t="s">
        <v>418</v>
      </c>
      <c r="AA22" s="122" t="s">
        <v>419</v>
      </c>
      <c r="AC22" s="122" t="s">
        <v>420</v>
      </c>
      <c r="AD22" s="1085" t="s">
        <v>418</v>
      </c>
      <c r="AI22" s="122" t="s">
        <v>421</v>
      </c>
      <c r="AK22" s="122" t="s">
        <v>420</v>
      </c>
      <c r="AN22" s="446"/>
      <c r="AO22" s="446"/>
      <c r="AP22" s="446"/>
      <c r="AQ22" s="446"/>
      <c r="AR22" s="446"/>
      <c r="AS22" s="1085">
        <v>0</v>
      </c>
    </row>
    <row r="23" spans="1:45" ht="14.25" hidden="1" customHeight="1">
      <c r="O23" s="1289"/>
      <c r="AS23" s="1080">
        <v>0</v>
      </c>
    </row>
    <row r="24" spans="1:45" ht="14.25" hidden="1" customHeight="1">
      <c r="O24" s="1289"/>
      <c r="AS24" s="1080">
        <v>0</v>
      </c>
    </row>
    <row r="25" spans="1:45" ht="14.65" customHeight="1">
      <c r="Q25" s="311"/>
      <c r="R25" s="311"/>
      <c r="S25" s="1200"/>
      <c r="T25" s="298"/>
      <c r="U25" s="298"/>
      <c r="V25" s="444"/>
      <c r="W25" s="444"/>
      <c r="X25" s="444"/>
      <c r="Y25" s="444"/>
      <c r="Z25" s="444"/>
      <c r="AA25" s="444"/>
      <c r="AB25" s="444"/>
      <c r="AC25" s="444"/>
      <c r="AD25" s="444"/>
      <c r="AE25" s="444"/>
      <c r="AF25" s="444"/>
      <c r="AG25" s="444"/>
      <c r="AH25" s="444"/>
      <c r="AI25" s="444"/>
      <c r="AJ25" s="444"/>
      <c r="AK25" s="444"/>
      <c r="AS25" s="1080">
        <v>14</v>
      </c>
    </row>
    <row r="26" spans="1:45" ht="54.75" customHeight="1">
      <c r="Q26" s="311"/>
      <c r="R26" s="311"/>
      <c r="S26" s="2130" t="str">
        <f>IF(TEMPLATE_GROUP="P",PT_P_FORM_HEAT_5_NAME_FORM,PT_R_FORM_HEAT_22_NAME_FORM)</f>
        <v>Форма 20. Информация о предложении регулируемой организации о расчетной величине тарифов на теплоноситель, поставляемый теплоснабжающими организациями потребителям, другим теплоснабжающим организациям, тарифов на услуги по передаче тепловой энергии, теплоносителя, о расчетной величине тарифов на теплоноситель в виде воды, поставляемый другим теплоснабжающим организациям в ценовых зонах теплоснабжения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v>
      </c>
      <c r="T26" s="2130"/>
      <c r="U26" s="2130"/>
      <c r="V26" s="2130"/>
      <c r="W26" s="2130"/>
      <c r="X26" s="2130"/>
      <c r="Y26" s="2130"/>
      <c r="Z26" s="2130"/>
      <c r="AA26" s="2130"/>
      <c r="AB26" s="2130"/>
      <c r="AC26" s="2130"/>
      <c r="AD26" s="2130"/>
      <c r="AE26" s="2130"/>
      <c r="AF26" s="2130"/>
      <c r="AG26" s="2130"/>
      <c r="AH26" s="2130"/>
      <c r="AI26" s="2130"/>
      <c r="AJ26" s="2130"/>
      <c r="AK26" s="1168"/>
      <c r="AS26" s="1080">
        <v>52</v>
      </c>
    </row>
    <row r="27" spans="1:45" ht="14.65" customHeight="1">
      <c r="Q27" s="311"/>
      <c r="R27" s="311"/>
      <c r="S27" s="2115" t="str">
        <f>IF(org=0,"Не определено",org)</f>
        <v>ООО "ЗЕНИТ ЭНЕРГО"</v>
      </c>
      <c r="T27" s="2115"/>
      <c r="U27" s="2115"/>
      <c r="V27" s="2115"/>
      <c r="W27" s="2115"/>
      <c r="X27" s="2115"/>
      <c r="Y27" s="2115"/>
      <c r="Z27" s="2115"/>
      <c r="AA27" s="2115"/>
      <c r="AB27" s="2115"/>
      <c r="AC27" s="2115"/>
      <c r="AD27" s="2115"/>
      <c r="AE27" s="2115"/>
      <c r="AF27" s="2115"/>
      <c r="AG27" s="2115"/>
      <c r="AH27" s="2115"/>
      <c r="AI27" s="2115"/>
      <c r="AJ27" s="2115"/>
      <c r="AK27" s="1168"/>
      <c r="AS27" s="1080">
        <v>14</v>
      </c>
    </row>
    <row r="28" spans="1:45" ht="14.25" hidden="1" customHeight="1">
      <c r="Q28" s="311"/>
      <c r="R28" s="311"/>
      <c r="S28" s="1200"/>
      <c r="T28" s="298"/>
      <c r="U28" s="298"/>
      <c r="V28" s="258"/>
      <c r="W28" s="258"/>
      <c r="X28" s="258"/>
      <c r="Y28" s="258"/>
      <c r="Z28" s="258"/>
      <c r="AA28" s="258"/>
      <c r="AB28" s="258"/>
      <c r="AC28" s="258"/>
      <c r="AD28" s="258"/>
      <c r="AE28" s="258"/>
      <c r="AF28" s="258"/>
      <c r="AG28" s="258"/>
      <c r="AH28" s="258"/>
      <c r="AI28" s="258"/>
      <c r="AJ28" s="258"/>
      <c r="AK28" s="258"/>
      <c r="AL28" s="444"/>
      <c r="AS28" s="1080">
        <v>0</v>
      </c>
    </row>
    <row r="29" spans="1:45" s="1777" customFormat="1" ht="25.5" hidden="1" customHeight="1">
      <c r="A29" s="1293"/>
      <c r="B29" s="1293"/>
      <c r="C29" s="1293"/>
      <c r="D29" s="1293"/>
      <c r="E29" s="1293"/>
      <c r="F29" s="1293"/>
      <c r="G29" s="1293"/>
      <c r="H29" s="1293"/>
      <c r="I29" s="1293"/>
      <c r="J29" s="1293"/>
      <c r="K29" s="1293"/>
      <c r="L29" s="1294"/>
      <c r="M29" s="1293"/>
      <c r="N29" s="1293"/>
      <c r="O29" s="1293"/>
      <c r="S29" s="2178" t="s">
        <v>42</v>
      </c>
      <c r="T29" s="2178"/>
      <c r="U29" s="1297"/>
      <c r="V29" s="2179" t="str">
        <f>IF(TITLE_NAME_OR_PR_CHANGE="",IF(TITLE_NAME_OR_PR="","",TITLE_NAME_OR_PR),TITLE_NAME_OR_PR_CHANGE)</f>
        <v/>
      </c>
      <c r="W29" s="2179"/>
      <c r="X29" s="2179"/>
      <c r="Y29" s="2179"/>
      <c r="Z29" s="2179"/>
      <c r="AA29" s="2179"/>
      <c r="AB29" s="2179"/>
      <c r="AC29" s="262"/>
      <c r="AD29" s="2179" t="str">
        <f>IF(TITLE_NAME_OR_PR_CHANGE="",IF(TITLE_NAME_OR_PR="","",TITLE_NAME_OR_PR),TITLE_NAME_OR_PR_CHANGE)</f>
        <v/>
      </c>
      <c r="AE29" s="2179"/>
      <c r="AF29" s="2179"/>
      <c r="AG29" s="2179"/>
      <c r="AH29" s="2179"/>
      <c r="AI29" s="2179"/>
      <c r="AJ29" s="2179"/>
      <c r="AK29" s="262"/>
      <c r="AL29" s="262"/>
      <c r="AM29" s="216"/>
      <c r="AN29" s="303"/>
      <c r="AO29" s="303"/>
      <c r="AP29" s="303"/>
      <c r="AQ29" s="303"/>
      <c r="AR29" s="303"/>
      <c r="AS29" s="353">
        <v>0</v>
      </c>
    </row>
    <row r="30" spans="1:45" s="1777" customFormat="1" ht="18.75" hidden="1" customHeight="1">
      <c r="A30" s="1293"/>
      <c r="B30" s="1293"/>
      <c r="C30" s="1293"/>
      <c r="D30" s="1293"/>
      <c r="E30" s="1293"/>
      <c r="F30" s="1293"/>
      <c r="G30" s="1293"/>
      <c r="H30" s="1293"/>
      <c r="I30" s="1293"/>
      <c r="J30" s="1293"/>
      <c r="K30" s="1293"/>
      <c r="L30" s="1294"/>
      <c r="M30" s="1293"/>
      <c r="N30" s="1293"/>
      <c r="O30" s="1293"/>
      <c r="S30" s="2178" t="s">
        <v>422</v>
      </c>
      <c r="T30" s="2178"/>
      <c r="U30" s="1297"/>
      <c r="V30" s="2188" t="str">
        <f>IF(TITLE_DATE_PR_CHANGE="",IF(TITLE_DATE_PR="","",TITLE_DATE_PR),TITLE_DATE_PR_CHANGE)</f>
        <v/>
      </c>
      <c r="W30" s="2188"/>
      <c r="X30" s="2188"/>
      <c r="Y30" s="2188"/>
      <c r="Z30" s="2188"/>
      <c r="AA30" s="2188"/>
      <c r="AB30" s="2188"/>
      <c r="AC30" s="262"/>
      <c r="AD30" s="2188" t="str">
        <f>IF(TITLE_DATE_PR_CHANGE="",IF(TITLE_DATE_PR="","",TITLE_DATE_PR),TITLE_DATE_PR_CHANGE)</f>
        <v/>
      </c>
      <c r="AE30" s="2188"/>
      <c r="AF30" s="2188"/>
      <c r="AG30" s="2188"/>
      <c r="AH30" s="2188"/>
      <c r="AI30" s="2188"/>
      <c r="AJ30" s="2188"/>
      <c r="AK30" s="262"/>
      <c r="AL30" s="262"/>
      <c r="AM30" s="216"/>
      <c r="AN30" s="303"/>
      <c r="AO30" s="303"/>
      <c r="AP30" s="303"/>
      <c r="AQ30" s="303"/>
      <c r="AR30" s="303"/>
      <c r="AS30" s="353">
        <v>0</v>
      </c>
    </row>
    <row r="31" spans="1:45" s="1777" customFormat="1" ht="18.75" hidden="1" customHeight="1">
      <c r="A31" s="1293"/>
      <c r="B31" s="1293"/>
      <c r="C31" s="1293"/>
      <c r="D31" s="1293"/>
      <c r="E31" s="1293"/>
      <c r="F31" s="1293"/>
      <c r="G31" s="1293"/>
      <c r="H31" s="1293"/>
      <c r="I31" s="1293"/>
      <c r="J31" s="1293"/>
      <c r="K31" s="1293"/>
      <c r="L31" s="1294"/>
      <c r="M31" s="1293"/>
      <c r="N31" s="1293"/>
      <c r="O31" s="1293"/>
      <c r="S31" s="2178" t="s">
        <v>423</v>
      </c>
      <c r="T31" s="2178"/>
      <c r="U31" s="1297"/>
      <c r="V31" s="2179" t="str">
        <f>IF(TITLE_NUMBER_PR_CHANGE="",IF(TITLE_NUMBER_PR="","",TITLE_NUMBER_PR),TITLE_NUMBER_PR_CHANGE)</f>
        <v/>
      </c>
      <c r="W31" s="2179"/>
      <c r="X31" s="2179"/>
      <c r="Y31" s="2179"/>
      <c r="Z31" s="2179"/>
      <c r="AA31" s="2179"/>
      <c r="AB31" s="2179"/>
      <c r="AC31" s="262"/>
      <c r="AD31" s="2179" t="str">
        <f>IF(TITLE_NUMBER_PR_CHANGE="",IF(TITLE_NUMBER_PR="","",TITLE_NUMBER_PR),TITLE_NUMBER_PR_CHANGE)</f>
        <v/>
      </c>
      <c r="AE31" s="2179"/>
      <c r="AF31" s="2179"/>
      <c r="AG31" s="2179"/>
      <c r="AH31" s="2179"/>
      <c r="AI31" s="2179"/>
      <c r="AJ31" s="2179"/>
      <c r="AK31" s="262"/>
      <c r="AL31" s="262"/>
      <c r="AM31" s="216"/>
      <c r="AN31" s="303"/>
      <c r="AO31" s="303"/>
      <c r="AP31" s="303"/>
      <c r="AQ31" s="303"/>
      <c r="AR31" s="303"/>
      <c r="AS31" s="353">
        <v>0</v>
      </c>
    </row>
    <row r="32" spans="1:45" s="1777" customFormat="1" ht="18.75" hidden="1" customHeight="1">
      <c r="A32" s="1293"/>
      <c r="B32" s="1293"/>
      <c r="C32" s="1293"/>
      <c r="D32" s="1293"/>
      <c r="E32" s="1293"/>
      <c r="F32" s="1293"/>
      <c r="G32" s="1293"/>
      <c r="H32" s="1293"/>
      <c r="I32" s="1293"/>
      <c r="J32" s="1293"/>
      <c r="K32" s="1293"/>
      <c r="L32" s="1294"/>
      <c r="M32" s="1293"/>
      <c r="N32" s="1293"/>
      <c r="O32" s="1293"/>
      <c r="S32" s="2178" t="s">
        <v>43</v>
      </c>
      <c r="T32" s="2178"/>
      <c r="U32" s="1297"/>
      <c r="V32" s="2179" t="str">
        <f>IF(TITLE_IST_PUB_CHANGE="",IF(TITLE_IST_PUB="","",TITLE_IST_PUB),TITLE_IST_PUB_CHANGE)</f>
        <v/>
      </c>
      <c r="W32" s="2179"/>
      <c r="X32" s="2179"/>
      <c r="Y32" s="2179"/>
      <c r="Z32" s="2179"/>
      <c r="AA32" s="2179"/>
      <c r="AB32" s="2179"/>
      <c r="AC32" s="262"/>
      <c r="AD32" s="2179" t="str">
        <f>IF(TITLE_IST_PUB_CHANGE="",IF(TITLE_IST_PUB="","",TITLE_IST_PUB),TITLE_IST_PUB_CHANGE)</f>
        <v/>
      </c>
      <c r="AE32" s="2179"/>
      <c r="AF32" s="2179"/>
      <c r="AG32" s="2179"/>
      <c r="AH32" s="2179"/>
      <c r="AI32" s="2179"/>
      <c r="AJ32" s="2179"/>
      <c r="AK32" s="262"/>
      <c r="AL32" s="262"/>
      <c r="AM32" s="216"/>
      <c r="AN32" s="303"/>
      <c r="AO32" s="303"/>
      <c r="AP32" s="303"/>
      <c r="AQ32" s="303"/>
      <c r="AR32" s="303"/>
      <c r="AS32" s="353">
        <v>0</v>
      </c>
    </row>
    <row r="33" spans="1:45" ht="14.25" hidden="1" customHeight="1">
      <c r="Q33" s="311"/>
      <c r="R33" s="311"/>
      <c r="S33" s="1200"/>
      <c r="T33" s="298"/>
      <c r="U33" s="298"/>
      <c r="V33" s="258"/>
      <c r="W33" s="258"/>
      <c r="X33" s="258"/>
      <c r="Y33" s="258"/>
      <c r="Z33" s="258"/>
      <c r="AA33" s="258"/>
      <c r="AB33" s="258"/>
      <c r="AC33" s="258"/>
      <c r="AD33" s="258"/>
      <c r="AE33" s="258"/>
      <c r="AF33" s="258"/>
      <c r="AG33" s="258"/>
      <c r="AH33" s="258"/>
      <c r="AI33" s="258"/>
      <c r="AJ33" s="258"/>
      <c r="AK33" s="258"/>
      <c r="AL33" s="444"/>
      <c r="AS33" s="1080">
        <v>0</v>
      </c>
    </row>
    <row r="34" spans="1:45" s="1777" customFormat="1" ht="18.75" hidden="1" customHeight="1">
      <c r="A34" s="1293"/>
      <c r="B34" s="1293"/>
      <c r="C34" s="1293"/>
      <c r="D34" s="1293"/>
      <c r="E34" s="1293"/>
      <c r="F34" s="1293"/>
      <c r="G34" s="1293"/>
      <c r="H34" s="1293"/>
      <c r="I34" s="1293"/>
      <c r="J34" s="1293"/>
      <c r="K34" s="1293"/>
      <c r="L34" s="1294"/>
      <c r="M34" s="1293"/>
      <c r="N34" s="1293"/>
      <c r="O34" s="1293"/>
      <c r="S34" s="2178" t="s">
        <v>424</v>
      </c>
      <c r="T34" s="2178"/>
      <c r="U34" s="1297"/>
      <c r="V34" s="2188" t="str">
        <f>IF(TITLE_DATE_PR_CHANGE="",IF(TITLE_DATE_PR="","",TITLE_DATE_PR),TITLE_DATE_PR_CHANGE)</f>
        <v/>
      </c>
      <c r="W34" s="2188"/>
      <c r="X34" s="2188"/>
      <c r="Y34" s="2188"/>
      <c r="Z34" s="2188"/>
      <c r="AA34" s="2188"/>
      <c r="AB34" s="2188"/>
      <c r="AC34" s="262"/>
      <c r="AD34" s="2188" t="str">
        <f>IF(TITLE_DATE_PR_CHANGE="",IF(TITLE_DATE_PR="","",TITLE_DATE_PR),TITLE_DATE_PR_CHANGE)</f>
        <v/>
      </c>
      <c r="AE34" s="2188"/>
      <c r="AF34" s="2188"/>
      <c r="AG34" s="2188"/>
      <c r="AH34" s="2188"/>
      <c r="AI34" s="2188"/>
      <c r="AJ34" s="2188"/>
      <c r="AK34" s="262"/>
      <c r="AL34" s="262"/>
      <c r="AM34" s="216"/>
      <c r="AN34" s="303"/>
      <c r="AO34" s="303"/>
      <c r="AP34" s="303"/>
      <c r="AQ34" s="303"/>
      <c r="AR34" s="303"/>
      <c r="AS34" s="353">
        <v>0</v>
      </c>
    </row>
    <row r="35" spans="1:45" s="1777" customFormat="1" ht="18.75" hidden="1" customHeight="1">
      <c r="A35" s="1293"/>
      <c r="B35" s="1293"/>
      <c r="C35" s="1293"/>
      <c r="D35" s="1293"/>
      <c r="E35" s="1293"/>
      <c r="F35" s="1293"/>
      <c r="G35" s="1293"/>
      <c r="H35" s="1293"/>
      <c r="I35" s="1293"/>
      <c r="J35" s="1293"/>
      <c r="K35" s="1293"/>
      <c r="L35" s="1294"/>
      <c r="M35" s="1293"/>
      <c r="N35" s="1293"/>
      <c r="O35" s="1293"/>
      <c r="S35" s="2178" t="s">
        <v>425</v>
      </c>
      <c r="T35" s="2178"/>
      <c r="U35" s="1297"/>
      <c r="V35" s="2179" t="str">
        <f>IF(TITLE_NUMBER_PR_CHANGE="",IF(TITLE_NUMBER_PR="","",TITLE_NUMBER_PR),TITLE_NUMBER_PR_CHANGE)</f>
        <v/>
      </c>
      <c r="W35" s="2179"/>
      <c r="X35" s="2179"/>
      <c r="Y35" s="2179"/>
      <c r="Z35" s="2179"/>
      <c r="AA35" s="2179"/>
      <c r="AB35" s="2179"/>
      <c r="AC35" s="262"/>
      <c r="AD35" s="2179" t="str">
        <f>IF(TITLE_NUMBER_PR_CHANGE="",IF(TITLE_NUMBER_PR="","",TITLE_NUMBER_PR),TITLE_NUMBER_PR_CHANGE)</f>
        <v/>
      </c>
      <c r="AE35" s="2179"/>
      <c r="AF35" s="2179"/>
      <c r="AG35" s="2179"/>
      <c r="AH35" s="2179"/>
      <c r="AI35" s="2179"/>
      <c r="AJ35" s="2179"/>
      <c r="AK35" s="262"/>
      <c r="AL35" s="262"/>
      <c r="AM35" s="216"/>
      <c r="AN35" s="303"/>
      <c r="AO35" s="303"/>
      <c r="AP35" s="303"/>
      <c r="AQ35" s="303"/>
      <c r="AR35" s="303"/>
      <c r="AS35" s="353">
        <v>0</v>
      </c>
    </row>
    <row r="36" spans="1:45" s="1777" customFormat="1" ht="0" hidden="1" customHeight="1">
      <c r="A36" s="1293"/>
      <c r="B36" s="1293"/>
      <c r="C36" s="1293"/>
      <c r="D36" s="1293"/>
      <c r="E36" s="1293"/>
      <c r="F36" s="1293"/>
      <c r="G36" s="1293"/>
      <c r="H36" s="1293"/>
      <c r="I36" s="1293"/>
      <c r="J36" s="1293"/>
      <c r="K36" s="1293"/>
      <c r="L36" s="1294"/>
      <c r="M36" s="1293"/>
      <c r="N36" s="1293"/>
      <c r="O36" s="1293"/>
      <c r="S36" s="259"/>
      <c r="T36" s="259"/>
      <c r="U36" s="1265"/>
      <c r="V36" s="262"/>
      <c r="W36" s="262"/>
      <c r="X36" s="262"/>
      <c r="Y36" s="262"/>
      <c r="Z36" s="262"/>
      <c r="AA36" s="262"/>
      <c r="AB36" s="262"/>
      <c r="AC36" s="214" t="s">
        <v>426</v>
      </c>
      <c r="AD36" s="262"/>
      <c r="AE36" s="262"/>
      <c r="AF36" s="262"/>
      <c r="AG36" s="262"/>
      <c r="AH36" s="262"/>
      <c r="AI36" s="262"/>
      <c r="AJ36" s="262"/>
      <c r="AK36" s="214" t="s">
        <v>426</v>
      </c>
      <c r="AN36" s="303"/>
      <c r="AO36" s="303"/>
      <c r="AP36" s="303"/>
      <c r="AQ36" s="303"/>
      <c r="AR36" s="303"/>
      <c r="AS36" s="353">
        <v>0</v>
      </c>
    </row>
    <row r="37" spans="1:45" ht="14.65" customHeight="1">
      <c r="Q37" s="311"/>
      <c r="R37" s="311"/>
      <c r="S37" s="1200"/>
      <c r="T37" s="298"/>
      <c r="U37" s="1169"/>
      <c r="V37" s="2180"/>
      <c r="W37" s="2180"/>
      <c r="X37" s="2180"/>
      <c r="Y37" s="2180"/>
      <c r="Z37" s="2180"/>
      <c r="AA37" s="2180"/>
      <c r="AB37" s="2180"/>
      <c r="AC37" s="2180"/>
      <c r="AD37" s="2180"/>
      <c r="AE37" s="2180"/>
      <c r="AF37" s="2180"/>
      <c r="AG37" s="2180"/>
      <c r="AH37" s="2180"/>
      <c r="AI37" s="2180"/>
      <c r="AJ37" s="2180"/>
      <c r="AK37" s="2180"/>
      <c r="AS37" s="1080">
        <v>14</v>
      </c>
    </row>
    <row r="38" spans="1:45" ht="14.65" customHeight="1">
      <c r="Q38" s="311"/>
      <c r="R38" s="311"/>
      <c r="S38" s="2066" t="s">
        <v>299</v>
      </c>
      <c r="T38" s="2066"/>
      <c r="U38" s="2066"/>
      <c r="V38" s="2066"/>
      <c r="W38" s="2066"/>
      <c r="X38" s="2066"/>
      <c r="Y38" s="2066"/>
      <c r="Z38" s="2066"/>
      <c r="AA38" s="2066"/>
      <c r="AB38" s="2066"/>
      <c r="AC38" s="2066"/>
      <c r="AD38" s="2066"/>
      <c r="AE38" s="2066"/>
      <c r="AF38" s="2066"/>
      <c r="AG38" s="2066"/>
      <c r="AH38" s="2066"/>
      <c r="AI38" s="2066"/>
      <c r="AJ38" s="2066"/>
      <c r="AK38" s="2066"/>
      <c r="AL38" s="2066"/>
      <c r="AM38" s="2066" t="s">
        <v>300</v>
      </c>
      <c r="AS38" s="1080">
        <v>14</v>
      </c>
    </row>
    <row r="39" spans="1:45" ht="14.65" customHeight="1">
      <c r="Q39" s="311"/>
      <c r="R39" s="311"/>
      <c r="S39" s="2194" t="s">
        <v>88</v>
      </c>
      <c r="T39" s="2145" t="s">
        <v>427</v>
      </c>
      <c r="U39" s="237"/>
      <c r="V39" s="2195" t="s">
        <v>428</v>
      </c>
      <c r="W39" s="2196"/>
      <c r="X39" s="2196"/>
      <c r="Y39" s="2196"/>
      <c r="Z39" s="2196"/>
      <c r="AA39" s="2196"/>
      <c r="AB39" s="2197"/>
      <c r="AC39" s="2198" t="s">
        <v>429</v>
      </c>
      <c r="AD39" s="2195" t="s">
        <v>428</v>
      </c>
      <c r="AE39" s="2196"/>
      <c r="AF39" s="2196"/>
      <c r="AG39" s="2196"/>
      <c r="AH39" s="2196"/>
      <c r="AI39" s="2196"/>
      <c r="AJ39" s="2197"/>
      <c r="AK39" s="2198" t="s">
        <v>430</v>
      </c>
      <c r="AL39" s="2201" t="s">
        <v>431</v>
      </c>
      <c r="AM39" s="2066"/>
      <c r="AS39" s="1080">
        <v>14</v>
      </c>
    </row>
    <row r="40" spans="1:45" ht="35.65" customHeight="1">
      <c r="Q40" s="311"/>
      <c r="R40" s="311"/>
      <c r="S40" s="2194"/>
      <c r="T40" s="2145"/>
      <c r="U40" s="959"/>
      <c r="V40" s="2114" t="s">
        <v>432</v>
      </c>
      <c r="W40" s="2204"/>
      <c r="X40" s="2038" t="s">
        <v>434</v>
      </c>
      <c r="Y40" s="2037"/>
      <c r="Z40" s="2038" t="s">
        <v>435</v>
      </c>
      <c r="AA40" s="2043"/>
      <c r="AB40" s="2037"/>
      <c r="AC40" s="2199"/>
      <c r="AD40" s="2114" t="s">
        <v>449</v>
      </c>
      <c r="AE40" s="2204"/>
      <c r="AF40" s="2038" t="s">
        <v>434</v>
      </c>
      <c r="AG40" s="2037"/>
      <c r="AH40" s="2038" t="s">
        <v>435</v>
      </c>
      <c r="AI40" s="2043"/>
      <c r="AJ40" s="2037"/>
      <c r="AK40" s="2199"/>
      <c r="AL40" s="2202"/>
      <c r="AM40" s="2066"/>
      <c r="AS40" s="1080">
        <v>34</v>
      </c>
    </row>
    <row r="41" spans="1:45" ht="35.65" customHeight="1">
      <c r="A41" s="1295"/>
      <c r="B41" s="1295" t="s">
        <v>136</v>
      </c>
      <c r="C41" s="1295" t="s">
        <v>137</v>
      </c>
      <c r="D41" s="1295" t="s">
        <v>138</v>
      </c>
      <c r="E41" s="1289" t="s">
        <v>436</v>
      </c>
      <c r="F41" s="1289" t="s">
        <v>437</v>
      </c>
      <c r="G41" s="1289" t="s">
        <v>438</v>
      </c>
      <c r="H41" s="1289" t="s">
        <v>439</v>
      </c>
      <c r="I41" s="1289" t="s">
        <v>440</v>
      </c>
      <c r="J41" s="1289" t="s">
        <v>441</v>
      </c>
      <c r="K41" s="1289" t="s">
        <v>442</v>
      </c>
      <c r="L41" s="1289" t="s">
        <v>417</v>
      </c>
      <c r="Q41" s="311"/>
      <c r="R41" s="311"/>
      <c r="S41" s="2194"/>
      <c r="T41" s="2145"/>
      <c r="U41" s="238"/>
      <c r="V41" s="2165"/>
      <c r="W41" s="2205"/>
      <c r="X41" s="1147" t="s">
        <v>443</v>
      </c>
      <c r="Y41" s="1147" t="s">
        <v>444</v>
      </c>
      <c r="Z41" s="1263" t="s">
        <v>445</v>
      </c>
      <c r="AA41" s="2154" t="s">
        <v>446</v>
      </c>
      <c r="AB41" s="2156"/>
      <c r="AC41" s="2200"/>
      <c r="AD41" s="2165"/>
      <c r="AE41" s="2205"/>
      <c r="AF41" s="1147" t="s">
        <v>443</v>
      </c>
      <c r="AG41" s="1147" t="s">
        <v>444</v>
      </c>
      <c r="AH41" s="1263" t="s">
        <v>445</v>
      </c>
      <c r="AI41" s="2154" t="s">
        <v>446</v>
      </c>
      <c r="AJ41" s="2156"/>
      <c r="AK41" s="2200"/>
      <c r="AL41" s="2203"/>
      <c r="AM41" s="2066"/>
      <c r="AS41" s="1080">
        <v>34</v>
      </c>
    </row>
    <row r="42" spans="1:45" s="1566" customFormat="1" ht="11.25" hidden="1" customHeight="1">
      <c r="A42" s="1295"/>
      <c r="B42" s="1295"/>
      <c r="C42" s="1295"/>
      <c r="D42" s="1295"/>
      <c r="E42" s="1295"/>
      <c r="F42" s="1295"/>
      <c r="G42" s="1295"/>
      <c r="H42" s="1295"/>
      <c r="I42" s="1295"/>
      <c r="J42" s="1295"/>
      <c r="K42" s="1295"/>
      <c r="L42" s="1289"/>
      <c r="M42" s="1287"/>
      <c r="N42" s="1287"/>
      <c r="O42" s="1287"/>
      <c r="P42" s="1171"/>
      <c r="Q42" s="1172"/>
      <c r="R42" s="1179">
        <v>1</v>
      </c>
      <c r="S42" s="1202" t="s">
        <v>109</v>
      </c>
      <c r="T42" s="1180" t="s">
        <v>110</v>
      </c>
      <c r="U42" s="1170" t="str">
        <f ca="1">OFFSET(U42,0,-1)</f>
        <v>2</v>
      </c>
      <c r="V42" s="1260">
        <f ca="1">OFFSET(V42,0,-1)+1</f>
        <v>3</v>
      </c>
      <c r="W42" s="1260"/>
      <c r="X42" s="1260">
        <f ca="1">OFFSET(X42,0,-1)+1</f>
        <v>1</v>
      </c>
      <c r="Y42" s="1260">
        <f ca="1">OFFSET(Y42,0,-1)+1</f>
        <v>2</v>
      </c>
      <c r="Z42" s="1260">
        <f ca="1">OFFSET(Z42,0,-1)+1</f>
        <v>3</v>
      </c>
      <c r="AA42" s="2193">
        <f ca="1">OFFSET(AA42,0,-1)+1</f>
        <v>4</v>
      </c>
      <c r="AB42" s="2193"/>
      <c r="AC42" s="1260">
        <f ca="1">OFFSET(AC42,0,-2)+1</f>
        <v>5</v>
      </c>
      <c r="AD42" s="1260">
        <f ca="1">OFFSET(AD42,0,-1)+1</f>
        <v>6</v>
      </c>
      <c r="AE42" s="1260"/>
      <c r="AF42" s="1260">
        <f ca="1">OFFSET(AF42,0,-1)+1</f>
        <v>1</v>
      </c>
      <c r="AG42" s="1260">
        <f ca="1">OFFSET(AG42,0,-1)+1</f>
        <v>2</v>
      </c>
      <c r="AH42" s="1260">
        <f ca="1">OFFSET(AH42,0,-1)+1</f>
        <v>3</v>
      </c>
      <c r="AI42" s="2193">
        <f ca="1">OFFSET(AI42,0,-1)+1</f>
        <v>4</v>
      </c>
      <c r="AJ42" s="2193"/>
      <c r="AK42" s="1260">
        <f ca="1">OFFSET(AK42,0,-2)+1</f>
        <v>5</v>
      </c>
      <c r="AL42" s="1170">
        <f ca="1">OFFSET(AL42,0,-1)</f>
        <v>5</v>
      </c>
      <c r="AM42" s="1260">
        <f ca="1">OFFSET(AM42,0,-1)+1</f>
        <v>6</v>
      </c>
      <c r="AN42" s="446"/>
      <c r="AO42" s="446"/>
      <c r="AP42" s="446"/>
      <c r="AQ42" s="446"/>
      <c r="AR42" s="446"/>
      <c r="AS42" s="431">
        <v>0</v>
      </c>
    </row>
    <row r="43" spans="1:45" ht="21.95" customHeight="1">
      <c r="A43" s="1288" t="s">
        <v>181</v>
      </c>
      <c r="B43" s="1288"/>
      <c r="C43" s="1288"/>
      <c r="D43" s="1288"/>
      <c r="E43" s="2186">
        <v>1</v>
      </c>
      <c r="F43" s="1288"/>
      <c r="G43" s="1288"/>
      <c r="H43" s="1288"/>
      <c r="I43" s="1288"/>
      <c r="J43" s="1288"/>
      <c r="K43" s="1288"/>
      <c r="L43" s="1289"/>
      <c r="M43" s="1290"/>
      <c r="N43" s="1290"/>
      <c r="O43" s="1290"/>
      <c r="P43" s="296"/>
      <c r="Q43" s="295"/>
      <c r="R43" s="290"/>
      <c r="S43" s="1261">
        <f>INDEX(PT_DIFFERENTIATION_NUM_NTAR,MATCH(A43,PT_DIFFERENTIATION_NTAR_ID,0))</f>
        <v>0</v>
      </c>
      <c r="T43" s="234" t="s">
        <v>124</v>
      </c>
      <c r="U43" s="236"/>
      <c r="V43" s="2172"/>
      <c r="W43" s="2173"/>
      <c r="X43" s="2173"/>
      <c r="Y43" s="2173"/>
      <c r="Z43" s="2173"/>
      <c r="AA43" s="2173"/>
      <c r="AB43" s="2173"/>
      <c r="AC43" s="2174"/>
      <c r="AD43" s="2172" t="str">
        <f>INDEX(PT_DIFFERENTIATION_NTAR,MATCH(A43,PT_DIFFERENTIATION_NTAR_ID,0))</f>
        <v/>
      </c>
      <c r="AE43" s="2173"/>
      <c r="AF43" s="2173"/>
      <c r="AG43" s="2173"/>
      <c r="AH43" s="2173"/>
      <c r="AI43" s="2173"/>
      <c r="AJ43" s="2173"/>
      <c r="AK43" s="2173"/>
      <c r="AL43" s="2174"/>
      <c r="AM43" s="1183" t="str">
        <f>IF(TEMPLATE_GROUP="P","По данной форме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организациям "&amp;"с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"&amp;"2010 г. N 190-ФЗ ""О теплоснабжении"", а также информация о тарифах на теплоноситель в виде воды, поставляемый теплоснабжающей организацией, теплосетевой организацией в ценовых зонах "&amp;"теплоснабжения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"&amp;"6 части 1 статьи 23 4 Федерального закона от 27 июля 2010 г. N 190-ФЗ ""О теплоснабжении"".
"&amp;"Для каждого вида тарифа в сфере теплоснабжения форма заполняется отдельно.
"&amp;"При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об установлении цены"&amp;"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"&amp;"организациям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"&amp;"В соответствии с данной формой раскрывается в том числе информация о тарифах на теплоноситель в виде воды, поставляемый теплоснабжающей организаций, теплосетевой организацией в ценовых зонах теплоснабжения другим теплоснабжающим "&amp;"организациям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"&amp;"Федерального закона от 27 июля 2010 г. N 190-ФЗ ""О теплоснабжении"". 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Для каждого вида тарифа в сфере теплоснабжения форма заполняется отдельно.
В соответствии с данной формой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В соответствии с данной формой раскрывается в том числе информация о тарифах на теплоноситель в виде воды, поставляемый теплоснабжающей организаций, теплосетевой организацией в ценовых зонах 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Указывается наименование тарифа в случае предложения нескольких тарифов.
В случае наличия нескольких тарифов информация по ним указывается в отдельных строках.</v>
      </c>
      <c r="AO43" s="435"/>
      <c r="AP43" s="435" t="str">
        <f t="shared" ref="AP43:AP57" si="1">IF(T43="","",T43)</f>
        <v>Наименование тарифа</v>
      </c>
      <c r="AQ43" s="435"/>
      <c r="AR43" s="435"/>
      <c r="AS43" s="1080">
        <v>21</v>
      </c>
    </row>
    <row r="44" spans="1:45" ht="21.95" customHeight="1">
      <c r="A44" s="1288" t="s">
        <v>181</v>
      </c>
      <c r="B44" s="1288" t="s">
        <v>182</v>
      </c>
      <c r="C44" s="1288"/>
      <c r="D44" s="1288"/>
      <c r="E44" s="2187"/>
      <c r="F44" s="2186">
        <v>1</v>
      </c>
      <c r="G44" s="1288"/>
      <c r="H44" s="1288"/>
      <c r="I44" s="1288"/>
      <c r="J44" s="1288"/>
      <c r="K44" s="1288"/>
      <c r="L44" s="1289"/>
      <c r="M44" s="1290"/>
      <c r="N44" s="1290"/>
      <c r="O44" s="1290"/>
      <c r="P44" s="1257"/>
      <c r="Q44" s="287"/>
      <c r="R44" s="288"/>
      <c r="S44" s="1261" t="str">
        <f>INDEX(PT_DIFFERENTIATION_NUM_TER,MATCH(B44,PT_DIFFERENTIATION_TER_ID,0))</f>
        <v>.</v>
      </c>
      <c r="T44" s="244" t="s">
        <v>396</v>
      </c>
      <c r="U44" s="236"/>
      <c r="V44" s="2172"/>
      <c r="W44" s="2173"/>
      <c r="X44" s="2173"/>
      <c r="Y44" s="2173"/>
      <c r="Z44" s="2173"/>
      <c r="AA44" s="2173"/>
      <c r="AB44" s="2173"/>
      <c r="AC44" s="2174"/>
      <c r="AD44" s="2172" t="str">
        <f>INDEX(PT_DIFFERENTIATION_TER,MATCH(B44,PT_DIFFERENTIATION_TER_ID,0))</f>
        <v/>
      </c>
      <c r="AE44" s="2173"/>
      <c r="AF44" s="2173"/>
      <c r="AG44" s="2173"/>
      <c r="AH44" s="2173"/>
      <c r="AI44" s="2173"/>
      <c r="AJ44" s="2173"/>
      <c r="AK44" s="2173"/>
      <c r="AL44" s="2174"/>
      <c r="AM44" s="1183" t="s">
        <v>397</v>
      </c>
      <c r="AO44" s="435"/>
      <c r="AP44" s="435" t="str">
        <f t="shared" si="1"/>
        <v>Территория действия тарифа</v>
      </c>
      <c r="AQ44" s="435"/>
      <c r="AR44" s="435"/>
      <c r="AS44" s="1080">
        <v>21</v>
      </c>
    </row>
    <row r="45" spans="1:45" ht="24" customHeight="1">
      <c r="A45" s="1288" t="s">
        <v>181</v>
      </c>
      <c r="B45" s="1288" t="s">
        <v>182</v>
      </c>
      <c r="C45" s="1288" t="s">
        <v>183</v>
      </c>
      <c r="D45" s="1288"/>
      <c r="E45" s="2187"/>
      <c r="F45" s="2187"/>
      <c r="G45" s="2186">
        <v>1</v>
      </c>
      <c r="H45" s="1288"/>
      <c r="I45" s="1288"/>
      <c r="J45" s="1288"/>
      <c r="K45" s="1288"/>
      <c r="L45" s="1289"/>
      <c r="M45" s="1290"/>
      <c r="N45" s="1290"/>
      <c r="O45" s="1290"/>
      <c r="P45" s="289"/>
      <c r="Q45" s="287"/>
      <c r="R45" s="288"/>
      <c r="S45" s="1261" t="str">
        <f>INDEX(PT_DIFFERENTIATION_NUM_CS,MATCH(C45,PT_DIFFERENTIATION_CS_ID,0))</f>
        <v>..</v>
      </c>
      <c r="T45" s="245" t="s">
        <v>398</v>
      </c>
      <c r="U45" s="236"/>
      <c r="V45" s="2172"/>
      <c r="W45" s="2173"/>
      <c r="X45" s="2173"/>
      <c r="Y45" s="2173"/>
      <c r="Z45" s="2173"/>
      <c r="AA45" s="2173"/>
      <c r="AB45" s="2173"/>
      <c r="AC45" s="2174"/>
      <c r="AD45" s="2172" t="str">
        <f>INDEX(PT_DIFFERENTIATION_CS,MATCH(C45,PT_DIFFERENTIATION_CS_ID,0))</f>
        <v/>
      </c>
      <c r="AE45" s="2173"/>
      <c r="AF45" s="2173"/>
      <c r="AG45" s="2173"/>
      <c r="AH45" s="2173"/>
      <c r="AI45" s="2173"/>
      <c r="AJ45" s="2173"/>
      <c r="AK45" s="2173"/>
      <c r="AL45" s="2174"/>
      <c r="AM45" s="1183" t="s">
        <v>399</v>
      </c>
      <c r="AO45" s="435"/>
      <c r="AP45" s="435" t="str">
        <f t="shared" si="1"/>
        <v xml:space="preserve">Наименование системы теплоснабжения </v>
      </c>
      <c r="AQ45" s="435"/>
      <c r="AR45" s="435"/>
      <c r="AS45" s="1080">
        <v>23</v>
      </c>
    </row>
    <row r="46" spans="1:45" ht="21.95" customHeight="1">
      <c r="A46" s="1288" t="s">
        <v>181</v>
      </c>
      <c r="B46" s="1288" t="s">
        <v>182</v>
      </c>
      <c r="C46" s="1288" t="s">
        <v>183</v>
      </c>
      <c r="D46" s="1288" t="s">
        <v>184</v>
      </c>
      <c r="E46" s="2187"/>
      <c r="F46" s="2187"/>
      <c r="G46" s="2187"/>
      <c r="H46" s="2186">
        <v>1</v>
      </c>
      <c r="I46" s="1288"/>
      <c r="J46" s="1288"/>
      <c r="K46" s="1288"/>
      <c r="L46" s="1289"/>
      <c r="M46" s="1290"/>
      <c r="N46" s="1290"/>
      <c r="O46" s="1290"/>
      <c r="P46" s="289"/>
      <c r="Q46" s="287"/>
      <c r="R46" s="288"/>
      <c r="S46" s="1261" t="str">
        <f>INDEX(PT_DIFFERENTIATION_NUM_IST_TE,MATCH(D46,PT_DIFFERENTIATION_IST_TE_ID,0))</f>
        <v>...</v>
      </c>
      <c r="T46" s="246" t="s">
        <v>400</v>
      </c>
      <c r="U46" s="236"/>
      <c r="V46" s="2172"/>
      <c r="W46" s="2173"/>
      <c r="X46" s="2173"/>
      <c r="Y46" s="2173"/>
      <c r="Z46" s="2173"/>
      <c r="AA46" s="2173"/>
      <c r="AB46" s="2173"/>
      <c r="AC46" s="2174"/>
      <c r="AD46" s="2172" t="str">
        <f>INDEX(PT_DIFFERENTIATION_IST_TE,MATCH(D46,PT_DIFFERENTIATION_IST_TE_ID,0))</f>
        <v/>
      </c>
      <c r="AE46" s="2173"/>
      <c r="AF46" s="2173"/>
      <c r="AG46" s="2173"/>
      <c r="AH46" s="2173"/>
      <c r="AI46" s="2173"/>
      <c r="AJ46" s="2173"/>
      <c r="AK46" s="2173"/>
      <c r="AL46" s="2174"/>
      <c r="AM46" s="1183" t="s">
        <v>401</v>
      </c>
      <c r="AO46" s="435"/>
      <c r="AP46" s="435" t="str">
        <f t="shared" si="1"/>
        <v xml:space="preserve">Источник тепловой энергии  </v>
      </c>
      <c r="AQ46" s="435"/>
      <c r="AR46" s="435"/>
      <c r="AS46" s="1080">
        <v>21</v>
      </c>
    </row>
    <row r="47" spans="1:45" s="1567" customFormat="1" ht="0" hidden="1" customHeight="1">
      <c r="A47" s="1268" t="s">
        <v>181</v>
      </c>
      <c r="B47" s="1268" t="s">
        <v>182</v>
      </c>
      <c r="C47" s="1268" t="s">
        <v>183</v>
      </c>
      <c r="D47" s="1268" t="s">
        <v>184</v>
      </c>
      <c r="E47" s="2187"/>
      <c r="F47" s="2187"/>
      <c r="G47" s="2187"/>
      <c r="H47" s="2187"/>
      <c r="I47" s="2184" t="str">
        <f>S46&amp;".1"</f>
        <v>....1</v>
      </c>
      <c r="J47" s="1268"/>
      <c r="K47" s="1268"/>
      <c r="L47" s="1271" t="s">
        <v>402</v>
      </c>
      <c r="M47" s="445"/>
      <c r="N47" s="445"/>
      <c r="O47" s="445"/>
      <c r="P47" s="2185">
        <v>1</v>
      </c>
      <c r="Q47" s="1256"/>
      <c r="R47" s="291"/>
      <c r="S47" s="970"/>
      <c r="T47" s="1308"/>
      <c r="U47" s="1309"/>
      <c r="V47" s="2215"/>
      <c r="W47" s="2216"/>
      <c r="X47" s="2216"/>
      <c r="Y47" s="2216"/>
      <c r="Z47" s="2216"/>
      <c r="AA47" s="2216"/>
      <c r="AB47" s="2216"/>
      <c r="AC47" s="2217"/>
      <c r="AD47" s="2215"/>
      <c r="AE47" s="2216"/>
      <c r="AF47" s="2216"/>
      <c r="AG47" s="2216"/>
      <c r="AH47" s="2216"/>
      <c r="AI47" s="2216"/>
      <c r="AJ47" s="2216"/>
      <c r="AK47" s="2216"/>
      <c r="AL47" s="2217"/>
      <c r="AM47" s="1310"/>
      <c r="AO47" s="435"/>
      <c r="AP47" s="435" t="str">
        <f t="shared" si="1"/>
        <v/>
      </c>
      <c r="AQ47" s="435"/>
      <c r="AR47" s="435"/>
      <c r="AS47" s="446">
        <v>0</v>
      </c>
    </row>
    <row r="48" spans="1:45" ht="21.95" customHeight="1">
      <c r="A48" s="1288" t="s">
        <v>181</v>
      </c>
      <c r="B48" s="1288" t="s">
        <v>182</v>
      </c>
      <c r="C48" s="1288" t="s">
        <v>183</v>
      </c>
      <c r="D48" s="1288" t="s">
        <v>184</v>
      </c>
      <c r="E48" s="2187"/>
      <c r="F48" s="2187"/>
      <c r="G48" s="2187"/>
      <c r="H48" s="2187"/>
      <c r="I48" s="2207"/>
      <c r="J48" s="2184" t="str">
        <f>S46&amp;".1"</f>
        <v>....1</v>
      </c>
      <c r="K48" s="1288"/>
      <c r="L48" s="1289" t="s">
        <v>405</v>
      </c>
      <c r="P48" s="2185"/>
      <c r="Q48" s="2185">
        <v>1</v>
      </c>
      <c r="R48" s="292"/>
      <c r="S48" s="1261" t="str">
        <f>$J48</f>
        <v>....1</v>
      </c>
      <c r="T48" s="222" t="s">
        <v>406</v>
      </c>
      <c r="U48" s="236"/>
      <c r="V48" s="2175"/>
      <c r="W48" s="2176"/>
      <c r="X48" s="2176"/>
      <c r="Y48" s="2176"/>
      <c r="Z48" s="2176"/>
      <c r="AA48" s="2176"/>
      <c r="AB48" s="2176"/>
      <c r="AC48" s="2177"/>
      <c r="AD48" s="2175"/>
      <c r="AE48" s="2176"/>
      <c r="AF48" s="2176"/>
      <c r="AG48" s="2176"/>
      <c r="AH48" s="2176"/>
      <c r="AI48" s="2176"/>
      <c r="AJ48" s="2176"/>
      <c r="AK48" s="2176"/>
      <c r="AL48" s="2177"/>
      <c r="AM48" s="1183" t="s">
        <v>407</v>
      </c>
      <c r="AO48" s="435"/>
      <c r="AP48" s="435" t="str">
        <f t="shared" si="1"/>
        <v>Группа потребителей</v>
      </c>
      <c r="AQ48" s="435"/>
      <c r="AR48" s="435"/>
      <c r="AS48" s="1080">
        <v>21</v>
      </c>
    </row>
    <row r="49" spans="1:45" ht="21.95" customHeight="1">
      <c r="A49" s="1288" t="s">
        <v>181</v>
      </c>
      <c r="B49" s="1288" t="s">
        <v>182</v>
      </c>
      <c r="C49" s="1288" t="s">
        <v>183</v>
      </c>
      <c r="D49" s="1288" t="s">
        <v>184</v>
      </c>
      <c r="E49" s="2187"/>
      <c r="F49" s="2187"/>
      <c r="G49" s="2187"/>
      <c r="H49" s="2187"/>
      <c r="I49" s="2207"/>
      <c r="J49" s="2207"/>
      <c r="K49" s="2184" t="str">
        <f>J48&amp;".1"</f>
        <v>....1.1</v>
      </c>
      <c r="L49" s="1289" t="s">
        <v>408</v>
      </c>
      <c r="P49" s="2185"/>
      <c r="Q49" s="2185"/>
      <c r="R49" s="292">
        <v>1</v>
      </c>
      <c r="S49" s="1261" t="str">
        <f>$K49</f>
        <v>....1.1</v>
      </c>
      <c r="T49" s="1272"/>
      <c r="U49" s="236"/>
      <c r="V49" s="686"/>
      <c r="W49" s="261"/>
      <c r="X49" s="686"/>
      <c r="Y49" s="1182"/>
      <c r="Z49" s="2189"/>
      <c r="AA49" s="2047" t="s">
        <v>66</v>
      </c>
      <c r="AB49" s="2189"/>
      <c r="AC49" s="2047" t="s">
        <v>66</v>
      </c>
      <c r="AD49" s="686"/>
      <c r="AE49" s="261"/>
      <c r="AF49" s="686"/>
      <c r="AG49" s="1182"/>
      <c r="AH49" s="2189"/>
      <c r="AI49" s="2047" t="s">
        <v>66</v>
      </c>
      <c r="AJ49" s="2208"/>
      <c r="AK49" s="2047" t="s">
        <v>66</v>
      </c>
      <c r="AL49" s="1273"/>
      <c r="AM49" s="2181" t="s">
        <v>450</v>
      </c>
      <c r="AN49" s="446" t="e">
        <f ca="1">STRCHECKDATE(V50:AL50)</f>
        <v>#NAME?</v>
      </c>
      <c r="AO49" s="435"/>
      <c r="AP49" s="435" t="str">
        <f t="shared" si="1"/>
        <v/>
      </c>
      <c r="AQ49" s="435"/>
      <c r="AR49" s="435"/>
      <c r="AS49" s="1080">
        <v>21</v>
      </c>
    </row>
    <row r="50" spans="1:45" ht="1.1499999999999999" customHeight="1">
      <c r="A50" s="1288" t="s">
        <v>181</v>
      </c>
      <c r="B50" s="1288" t="s">
        <v>182</v>
      </c>
      <c r="C50" s="1288" t="s">
        <v>183</v>
      </c>
      <c r="D50" s="1288" t="s">
        <v>184</v>
      </c>
      <c r="E50" s="2187"/>
      <c r="F50" s="2187"/>
      <c r="G50" s="2187"/>
      <c r="H50" s="2187"/>
      <c r="I50" s="2207"/>
      <c r="J50" s="2207"/>
      <c r="K50" s="2184"/>
      <c r="L50" s="1289"/>
      <c r="P50" s="2185"/>
      <c r="Q50" s="2185"/>
      <c r="R50" s="292"/>
      <c r="S50" s="1267"/>
      <c r="T50" s="236"/>
      <c r="U50" s="236"/>
      <c r="V50" s="261"/>
      <c r="W50" s="261"/>
      <c r="X50" s="261"/>
      <c r="Y50" s="264" t="str">
        <f>Z49&amp;"-"&amp;AB49</f>
        <v>-</v>
      </c>
      <c r="Z50" s="2190"/>
      <c r="AA50" s="2047"/>
      <c r="AB50" s="2190"/>
      <c r="AC50" s="2047"/>
      <c r="AD50" s="261"/>
      <c r="AE50" s="261"/>
      <c r="AF50" s="261"/>
      <c r="AG50" s="264" t="str">
        <f>AH49&amp;"-"&amp;AJ49</f>
        <v>-</v>
      </c>
      <c r="AH50" s="2190"/>
      <c r="AI50" s="2047"/>
      <c r="AJ50" s="2209"/>
      <c r="AK50" s="2047"/>
      <c r="AL50" s="1274"/>
      <c r="AM50" s="2182"/>
      <c r="AO50" s="435"/>
      <c r="AP50" s="435" t="str">
        <f t="shared" si="1"/>
        <v/>
      </c>
      <c r="AQ50" s="435"/>
      <c r="AR50" s="435"/>
      <c r="AS50" s="1080">
        <v>1</v>
      </c>
    </row>
    <row r="51" spans="1:45" ht="11.45" customHeight="1">
      <c r="A51" s="1288" t="s">
        <v>181</v>
      </c>
      <c r="B51" s="1288" t="s">
        <v>182</v>
      </c>
      <c r="C51" s="1288" t="s">
        <v>183</v>
      </c>
      <c r="D51" s="1288" t="s">
        <v>184</v>
      </c>
      <c r="E51" s="2187"/>
      <c r="F51" s="2187"/>
      <c r="G51" s="2187"/>
      <c r="H51" s="2187"/>
      <c r="I51" s="2207"/>
      <c r="J51" s="2184"/>
      <c r="K51" s="1288"/>
      <c r="L51" s="1289"/>
      <c r="P51" s="2185"/>
      <c r="Q51" s="2185"/>
      <c r="R51" s="291"/>
      <c r="S51" s="1203"/>
      <c r="T51" s="223" t="s">
        <v>410</v>
      </c>
      <c r="U51" s="302"/>
      <c r="V51" s="302"/>
      <c r="W51" s="302"/>
      <c r="X51" s="302"/>
      <c r="Y51" s="302"/>
      <c r="Z51" s="302"/>
      <c r="AA51" s="302"/>
      <c r="AB51" s="302"/>
      <c r="AC51" s="302"/>
      <c r="AD51" s="302"/>
      <c r="AE51" s="302"/>
      <c r="AF51" s="302"/>
      <c r="AG51" s="302"/>
      <c r="AH51" s="302"/>
      <c r="AI51" s="302"/>
      <c r="AJ51" s="302"/>
      <c r="AK51" s="302"/>
      <c r="AL51" s="260"/>
      <c r="AM51" s="2183"/>
      <c r="AO51" s="435"/>
      <c r="AP51" s="435" t="str">
        <f t="shared" si="1"/>
        <v>Добавить вид теплоносителя (параметры теплоносителя)</v>
      </c>
      <c r="AQ51" s="435"/>
      <c r="AR51" s="435"/>
      <c r="AS51" s="1080">
        <v>11</v>
      </c>
    </row>
    <row r="52" spans="1:45" ht="11.45" customHeight="1">
      <c r="A52" s="1288" t="s">
        <v>181</v>
      </c>
      <c r="B52" s="1288" t="s">
        <v>182</v>
      </c>
      <c r="C52" s="1288" t="s">
        <v>183</v>
      </c>
      <c r="D52" s="1288" t="s">
        <v>184</v>
      </c>
      <c r="E52" s="2187"/>
      <c r="F52" s="2187"/>
      <c r="G52" s="2187"/>
      <c r="H52" s="2187"/>
      <c r="I52" s="2184"/>
      <c r="J52" s="1288"/>
      <c r="K52" s="1288"/>
      <c r="L52" s="1289"/>
      <c r="P52" s="2185"/>
      <c r="Q52" s="1256"/>
      <c r="R52" s="291"/>
      <c r="S52" s="1203"/>
      <c r="T52" s="300" t="s">
        <v>411</v>
      </c>
      <c r="U52" s="302"/>
      <c r="V52" s="302"/>
      <c r="W52" s="302"/>
      <c r="X52" s="302"/>
      <c r="Y52" s="302"/>
      <c r="Z52" s="302"/>
      <c r="AA52" s="302"/>
      <c r="AB52" s="302"/>
      <c r="AC52" s="301"/>
      <c r="AD52" s="302"/>
      <c r="AE52" s="302"/>
      <c r="AF52" s="302"/>
      <c r="AG52" s="302"/>
      <c r="AH52" s="302"/>
      <c r="AI52" s="302"/>
      <c r="AJ52" s="302"/>
      <c r="AK52" s="301"/>
      <c r="AL52" s="302"/>
      <c r="AM52" s="239"/>
      <c r="AO52" s="435"/>
      <c r="AP52" s="435" t="str">
        <f t="shared" si="1"/>
        <v>Добавить группу потребителей</v>
      </c>
      <c r="AQ52" s="435"/>
      <c r="AR52" s="435"/>
      <c r="AS52" s="1080">
        <v>11</v>
      </c>
    </row>
    <row r="53" spans="1:45" ht="0" hidden="1" customHeight="1">
      <c r="A53" s="1288" t="s">
        <v>181</v>
      </c>
      <c r="B53" s="1288" t="s">
        <v>182</v>
      </c>
      <c r="C53" s="1288" t="s">
        <v>183</v>
      </c>
      <c r="D53" s="1288" t="s">
        <v>184</v>
      </c>
      <c r="E53" s="2187"/>
      <c r="F53" s="2187"/>
      <c r="G53" s="2187"/>
      <c r="H53" s="2186"/>
      <c r="I53" s="1288"/>
      <c r="J53" s="1288"/>
      <c r="K53" s="1288"/>
      <c r="L53" s="1289"/>
      <c r="M53" s="1290"/>
      <c r="N53" s="1290"/>
      <c r="O53" s="472"/>
      <c r="P53" s="295"/>
      <c r="Q53" s="310"/>
      <c r="R53" s="290"/>
      <c r="S53" s="1311"/>
      <c r="T53" s="1312"/>
      <c r="U53" s="1313"/>
      <c r="V53" s="1313"/>
      <c r="W53" s="1313"/>
      <c r="X53" s="1313"/>
      <c r="Y53" s="1313"/>
      <c r="Z53" s="1313"/>
      <c r="AA53" s="1313"/>
      <c r="AB53" s="1313"/>
      <c r="AC53" s="1313"/>
      <c r="AD53" s="1313"/>
      <c r="AE53" s="1313"/>
      <c r="AF53" s="1313"/>
      <c r="AG53" s="1313"/>
      <c r="AH53" s="1313"/>
      <c r="AI53" s="1313"/>
      <c r="AJ53" s="1313"/>
      <c r="AK53" s="1313"/>
      <c r="AL53" s="1313"/>
      <c r="AM53" s="1314"/>
      <c r="AO53" s="435"/>
      <c r="AP53" s="435" t="str">
        <f t="shared" si="1"/>
        <v/>
      </c>
      <c r="AQ53" s="435"/>
      <c r="AR53" s="435"/>
      <c r="AS53" s="1080">
        <v>0</v>
      </c>
    </row>
    <row r="54" spans="1:45" s="1567" customFormat="1" ht="1.1499999999999999" customHeight="1">
      <c r="A54" s="1268" t="s">
        <v>181</v>
      </c>
      <c r="B54" s="1268" t="s">
        <v>182</v>
      </c>
      <c r="C54" s="1268" t="s">
        <v>183</v>
      </c>
      <c r="D54" s="1239"/>
      <c r="E54" s="2187"/>
      <c r="F54" s="2187"/>
      <c r="G54" s="2186"/>
      <c r="H54" s="1239"/>
      <c r="I54" s="1239"/>
      <c r="J54" s="1239"/>
      <c r="K54" s="1239"/>
      <c r="L54" s="1264"/>
      <c r="M54" s="1240"/>
      <c r="N54" s="1240"/>
      <c r="P54" s="1241"/>
      <c r="Q54" s="1242"/>
      <c r="R54" s="1241"/>
      <c r="S54" s="1247"/>
      <c r="T54" s="1250" t="s">
        <v>413</v>
      </c>
      <c r="U54" s="1249"/>
      <c r="V54" s="1249"/>
      <c r="W54" s="1249"/>
      <c r="X54" s="1249"/>
      <c r="Y54" s="1249"/>
      <c r="Z54" s="1249"/>
      <c r="AA54" s="1249"/>
      <c r="AB54" s="1249"/>
      <c r="AC54" s="1249"/>
      <c r="AD54" s="1249"/>
      <c r="AE54" s="1249"/>
      <c r="AF54" s="1249"/>
      <c r="AG54" s="1249"/>
      <c r="AH54" s="1249"/>
      <c r="AI54" s="1249"/>
      <c r="AJ54" s="1249"/>
      <c r="AK54" s="1249"/>
      <c r="AL54" s="1249"/>
      <c r="AM54" s="1249"/>
      <c r="AO54" s="718"/>
      <c r="AP54" s="718" t="str">
        <f t="shared" si="1"/>
        <v>Добавить источник для дифференциации</v>
      </c>
      <c r="AQ54" s="718"/>
      <c r="AR54" s="718"/>
      <c r="AS54" s="453">
        <v>1</v>
      </c>
    </row>
    <row r="55" spans="1:45" s="1567" customFormat="1" ht="1.1499999999999999" customHeight="1">
      <c r="A55" s="1268" t="s">
        <v>181</v>
      </c>
      <c r="B55" s="1268" t="s">
        <v>182</v>
      </c>
      <c r="C55" s="1239"/>
      <c r="D55" s="1239"/>
      <c r="E55" s="2187"/>
      <c r="F55" s="2186"/>
      <c r="G55" s="1239"/>
      <c r="H55" s="1239"/>
      <c r="I55" s="1239"/>
      <c r="J55" s="1239"/>
      <c r="K55" s="1239"/>
      <c r="L55" s="1264"/>
      <c r="M55" s="1246"/>
      <c r="N55" s="1246"/>
      <c r="P55" s="1241"/>
      <c r="Q55" s="1242"/>
      <c r="R55" s="1241"/>
      <c r="S55" s="1247"/>
      <c r="T55" s="1250" t="s">
        <v>414</v>
      </c>
      <c r="U55" s="1249"/>
      <c r="V55" s="1249"/>
      <c r="W55" s="1249"/>
      <c r="X55" s="1249"/>
      <c r="Y55" s="1249"/>
      <c r="Z55" s="1249"/>
      <c r="AA55" s="1249"/>
      <c r="AB55" s="1249"/>
      <c r="AC55" s="1249"/>
      <c r="AD55" s="1249"/>
      <c r="AE55" s="1249"/>
      <c r="AF55" s="1249"/>
      <c r="AG55" s="1249"/>
      <c r="AH55" s="1249"/>
      <c r="AI55" s="1249"/>
      <c r="AJ55" s="1249"/>
      <c r="AK55" s="1249"/>
      <c r="AL55" s="1249"/>
      <c r="AM55" s="1249"/>
      <c r="AO55" s="718"/>
      <c r="AP55" s="718" t="str">
        <f t="shared" si="1"/>
        <v>Добавить централизованную систему для дифференциации</v>
      </c>
      <c r="AQ55" s="718"/>
      <c r="AR55" s="718"/>
      <c r="AS55" s="453">
        <v>1</v>
      </c>
    </row>
    <row r="56" spans="1:45" s="1567" customFormat="1" ht="1.1499999999999999" customHeight="1">
      <c r="A56" s="1268" t="s">
        <v>181</v>
      </c>
      <c r="B56" s="1268"/>
      <c r="C56" s="1268"/>
      <c r="D56" s="1268"/>
      <c r="E56" s="2186"/>
      <c r="F56" s="1268"/>
      <c r="G56" s="1268"/>
      <c r="H56" s="1268"/>
      <c r="I56" s="1268"/>
      <c r="J56" s="1268"/>
      <c r="K56" s="1268"/>
      <c r="L56" s="1271"/>
      <c r="M56" s="1246"/>
      <c r="N56" s="1246"/>
      <c r="O56" s="453"/>
      <c r="P56" s="315"/>
      <c r="Q56" s="1269"/>
      <c r="R56" s="315"/>
      <c r="S56" s="1247"/>
      <c r="T56" s="1250" t="s">
        <v>415</v>
      </c>
      <c r="U56" s="1249"/>
      <c r="V56" s="1249"/>
      <c r="W56" s="1249"/>
      <c r="X56" s="1249"/>
      <c r="Y56" s="1249"/>
      <c r="Z56" s="1249"/>
      <c r="AA56" s="1249"/>
      <c r="AB56" s="1249"/>
      <c r="AC56" s="1249"/>
      <c r="AD56" s="1249"/>
      <c r="AE56" s="1249"/>
      <c r="AF56" s="1249"/>
      <c r="AG56" s="1249"/>
      <c r="AH56" s="1249"/>
      <c r="AI56" s="1249"/>
      <c r="AJ56" s="1249"/>
      <c r="AK56" s="1249"/>
      <c r="AL56" s="1249"/>
      <c r="AM56" s="1249"/>
      <c r="AO56" s="435"/>
      <c r="AP56" s="435" t="str">
        <f t="shared" si="1"/>
        <v>Добавить территорию для дифференциации</v>
      </c>
      <c r="AQ56" s="435"/>
      <c r="AR56" s="435"/>
      <c r="AS56" s="446">
        <v>1</v>
      </c>
    </row>
    <row r="57" spans="1:45" s="1567" customFormat="1" ht="1.1499999999999999" customHeight="1">
      <c r="A57" s="1239"/>
      <c r="B57" s="1239"/>
      <c r="C57" s="1239"/>
      <c r="D57" s="1239"/>
      <c r="E57" s="1268"/>
      <c r="F57" s="1239"/>
      <c r="G57" s="1239"/>
      <c r="H57" s="1239"/>
      <c r="I57" s="1239"/>
      <c r="J57" s="1239"/>
      <c r="K57" s="1239"/>
      <c r="L57" s="1264"/>
      <c r="M57" s="1246"/>
      <c r="N57" s="1246"/>
      <c r="P57" s="1241"/>
      <c r="Q57" s="1242"/>
      <c r="R57" s="1241"/>
      <c r="S57" s="1247"/>
      <c r="T57" s="1250" t="s">
        <v>447</v>
      </c>
      <c r="U57" s="1249"/>
      <c r="V57" s="1249"/>
      <c r="W57" s="1249"/>
      <c r="X57" s="1249"/>
      <c r="Y57" s="1249"/>
      <c r="Z57" s="1249"/>
      <c r="AA57" s="1249"/>
      <c r="AB57" s="1249"/>
      <c r="AC57" s="1249"/>
      <c r="AD57" s="1249"/>
      <c r="AE57" s="1249"/>
      <c r="AF57" s="1249"/>
      <c r="AG57" s="1249"/>
      <c r="AH57" s="1249"/>
      <c r="AI57" s="1249"/>
      <c r="AJ57" s="1249"/>
      <c r="AK57" s="1249"/>
      <c r="AL57" s="1249"/>
      <c r="AM57" s="1249"/>
      <c r="AO57" s="718"/>
      <c r="AP57" s="718" t="str">
        <f t="shared" si="1"/>
        <v>Добавить наименование тарифа</v>
      </c>
      <c r="AQ57" s="718"/>
      <c r="AR57" s="718"/>
      <c r="AS57" s="453">
        <v>1</v>
      </c>
    </row>
    <row r="58" spans="1:45" ht="11.45" customHeight="1">
      <c r="M58" s="1085"/>
      <c r="N58" s="1085"/>
      <c r="O58" s="472"/>
      <c r="P58" s="1080"/>
      <c r="Q58" s="1080"/>
      <c r="R58" s="1080"/>
      <c r="S58" s="1080"/>
      <c r="AN58" s="1080"/>
      <c r="AO58" s="1080"/>
      <c r="AP58" s="1080"/>
      <c r="AQ58" s="1080"/>
      <c r="AR58" s="1080"/>
      <c r="AS58" s="1080">
        <v>11</v>
      </c>
    </row>
    <row r="59" spans="1:45" ht="23.25" customHeight="1">
      <c r="O59" s="472"/>
      <c r="S59" s="1178"/>
      <c r="T59" s="2206"/>
      <c r="U59" s="2206"/>
      <c r="V59" s="2206"/>
      <c r="W59" s="2206"/>
      <c r="X59" s="2206"/>
      <c r="Y59" s="2206"/>
      <c r="Z59" s="2206"/>
      <c r="AA59" s="2206"/>
      <c r="AB59" s="2206"/>
      <c r="AC59" s="2206"/>
      <c r="AD59" s="2206"/>
      <c r="AE59" s="2206"/>
      <c r="AF59" s="2206"/>
      <c r="AG59" s="2206"/>
      <c r="AH59" s="2206"/>
      <c r="AI59" s="2206"/>
      <c r="AJ59" s="2206"/>
      <c r="AK59" s="2206"/>
      <c r="AL59" s="2206"/>
      <c r="AM59" s="2206"/>
      <c r="AS59" s="1080">
        <v>22</v>
      </c>
    </row>
    <row r="60" spans="1:45" ht="30.4" customHeight="1">
      <c r="O60" s="472"/>
      <c r="T60" s="2206"/>
      <c r="U60" s="2206"/>
      <c r="V60" s="2206"/>
      <c r="W60" s="2206"/>
      <c r="X60" s="2206"/>
      <c r="Y60" s="2206"/>
      <c r="Z60" s="2206"/>
      <c r="AA60" s="2206"/>
      <c r="AB60" s="2206"/>
      <c r="AC60" s="2206"/>
      <c r="AD60" s="2206"/>
      <c r="AE60" s="2206"/>
      <c r="AF60" s="2206"/>
      <c r="AG60" s="2206"/>
      <c r="AH60" s="2206"/>
      <c r="AI60" s="2206"/>
      <c r="AJ60" s="2206"/>
      <c r="AK60" s="2206"/>
      <c r="AL60" s="2206"/>
      <c r="AM60" s="2206"/>
      <c r="AS60" s="1080">
        <v>29</v>
      </c>
    </row>
    <row r="61" spans="1:45" ht="42" customHeight="1">
      <c r="O61" s="472"/>
      <c r="T61" s="2206"/>
      <c r="U61" s="2206"/>
      <c r="V61" s="2206"/>
      <c r="W61" s="2206"/>
      <c r="X61" s="2206"/>
      <c r="Y61" s="2206"/>
      <c r="Z61" s="2206"/>
      <c r="AA61" s="2206"/>
      <c r="AB61" s="2206"/>
      <c r="AC61" s="2206"/>
      <c r="AD61" s="2206"/>
      <c r="AE61" s="2206"/>
      <c r="AF61" s="2206"/>
      <c r="AG61" s="2206"/>
      <c r="AH61" s="2206"/>
      <c r="AI61" s="2206"/>
      <c r="AJ61" s="2206"/>
      <c r="AK61" s="2206"/>
      <c r="AL61" s="2206"/>
      <c r="AM61" s="2206"/>
      <c r="AS61" s="1080">
        <v>40</v>
      </c>
    </row>
    <row r="62" spans="1:45" ht="14.65" customHeight="1">
      <c r="O62" s="472"/>
      <c r="AS62" s="1080">
        <v>14</v>
      </c>
    </row>
    <row r="63" spans="1:45" ht="21" customHeight="1">
      <c r="O63" s="472"/>
      <c r="S63" s="1178"/>
      <c r="T63" s="2113"/>
      <c r="U63" s="2206"/>
      <c r="V63" s="2206"/>
      <c r="W63" s="2206"/>
      <c r="X63" s="2206"/>
      <c r="Y63" s="2206"/>
      <c r="Z63" s="2206"/>
      <c r="AA63" s="2206"/>
      <c r="AB63" s="2206"/>
      <c r="AC63" s="2206"/>
      <c r="AD63" s="2206"/>
      <c r="AE63" s="2206"/>
      <c r="AF63" s="2206"/>
      <c r="AG63" s="2206"/>
      <c r="AH63" s="2206"/>
      <c r="AI63" s="2206"/>
      <c r="AJ63" s="2206"/>
      <c r="AK63" s="2206"/>
      <c r="AL63" s="2206"/>
      <c r="AM63" s="2206"/>
      <c r="AS63" s="1080">
        <v>20</v>
      </c>
    </row>
    <row r="64" spans="1:45" ht="29.25" customHeight="1">
      <c r="O64" s="472"/>
      <c r="T64" s="2206"/>
      <c r="U64" s="2206"/>
      <c r="V64" s="2206"/>
      <c r="W64" s="2206"/>
      <c r="X64" s="2206"/>
      <c r="Y64" s="2206"/>
      <c r="Z64" s="2206"/>
      <c r="AA64" s="2206"/>
      <c r="AB64" s="2206"/>
      <c r="AC64" s="2206"/>
      <c r="AD64" s="2206"/>
      <c r="AE64" s="2206"/>
      <c r="AF64" s="2206"/>
      <c r="AG64" s="2206"/>
      <c r="AH64" s="2206"/>
      <c r="AI64" s="2206"/>
      <c r="AJ64" s="2206"/>
      <c r="AK64" s="2206"/>
      <c r="AL64" s="2206"/>
      <c r="AM64" s="2206"/>
      <c r="AS64" s="1080">
        <v>28</v>
      </c>
    </row>
    <row r="65" spans="1:45" ht="35.65" customHeight="1">
      <c r="T65" s="2206"/>
      <c r="U65" s="2206"/>
      <c r="V65" s="2206"/>
      <c r="W65" s="2206"/>
      <c r="X65" s="2206"/>
      <c r="Y65" s="2206"/>
      <c r="Z65" s="2206"/>
      <c r="AA65" s="2206"/>
      <c r="AB65" s="2206"/>
      <c r="AC65" s="2206"/>
      <c r="AD65" s="2206"/>
      <c r="AE65" s="2206"/>
      <c r="AF65" s="2206"/>
      <c r="AG65" s="2206"/>
      <c r="AH65" s="2206"/>
      <c r="AI65" s="2206"/>
      <c r="AJ65" s="2206"/>
      <c r="AK65" s="2206"/>
      <c r="AL65" s="2206"/>
      <c r="AM65" s="2206"/>
      <c r="AS65" s="1080">
        <v>34</v>
      </c>
    </row>
    <row r="66" spans="1:45" ht="22.5" hidden="1" customHeight="1">
      <c r="A66" s="1085" t="s">
        <v>82</v>
      </c>
      <c r="B66" s="1085">
        <v>0</v>
      </c>
      <c r="C66" s="1085">
        <v>0</v>
      </c>
      <c r="D66" s="1085">
        <v>0</v>
      </c>
      <c r="E66" s="1085">
        <v>0</v>
      </c>
      <c r="F66" s="1085">
        <v>0</v>
      </c>
      <c r="G66" s="1085">
        <v>0</v>
      </c>
      <c r="H66" s="1085">
        <v>0</v>
      </c>
      <c r="I66" s="1085">
        <v>0</v>
      </c>
      <c r="J66" s="1085">
        <v>0</v>
      </c>
      <c r="K66" s="1085">
        <v>0</v>
      </c>
      <c r="L66" s="1254">
        <v>0</v>
      </c>
      <c r="M66" s="1287">
        <v>0</v>
      </c>
      <c r="N66" s="1287">
        <v>0</v>
      </c>
      <c r="O66" s="1287">
        <v>0</v>
      </c>
      <c r="P66" s="1253">
        <v>0</v>
      </c>
      <c r="Q66" s="280">
        <v>3</v>
      </c>
      <c r="R66" s="280">
        <v>3</v>
      </c>
      <c r="S66" s="516">
        <v>12</v>
      </c>
      <c r="T66" s="1080">
        <v>31</v>
      </c>
      <c r="U66" s="1080">
        <v>0</v>
      </c>
      <c r="V66" s="1080">
        <v>0</v>
      </c>
      <c r="W66" s="1080">
        <v>0</v>
      </c>
      <c r="X66" s="1080">
        <v>0</v>
      </c>
      <c r="Y66" s="1080">
        <v>0</v>
      </c>
      <c r="Z66" s="1080">
        <v>0</v>
      </c>
      <c r="AA66" s="1080">
        <v>0</v>
      </c>
      <c r="AB66" s="1080">
        <v>0</v>
      </c>
      <c r="AC66" s="1080">
        <v>0</v>
      </c>
      <c r="AD66" s="1080">
        <v>24</v>
      </c>
      <c r="AE66" s="1080">
        <v>0</v>
      </c>
      <c r="AF66" s="1080">
        <v>24</v>
      </c>
      <c r="AG66" s="1080">
        <v>24</v>
      </c>
      <c r="AH66" s="1080">
        <v>11</v>
      </c>
      <c r="AI66" s="1080">
        <v>3</v>
      </c>
      <c r="AJ66" s="1080">
        <v>11</v>
      </c>
      <c r="AK66" s="1080">
        <v>0</v>
      </c>
      <c r="AL66" s="1080">
        <v>4</v>
      </c>
      <c r="AM66" s="1080">
        <v>115</v>
      </c>
      <c r="AN66" s="446">
        <v>10</v>
      </c>
      <c r="AO66" s="446">
        <v>10</v>
      </c>
      <c r="AP66" s="446">
        <v>10</v>
      </c>
      <c r="AQ66" s="446">
        <v>10</v>
      </c>
      <c r="AR66" s="446">
        <v>10</v>
      </c>
      <c r="AS66" s="1080">
        <v>23</v>
      </c>
    </row>
  </sheetData>
  <sheetProtection formatColumns="0" formatRows="0" insertRows="0" deleteColumns="0" deleteRows="0" sort="0" autoFilter="0"/>
  <mergeCells count="113">
    <mergeCell ref="T63:AM63"/>
    <mergeCell ref="T64:AM64"/>
    <mergeCell ref="T65:AM65"/>
    <mergeCell ref="AM49:AM51"/>
    <mergeCell ref="T59:AM59"/>
    <mergeCell ref="T60:AM60"/>
    <mergeCell ref="T61:AM61"/>
    <mergeCell ref="J48:J51"/>
    <mergeCell ref="Q48:Q51"/>
    <mergeCell ref="V48:AC48"/>
    <mergeCell ref="AD48:AL48"/>
    <mergeCell ref="K49:K50"/>
    <mergeCell ref="Z49:Z50"/>
    <mergeCell ref="AA49:AA50"/>
    <mergeCell ref="AB49:AB50"/>
    <mergeCell ref="AC49:AC50"/>
    <mergeCell ref="AH49:AH50"/>
    <mergeCell ref="AI49:AI50"/>
    <mergeCell ref="AJ49:AJ50"/>
    <mergeCell ref="AK49:AK50"/>
    <mergeCell ref="E43:E56"/>
    <mergeCell ref="V43:AC43"/>
    <mergeCell ref="AD43:AL43"/>
    <mergeCell ref="F44:F55"/>
    <mergeCell ref="V44:AC44"/>
    <mergeCell ref="AD44:AL44"/>
    <mergeCell ref="G45:G54"/>
    <mergeCell ref="V45:AC45"/>
    <mergeCell ref="AD45:AL45"/>
    <mergeCell ref="H46:H53"/>
    <mergeCell ref="V46:AC46"/>
    <mergeCell ref="AD46:AL46"/>
    <mergeCell ref="I47:I52"/>
    <mergeCell ref="P47:P52"/>
    <mergeCell ref="V47:AC47"/>
    <mergeCell ref="AD47:AL47"/>
    <mergeCell ref="AH40:AJ40"/>
    <mergeCell ref="AA41:AB41"/>
    <mergeCell ref="AI41:AJ41"/>
    <mergeCell ref="AA42:AB42"/>
    <mergeCell ref="AI42:AJ42"/>
    <mergeCell ref="S38:AL38"/>
    <mergeCell ref="AM38:AM41"/>
    <mergeCell ref="S39:S41"/>
    <mergeCell ref="T39:T41"/>
    <mergeCell ref="V39:AB39"/>
    <mergeCell ref="AC39:AC41"/>
    <mergeCell ref="AD39:AJ39"/>
    <mergeCell ref="AK39:AK41"/>
    <mergeCell ref="AL39:AL41"/>
    <mergeCell ref="V40:V41"/>
    <mergeCell ref="W40:W41"/>
    <mergeCell ref="X40:Y40"/>
    <mergeCell ref="Z40:AB40"/>
    <mergeCell ref="AD40:AD41"/>
    <mergeCell ref="AE40:AE41"/>
    <mergeCell ref="AF40:AG40"/>
    <mergeCell ref="S32:T32"/>
    <mergeCell ref="V32:AB32"/>
    <mergeCell ref="AD32:AJ32"/>
    <mergeCell ref="V37:AC37"/>
    <mergeCell ref="AD37:AK37"/>
    <mergeCell ref="S34:T34"/>
    <mergeCell ref="V34:AB34"/>
    <mergeCell ref="AD34:AJ34"/>
    <mergeCell ref="S35:T35"/>
    <mergeCell ref="V35:AB35"/>
    <mergeCell ref="AD35:AJ35"/>
    <mergeCell ref="S30:T30"/>
    <mergeCell ref="V30:AB30"/>
    <mergeCell ref="AD30:AJ30"/>
    <mergeCell ref="S31:T31"/>
    <mergeCell ref="V31:AB31"/>
    <mergeCell ref="AD31:AJ31"/>
    <mergeCell ref="S26:AJ26"/>
    <mergeCell ref="S27:AJ27"/>
    <mergeCell ref="S29:T29"/>
    <mergeCell ref="V29:AB29"/>
    <mergeCell ref="AD29:AJ29"/>
    <mergeCell ref="AM8:AM10"/>
    <mergeCell ref="AH17:AH18"/>
    <mergeCell ref="AI17:AI18"/>
    <mergeCell ref="AJ17:AJ18"/>
    <mergeCell ref="AK17:AK18"/>
    <mergeCell ref="J7:J10"/>
    <mergeCell ref="Q7:Q10"/>
    <mergeCell ref="V7:AC7"/>
    <mergeCell ref="AD7:AL7"/>
    <mergeCell ref="K8:K9"/>
    <mergeCell ref="Z8:Z9"/>
    <mergeCell ref="AA8:AA9"/>
    <mergeCell ref="AB8:AB9"/>
    <mergeCell ref="AC8:AC9"/>
    <mergeCell ref="AH8:AH9"/>
    <mergeCell ref="AI8:AI9"/>
    <mergeCell ref="AJ8:AJ9"/>
    <mergeCell ref="AK8:AK9"/>
    <mergeCell ref="E2:E15"/>
    <mergeCell ref="V2:AC2"/>
    <mergeCell ref="AD2:AL2"/>
    <mergeCell ref="F3:F14"/>
    <mergeCell ref="V3:AC3"/>
    <mergeCell ref="AD3:AL3"/>
    <mergeCell ref="G4:G13"/>
    <mergeCell ref="V4:AC4"/>
    <mergeCell ref="AD4:AL4"/>
    <mergeCell ref="H5:H12"/>
    <mergeCell ref="V5:AC5"/>
    <mergeCell ref="AD5:AL5"/>
    <mergeCell ref="I6:I11"/>
    <mergeCell ref="P6:P11"/>
    <mergeCell ref="V6:AC6"/>
    <mergeCell ref="AD6:AL6"/>
  </mergeCells>
  <dataValidations count="8">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Y50 AG18 AG50"/>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49 AK524337 AK8 AK589873 AK655409 AK17 AK720945 AK786481 AK852017 AK917553 AK983089 AK65585 AK131121 AK458801 AK196657 AI49 AK262193 AI8 AC8 AA8 AI17 AK327729 AA49 AC49 AK393265"/>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dataValidation type="list" allowBlank="1" showInputMessage="1" showErrorMessage="1" errorTitle="Ошибка" error="Выберите значение из списка" sqref="T65585 T131121 T196657 T262193 T327729 T393265 T458801 T524337 T589873 T655409 T720945 T786481 T852017 T917553 T983089">
      <formula1>kind_of_heat_transfer</formula1>
    </dataValidation>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formula1>900</formula1>
    </dataValidation>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formula1>kind_of_scheme_in</formula1>
    </dataValidation>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formula1>kind_of_cons</formula1>
    </dataValidation>
    <dataValidation allowBlank="1" sqref="S131123:AM131129 S196659:AM196665 S262195:AM262201 S327731:AM327737 S393267:AM393273 S458803:AM458809 S524339:AM524345 S589875:AM589881 S655411:AM655417 S720947:AM720953 S786483:AM786489 S852019:AM852025 S917555:AM917561 S983091:AM983097 S65587:AM65593"/>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6" tint="0.39997558519241921"/>
  </sheetPr>
  <dimension ref="A1:AS66"/>
  <sheetViews>
    <sheetView showGridLines="0" zoomScale="90" workbookViewId="0">
      <pane xSplit="29" ySplit="42" topLeftCell="AD43" activePane="bottomRight" state="frozen"/>
      <selection pane="topRight" activeCell="AD1" sqref="AD1"/>
      <selection pane="bottomLeft" activeCell="A43" sqref="A43"/>
      <selection pane="bottomRight"/>
    </sheetView>
  </sheetViews>
  <sheetFormatPr defaultColWidth="10.5703125" defaultRowHeight="14.25" customHeight="1"/>
  <cols>
    <col min="1" max="1" width="10.5703125" style="1291" hidden="1"/>
    <col min="2" max="2" width="11" style="1291" hidden="1" customWidth="1"/>
    <col min="3" max="3" width="10.5703125" style="1291" hidden="1"/>
    <col min="4" max="4" width="11.85546875" style="1291" hidden="1" customWidth="1"/>
    <col min="5" max="5" width="10" style="1291" hidden="1" customWidth="1"/>
    <col min="6" max="6" width="8.7109375" style="1291" hidden="1" customWidth="1"/>
    <col min="7" max="7" width="7.5703125" style="1291" hidden="1" customWidth="1"/>
    <col min="8" max="8" width="11.42578125" style="1291" hidden="1" customWidth="1"/>
    <col min="9" max="9" width="12" style="1291" hidden="1" customWidth="1"/>
    <col min="10" max="10" width="9.85546875" style="1291" hidden="1" customWidth="1"/>
    <col min="11" max="11" width="11.42578125" style="1291" hidden="1" customWidth="1"/>
    <col min="12" max="12" width="19.140625" style="2002" hidden="1" customWidth="1"/>
    <col min="13" max="14" width="12.28515625" style="1701" hidden="1" customWidth="1"/>
    <col min="15" max="15" width="23.42578125" style="1701" hidden="1" customWidth="1"/>
    <col min="16" max="16" width="3.7109375" style="2000" hidden="1" customWidth="1"/>
    <col min="17" max="18" width="3" style="280" customWidth="1"/>
    <col min="19" max="19" width="12" style="2001" customWidth="1"/>
    <col min="20" max="20" width="31" style="1560" customWidth="1"/>
    <col min="21" max="21" width="0.140625" style="1560" customWidth="1"/>
    <col min="22" max="22" width="24.7109375" style="1560" hidden="1" customWidth="1"/>
    <col min="23" max="23" width="0.140625" style="1560" hidden="1" customWidth="1"/>
    <col min="24" max="25" width="24.7109375" style="1560" hidden="1" customWidth="1"/>
    <col min="26" max="26" width="11.7109375" style="1560" hidden="1" customWidth="1"/>
    <col min="27" max="27" width="3.7109375" style="1560" hidden="1" customWidth="1"/>
    <col min="28" max="28" width="11.7109375" style="1560" hidden="1" customWidth="1"/>
    <col min="29" max="29" width="8.5703125" style="1560" hidden="1" customWidth="1"/>
    <col min="30" max="30" width="24.7109375" style="1560" customWidth="1"/>
    <col min="31" max="31" width="0.140625" style="1560" customWidth="1"/>
    <col min="32" max="33" width="24" style="1560" customWidth="1"/>
    <col min="34" max="34" width="11" style="1560" customWidth="1"/>
    <col min="35" max="35" width="3.7109375" style="1560" customWidth="1"/>
    <col min="36" max="36" width="11" style="1560" customWidth="1"/>
    <col min="37" max="37" width="8.5703125" style="1560" hidden="1" customWidth="1"/>
    <col min="38" max="38" width="4" style="1560" customWidth="1"/>
    <col min="39" max="39" width="115" style="1560" customWidth="1"/>
    <col min="40" max="44" width="10" style="1567" customWidth="1"/>
    <col min="45" max="45" width="10.5703125" style="1560" hidden="1"/>
  </cols>
  <sheetData>
    <row r="1" spans="1:45" ht="22.5" hidden="1" customHeight="1">
      <c r="Y1" s="263"/>
      <c r="Z1" s="263"/>
      <c r="AG1" s="263"/>
      <c r="AH1" s="263"/>
      <c r="AS1" s="1080" t="s">
        <v>14</v>
      </c>
    </row>
    <row r="2" spans="1:45" ht="21" hidden="1" customHeight="1">
      <c r="A2" s="1288"/>
      <c r="B2" s="1288"/>
      <c r="C2" s="1288"/>
      <c r="D2" s="1288"/>
      <c r="E2" s="2186">
        <v>1</v>
      </c>
      <c r="F2" s="1288"/>
      <c r="G2" s="1288"/>
      <c r="H2" s="1288"/>
      <c r="I2" s="1288"/>
      <c r="J2" s="1288"/>
      <c r="K2" s="1288"/>
      <c r="L2" s="1289"/>
      <c r="M2" s="1290"/>
      <c r="N2" s="1290"/>
      <c r="O2" s="1290"/>
      <c r="P2" s="296"/>
      <c r="Q2" s="295"/>
      <c r="R2" s="290"/>
      <c r="S2" s="1261" t="e">
        <f>INDEX(PT_DIFFERENTIATION_NUM_NTAR,MATCH(A2,PT_DIFFERENTIATION_NTAR_ID,0))</f>
        <v>#N/A</v>
      </c>
      <c r="T2" s="234" t="s">
        <v>124</v>
      </c>
      <c r="U2" s="236"/>
      <c r="V2" s="2172"/>
      <c r="W2" s="2173"/>
      <c r="X2" s="2173"/>
      <c r="Y2" s="2173"/>
      <c r="Z2" s="2173"/>
      <c r="AA2" s="2173"/>
      <c r="AB2" s="2173"/>
      <c r="AC2" s="2174"/>
      <c r="AD2" s="2172" t="e">
        <f>INDEX(PT_DIFFERENTIATION_NTAR,MATCH(A2,PT_DIFFERENTIATION_NTAR_ID,0))</f>
        <v>#N/A</v>
      </c>
      <c r="AE2" s="2173"/>
      <c r="AF2" s="2173"/>
      <c r="AG2" s="2173"/>
      <c r="AH2" s="2173"/>
      <c r="AI2" s="2173"/>
      <c r="AJ2" s="2173"/>
      <c r="AK2" s="2173"/>
      <c r="AL2" s="2174"/>
      <c r="AM2" s="1183" t="s">
        <v>395</v>
      </c>
      <c r="AO2" s="435"/>
      <c r="AP2" s="435" t="str">
        <f t="shared" ref="AP2:AP15" si="0">IF(T2="","",T2)</f>
        <v>Наименование тарифа</v>
      </c>
      <c r="AQ2" s="435"/>
      <c r="AR2" s="435"/>
      <c r="AS2" s="1080">
        <v>0</v>
      </c>
    </row>
    <row r="3" spans="1:45" ht="21" hidden="1" customHeight="1">
      <c r="A3" s="1288"/>
      <c r="B3" s="1288"/>
      <c r="C3" s="1288"/>
      <c r="D3" s="1288"/>
      <c r="E3" s="2187"/>
      <c r="F3" s="2186">
        <v>1</v>
      </c>
      <c r="G3" s="1288"/>
      <c r="H3" s="1288"/>
      <c r="I3" s="1288"/>
      <c r="J3" s="1288"/>
      <c r="K3" s="1288"/>
      <c r="L3" s="1289"/>
      <c r="M3" s="1290"/>
      <c r="N3" s="1290"/>
      <c r="O3" s="1290"/>
      <c r="P3" s="1257"/>
      <c r="Q3" s="287"/>
      <c r="R3" s="288"/>
      <c r="S3" s="1261" t="e">
        <f>INDEX(PT_DIFFERENTIATION_NUM_TER,MATCH(B3,PT_DIFFERENTIATION_TER_ID,0))</f>
        <v>#N/A</v>
      </c>
      <c r="T3" s="244" t="s">
        <v>396</v>
      </c>
      <c r="U3" s="236"/>
      <c r="V3" s="2172"/>
      <c r="W3" s="2173"/>
      <c r="X3" s="2173"/>
      <c r="Y3" s="2173"/>
      <c r="Z3" s="2173"/>
      <c r="AA3" s="2173"/>
      <c r="AB3" s="2173"/>
      <c r="AC3" s="2174"/>
      <c r="AD3" s="2172" t="e">
        <f>INDEX(PT_DIFFERENTIATION_TER,MATCH(B3,PT_DIFFERENTIATION_TER_ID,0))</f>
        <v>#N/A</v>
      </c>
      <c r="AE3" s="2173"/>
      <c r="AF3" s="2173"/>
      <c r="AG3" s="2173"/>
      <c r="AH3" s="2173"/>
      <c r="AI3" s="2173"/>
      <c r="AJ3" s="2173"/>
      <c r="AK3" s="2173"/>
      <c r="AL3" s="2174"/>
      <c r="AM3" s="1183" t="s">
        <v>397</v>
      </c>
      <c r="AO3" s="435"/>
      <c r="AP3" s="435" t="str">
        <f t="shared" si="0"/>
        <v>Территория действия тарифа</v>
      </c>
      <c r="AQ3" s="435"/>
      <c r="AR3" s="435"/>
      <c r="AS3" s="1080">
        <v>0</v>
      </c>
    </row>
    <row r="4" spans="1:45" ht="23.25" hidden="1" customHeight="1">
      <c r="A4" s="1288"/>
      <c r="B4" s="1288"/>
      <c r="C4" s="1288"/>
      <c r="D4" s="1288"/>
      <c r="E4" s="2187"/>
      <c r="F4" s="2187"/>
      <c r="G4" s="2186">
        <v>1</v>
      </c>
      <c r="H4" s="1288"/>
      <c r="I4" s="1288"/>
      <c r="J4" s="1288"/>
      <c r="K4" s="1288"/>
      <c r="L4" s="1289"/>
      <c r="M4" s="1290"/>
      <c r="N4" s="1290"/>
      <c r="O4" s="1290"/>
      <c r="P4" s="289"/>
      <c r="Q4" s="287"/>
      <c r="R4" s="288"/>
      <c r="S4" s="1261" t="e">
        <f>INDEX(PT_DIFFERENTIATION_NUM_CS,MATCH(C4,PT_DIFFERENTIATION_CS_ID,0))</f>
        <v>#N/A</v>
      </c>
      <c r="T4" s="245" t="s">
        <v>398</v>
      </c>
      <c r="U4" s="236"/>
      <c r="V4" s="2172"/>
      <c r="W4" s="2173"/>
      <c r="X4" s="2173"/>
      <c r="Y4" s="2173"/>
      <c r="Z4" s="2173"/>
      <c r="AA4" s="2173"/>
      <c r="AB4" s="2173"/>
      <c r="AC4" s="2174"/>
      <c r="AD4" s="2172" t="e">
        <f>INDEX(PT_DIFFERENTIATION_CS,MATCH(C4,PT_DIFFERENTIATION_CS_ID,0))</f>
        <v>#N/A</v>
      </c>
      <c r="AE4" s="2173"/>
      <c r="AF4" s="2173"/>
      <c r="AG4" s="2173"/>
      <c r="AH4" s="2173"/>
      <c r="AI4" s="2173"/>
      <c r="AJ4" s="2173"/>
      <c r="AK4" s="2173"/>
      <c r="AL4" s="2174"/>
      <c r="AM4" s="1183" t="s">
        <v>399</v>
      </c>
      <c r="AO4" s="435"/>
      <c r="AP4" s="435" t="str">
        <f t="shared" si="0"/>
        <v xml:space="preserve">Наименование системы теплоснабжения </v>
      </c>
      <c r="AQ4" s="435"/>
      <c r="AR4" s="435"/>
      <c r="AS4" s="1080">
        <v>0</v>
      </c>
    </row>
    <row r="5" spans="1:45" ht="21" hidden="1" customHeight="1">
      <c r="A5" s="1288"/>
      <c r="B5" s="1288"/>
      <c r="C5" s="1288"/>
      <c r="D5" s="1288"/>
      <c r="E5" s="2187"/>
      <c r="F5" s="2187"/>
      <c r="G5" s="2187"/>
      <c r="H5" s="2186">
        <v>1</v>
      </c>
      <c r="I5" s="1288"/>
      <c r="J5" s="1288"/>
      <c r="K5" s="1288"/>
      <c r="L5" s="1289"/>
      <c r="M5" s="1290"/>
      <c r="N5" s="1290"/>
      <c r="O5" s="1290"/>
      <c r="P5" s="289"/>
      <c r="Q5" s="287"/>
      <c r="R5" s="288"/>
      <c r="S5" s="1261" t="e">
        <f>INDEX(PT_DIFFERENTIATION_NUM_IST_TE,MATCH(D5,PT_DIFFERENTIATION_IST_TE_ID,0))</f>
        <v>#N/A</v>
      </c>
      <c r="T5" s="246" t="s">
        <v>400</v>
      </c>
      <c r="U5" s="236"/>
      <c r="V5" s="2172"/>
      <c r="W5" s="2173"/>
      <c r="X5" s="2173"/>
      <c r="Y5" s="2173"/>
      <c r="Z5" s="2173"/>
      <c r="AA5" s="2173"/>
      <c r="AB5" s="2173"/>
      <c r="AC5" s="2174"/>
      <c r="AD5" s="2172" t="e">
        <f>INDEX(PT_DIFFERENTIATION_IST_TE,MATCH(D5,PT_DIFFERENTIATION_IST_TE_ID,0))</f>
        <v>#N/A</v>
      </c>
      <c r="AE5" s="2173"/>
      <c r="AF5" s="2173"/>
      <c r="AG5" s="2173"/>
      <c r="AH5" s="2173"/>
      <c r="AI5" s="2173"/>
      <c r="AJ5" s="2173"/>
      <c r="AK5" s="2173"/>
      <c r="AL5" s="2174"/>
      <c r="AM5" s="1183" t="s">
        <v>401</v>
      </c>
      <c r="AO5" s="435"/>
      <c r="AP5" s="435" t="str">
        <f t="shared" si="0"/>
        <v xml:space="preserve">Источник тепловой энергии  </v>
      </c>
      <c r="AQ5" s="435"/>
      <c r="AR5" s="435"/>
      <c r="AS5" s="1080">
        <v>0</v>
      </c>
    </row>
    <row r="6" spans="1:45" ht="14.25" hidden="1" customHeight="1">
      <c r="A6" s="1288"/>
      <c r="B6" s="1288"/>
      <c r="C6" s="1288"/>
      <c r="D6" s="1288"/>
      <c r="E6" s="2187"/>
      <c r="F6" s="2187"/>
      <c r="G6" s="2187"/>
      <c r="H6" s="2187"/>
      <c r="I6" s="2184" t="e">
        <f>S5&amp;".1"</f>
        <v>#N/A</v>
      </c>
      <c r="J6" s="1288"/>
      <c r="K6" s="1288"/>
      <c r="L6" s="1289" t="s">
        <v>402</v>
      </c>
      <c r="M6" s="472"/>
      <c r="P6" s="2185">
        <v>1</v>
      </c>
      <c r="Q6" s="1256"/>
      <c r="R6" s="291"/>
      <c r="S6" s="970"/>
      <c r="T6" s="1308"/>
      <c r="U6" s="1309"/>
      <c r="V6" s="2215"/>
      <c r="W6" s="2216"/>
      <c r="X6" s="2216"/>
      <c r="Y6" s="2216"/>
      <c r="Z6" s="2216"/>
      <c r="AA6" s="2216"/>
      <c r="AB6" s="2216"/>
      <c r="AC6" s="2217"/>
      <c r="AD6" s="2215"/>
      <c r="AE6" s="2216"/>
      <c r="AF6" s="2216"/>
      <c r="AG6" s="2216"/>
      <c r="AH6" s="2216"/>
      <c r="AI6" s="2216"/>
      <c r="AJ6" s="2216"/>
      <c r="AK6" s="2216"/>
      <c r="AL6" s="2217"/>
      <c r="AM6" s="1310"/>
      <c r="AO6" s="435"/>
      <c r="AP6" s="435" t="str">
        <f t="shared" si="0"/>
        <v/>
      </c>
      <c r="AQ6" s="435"/>
      <c r="AR6" s="435"/>
      <c r="AS6" s="1080">
        <v>0</v>
      </c>
    </row>
    <row r="7" spans="1:45" ht="21" hidden="1" customHeight="1">
      <c r="A7" s="1288"/>
      <c r="B7" s="1288"/>
      <c r="C7" s="1288"/>
      <c r="D7" s="1288"/>
      <c r="E7" s="2187"/>
      <c r="F7" s="2187"/>
      <c r="G7" s="2187"/>
      <c r="H7" s="2187"/>
      <c r="I7" s="2207"/>
      <c r="J7" s="2184" t="e">
        <f>I6&amp;".1"</f>
        <v>#N/A</v>
      </c>
      <c r="K7" s="1288"/>
      <c r="L7" s="1289" t="s">
        <v>405</v>
      </c>
      <c r="M7" s="472"/>
      <c r="N7" s="1291"/>
      <c r="P7" s="2185"/>
      <c r="Q7" s="2185">
        <v>1</v>
      </c>
      <c r="R7" s="292"/>
      <c r="S7" s="1261" t="e">
        <f>$J7</f>
        <v>#N/A</v>
      </c>
      <c r="T7" s="222" t="s">
        <v>406</v>
      </c>
      <c r="U7" s="236"/>
      <c r="V7" s="2175"/>
      <c r="W7" s="2176"/>
      <c r="X7" s="2176"/>
      <c r="Y7" s="2176"/>
      <c r="Z7" s="2176"/>
      <c r="AA7" s="2176"/>
      <c r="AB7" s="2176"/>
      <c r="AC7" s="2177"/>
      <c r="AD7" s="2175"/>
      <c r="AE7" s="2176"/>
      <c r="AF7" s="2176"/>
      <c r="AG7" s="2176"/>
      <c r="AH7" s="2176"/>
      <c r="AI7" s="2176"/>
      <c r="AJ7" s="2176"/>
      <c r="AK7" s="2176"/>
      <c r="AL7" s="2177"/>
      <c r="AM7" s="1183" t="s">
        <v>407</v>
      </c>
      <c r="AO7" s="435"/>
      <c r="AP7" s="435" t="str">
        <f t="shared" si="0"/>
        <v>Группа потребителей</v>
      </c>
      <c r="AQ7" s="435"/>
      <c r="AR7" s="435"/>
      <c r="AS7" s="1080">
        <v>0</v>
      </c>
    </row>
    <row r="8" spans="1:45" ht="21" hidden="1" customHeight="1">
      <c r="A8" s="1288"/>
      <c r="B8" s="1288"/>
      <c r="C8" s="1288"/>
      <c r="D8" s="1288"/>
      <c r="E8" s="2187"/>
      <c r="F8" s="2187"/>
      <c r="G8" s="2187"/>
      <c r="H8" s="2187"/>
      <c r="I8" s="2207"/>
      <c r="J8" s="2207"/>
      <c r="K8" s="2184" t="e">
        <f>J7&amp;".1"</f>
        <v>#N/A</v>
      </c>
      <c r="L8" s="1289" t="s">
        <v>408</v>
      </c>
      <c r="M8" s="472"/>
      <c r="N8" s="1291"/>
      <c r="O8" s="1291"/>
      <c r="P8" s="2185"/>
      <c r="Q8" s="2185"/>
      <c r="R8" s="292">
        <v>1</v>
      </c>
      <c r="S8" s="1261" t="e">
        <f>$K8</f>
        <v>#N/A</v>
      </c>
      <c r="T8" s="1272"/>
      <c r="U8" s="236"/>
      <c r="V8" s="686"/>
      <c r="W8" s="261"/>
      <c r="X8" s="686"/>
      <c r="Y8" s="1182"/>
      <c r="Z8" s="2189"/>
      <c r="AA8" s="2047" t="s">
        <v>66</v>
      </c>
      <c r="AB8" s="2189"/>
      <c r="AC8" s="2047" t="s">
        <v>66</v>
      </c>
      <c r="AD8" s="686"/>
      <c r="AE8" s="261"/>
      <c r="AF8" s="686"/>
      <c r="AG8" s="1182"/>
      <c r="AH8" s="2189"/>
      <c r="AI8" s="2047" t="s">
        <v>66</v>
      </c>
      <c r="AJ8" s="2189"/>
      <c r="AK8" s="2047" t="s">
        <v>66</v>
      </c>
      <c r="AL8" s="261"/>
      <c r="AM8" s="2181" t="s">
        <v>409</v>
      </c>
      <c r="AN8" s="446" t="e">
        <f ca="1">STRCHECKDATE(V9:AL9)</f>
        <v>#NAME?</v>
      </c>
      <c r="AO8" s="435"/>
      <c r="AP8" s="435" t="str">
        <f t="shared" si="0"/>
        <v/>
      </c>
      <c r="AQ8" s="435"/>
      <c r="AR8" s="435"/>
      <c r="AS8" s="1080">
        <v>0</v>
      </c>
    </row>
    <row r="9" spans="1:45" ht="14.25" hidden="1" customHeight="1">
      <c r="A9" s="1288"/>
      <c r="B9" s="1288"/>
      <c r="C9" s="1288"/>
      <c r="D9" s="1288"/>
      <c r="E9" s="2187"/>
      <c r="F9" s="2187"/>
      <c r="G9" s="2187"/>
      <c r="H9" s="2187"/>
      <c r="I9" s="2207"/>
      <c r="J9" s="2207"/>
      <c r="K9" s="2184"/>
      <c r="L9" s="1289"/>
      <c r="M9" s="472"/>
      <c r="N9" s="1291"/>
      <c r="O9" s="1291"/>
      <c r="P9" s="2185"/>
      <c r="Q9" s="2185"/>
      <c r="R9" s="292"/>
      <c r="S9" s="1267"/>
      <c r="T9" s="236"/>
      <c r="U9" s="236"/>
      <c r="V9" s="261"/>
      <c r="W9" s="261"/>
      <c r="X9" s="261"/>
      <c r="Y9" s="264" t="str">
        <f>Z8&amp;"-"&amp;AB8</f>
        <v>-</v>
      </c>
      <c r="Z9" s="2190"/>
      <c r="AA9" s="2047"/>
      <c r="AB9" s="2190"/>
      <c r="AC9" s="2047"/>
      <c r="AD9" s="261"/>
      <c r="AE9" s="261"/>
      <c r="AF9" s="261"/>
      <c r="AG9" s="264" t="str">
        <f>AH8&amp;"-"&amp;AJ8</f>
        <v>-</v>
      </c>
      <c r="AH9" s="2190"/>
      <c r="AI9" s="2047"/>
      <c r="AJ9" s="2190"/>
      <c r="AK9" s="2047"/>
      <c r="AL9" s="261"/>
      <c r="AM9" s="2182"/>
      <c r="AO9" s="435"/>
      <c r="AP9" s="435" t="str">
        <f t="shared" si="0"/>
        <v/>
      </c>
      <c r="AQ9" s="435"/>
      <c r="AR9" s="435"/>
      <c r="AS9" s="1080">
        <v>0</v>
      </c>
    </row>
    <row r="10" spans="1:45" ht="15" hidden="1" customHeight="1">
      <c r="A10" s="1288"/>
      <c r="B10" s="1288"/>
      <c r="C10" s="1288"/>
      <c r="D10" s="1288"/>
      <c r="E10" s="2187"/>
      <c r="F10" s="2187"/>
      <c r="G10" s="2187"/>
      <c r="H10" s="2187"/>
      <c r="I10" s="2207"/>
      <c r="J10" s="2184"/>
      <c r="K10" s="1288"/>
      <c r="L10" s="1289"/>
      <c r="M10" s="472"/>
      <c r="N10" s="1291"/>
      <c r="P10" s="2185"/>
      <c r="Q10" s="2185"/>
      <c r="R10" s="291"/>
      <c r="S10" s="1203"/>
      <c r="T10" s="223" t="s">
        <v>410</v>
      </c>
      <c r="U10" s="302"/>
      <c r="V10" s="302"/>
      <c r="W10" s="302"/>
      <c r="X10" s="302"/>
      <c r="Y10" s="302"/>
      <c r="Z10" s="302"/>
      <c r="AA10" s="302"/>
      <c r="AB10" s="302"/>
      <c r="AC10" s="302"/>
      <c r="AD10" s="302"/>
      <c r="AE10" s="302"/>
      <c r="AF10" s="302"/>
      <c r="AG10" s="302"/>
      <c r="AH10" s="302"/>
      <c r="AI10" s="302"/>
      <c r="AJ10" s="302"/>
      <c r="AK10" s="302"/>
      <c r="AL10" s="260"/>
      <c r="AM10" s="2183"/>
      <c r="AO10" s="435"/>
      <c r="AP10" s="435" t="str">
        <f t="shared" si="0"/>
        <v>Добавить вид теплоносителя (параметры теплоносителя)</v>
      </c>
      <c r="AQ10" s="435"/>
      <c r="AR10" s="435"/>
      <c r="AS10" s="1080">
        <v>0</v>
      </c>
    </row>
    <row r="11" spans="1:45" ht="11.25" hidden="1" customHeight="1">
      <c r="A11" s="1288"/>
      <c r="B11" s="1288"/>
      <c r="C11" s="1288"/>
      <c r="D11" s="1288"/>
      <c r="E11" s="2187"/>
      <c r="F11" s="2187"/>
      <c r="G11" s="2187"/>
      <c r="H11" s="2187"/>
      <c r="I11" s="2184"/>
      <c r="J11" s="1288"/>
      <c r="K11" s="1288"/>
      <c r="L11" s="1289"/>
      <c r="M11" s="472"/>
      <c r="P11" s="2185"/>
      <c r="Q11" s="1256"/>
      <c r="R11" s="291"/>
      <c r="S11" s="1203"/>
      <c r="T11" s="300" t="s">
        <v>411</v>
      </c>
      <c r="U11" s="302"/>
      <c r="V11" s="302"/>
      <c r="W11" s="302"/>
      <c r="X11" s="302"/>
      <c r="Y11" s="302"/>
      <c r="Z11" s="302"/>
      <c r="AA11" s="302"/>
      <c r="AB11" s="302"/>
      <c r="AC11" s="301"/>
      <c r="AD11" s="302"/>
      <c r="AE11" s="302"/>
      <c r="AF11" s="302"/>
      <c r="AG11" s="302"/>
      <c r="AH11" s="302"/>
      <c r="AI11" s="302"/>
      <c r="AJ11" s="302"/>
      <c r="AK11" s="301"/>
      <c r="AL11" s="302"/>
      <c r="AM11" s="239"/>
      <c r="AO11" s="435"/>
      <c r="AP11" s="435" t="str">
        <f t="shared" si="0"/>
        <v>Добавить группу потребителей</v>
      </c>
      <c r="AQ11" s="435"/>
      <c r="AR11" s="435"/>
      <c r="AS11" s="1080">
        <v>0</v>
      </c>
    </row>
    <row r="12" spans="1:45" ht="14.25" hidden="1" customHeight="1">
      <c r="A12" s="1288"/>
      <c r="B12" s="1288"/>
      <c r="C12" s="1288"/>
      <c r="D12" s="1288"/>
      <c r="E12" s="2187"/>
      <c r="F12" s="2187"/>
      <c r="G12" s="2187"/>
      <c r="H12" s="2186"/>
      <c r="I12" s="1288"/>
      <c r="J12" s="1288"/>
      <c r="K12" s="1288"/>
      <c r="L12" s="1289"/>
      <c r="M12" s="1290"/>
      <c r="N12" s="1290"/>
      <c r="O12" s="472"/>
      <c r="P12" s="295"/>
      <c r="Q12" s="310"/>
      <c r="R12" s="290"/>
      <c r="S12" s="1311"/>
      <c r="T12" s="1312"/>
      <c r="U12" s="1313"/>
      <c r="V12" s="1313"/>
      <c r="W12" s="1313"/>
      <c r="X12" s="1313"/>
      <c r="Y12" s="1313"/>
      <c r="Z12" s="1313"/>
      <c r="AA12" s="1313"/>
      <c r="AB12" s="1313"/>
      <c r="AC12" s="1313"/>
      <c r="AD12" s="1313"/>
      <c r="AE12" s="1313"/>
      <c r="AF12" s="1313"/>
      <c r="AG12" s="1313"/>
      <c r="AH12" s="1313"/>
      <c r="AI12" s="1313"/>
      <c r="AJ12" s="1313"/>
      <c r="AK12" s="1313"/>
      <c r="AL12" s="1313"/>
      <c r="AM12" s="1314"/>
      <c r="AO12" s="435"/>
      <c r="AP12" s="435" t="str">
        <f t="shared" si="0"/>
        <v/>
      </c>
      <c r="AQ12" s="435"/>
      <c r="AR12" s="435"/>
      <c r="AS12" s="1080">
        <v>0</v>
      </c>
    </row>
    <row r="13" spans="1:45" s="1567" customFormat="1" ht="14.25" hidden="1" customHeight="1">
      <c r="A13" s="1239"/>
      <c r="B13" s="1239"/>
      <c r="C13" s="1239"/>
      <c r="D13" s="1239"/>
      <c r="E13" s="2187"/>
      <c r="F13" s="2187"/>
      <c r="G13" s="2186"/>
      <c r="H13" s="1239"/>
      <c r="I13" s="1239"/>
      <c r="J13" s="1239"/>
      <c r="K13" s="1239"/>
      <c r="L13" s="1264"/>
      <c r="M13" s="1240"/>
      <c r="N13" s="1240"/>
      <c r="P13" s="1241"/>
      <c r="Q13" s="1242"/>
      <c r="R13" s="1241"/>
      <c r="S13" s="1243"/>
      <c r="T13" s="1244" t="s">
        <v>413</v>
      </c>
      <c r="U13" s="1245"/>
      <c r="V13" s="1245"/>
      <c r="W13" s="1245"/>
      <c r="X13" s="1245"/>
      <c r="Y13" s="1245"/>
      <c r="Z13" s="1245"/>
      <c r="AA13" s="1245"/>
      <c r="AB13" s="1245"/>
      <c r="AC13" s="1245"/>
      <c r="AD13" s="1245"/>
      <c r="AE13" s="1245"/>
      <c r="AF13" s="1245"/>
      <c r="AG13" s="1245"/>
      <c r="AH13" s="1245"/>
      <c r="AI13" s="1245"/>
      <c r="AJ13" s="1245"/>
      <c r="AK13" s="1245"/>
      <c r="AL13" s="1245"/>
      <c r="AM13" s="1245"/>
      <c r="AO13" s="718"/>
      <c r="AP13" s="718" t="str">
        <f t="shared" si="0"/>
        <v>Добавить источник для дифференциации</v>
      </c>
      <c r="AQ13" s="718"/>
      <c r="AR13" s="718"/>
      <c r="AS13" s="453">
        <v>0</v>
      </c>
    </row>
    <row r="14" spans="1:45" s="1567" customFormat="1" ht="14.25" hidden="1" customHeight="1">
      <c r="A14" s="1239"/>
      <c r="B14" s="1239"/>
      <c r="C14" s="1239"/>
      <c r="D14" s="1239"/>
      <c r="E14" s="2187"/>
      <c r="F14" s="2186"/>
      <c r="G14" s="1239"/>
      <c r="H14" s="1239"/>
      <c r="I14" s="1239"/>
      <c r="J14" s="1239"/>
      <c r="K14" s="1239"/>
      <c r="L14" s="1264"/>
      <c r="M14" s="1246"/>
      <c r="N14" s="1246"/>
      <c r="P14" s="1241"/>
      <c r="Q14" s="1242"/>
      <c r="R14" s="1241"/>
      <c r="S14" s="1247"/>
      <c r="T14" s="1248" t="s">
        <v>414</v>
      </c>
      <c r="U14" s="1249"/>
      <c r="V14" s="1249"/>
      <c r="W14" s="1249"/>
      <c r="X14" s="1249"/>
      <c r="Y14" s="1249"/>
      <c r="Z14" s="1249"/>
      <c r="AA14" s="1249"/>
      <c r="AB14" s="1249"/>
      <c r="AC14" s="1249"/>
      <c r="AD14" s="1249"/>
      <c r="AE14" s="1249"/>
      <c r="AF14" s="1249"/>
      <c r="AG14" s="1249"/>
      <c r="AH14" s="1249"/>
      <c r="AI14" s="1249"/>
      <c r="AJ14" s="1249"/>
      <c r="AK14" s="1249"/>
      <c r="AL14" s="1249"/>
      <c r="AM14" s="1249"/>
      <c r="AO14" s="718"/>
      <c r="AP14" s="718" t="str">
        <f t="shared" si="0"/>
        <v>Добавить централизованную систему для дифференциации</v>
      </c>
      <c r="AQ14" s="718"/>
      <c r="AR14" s="718"/>
      <c r="AS14" s="453">
        <v>0</v>
      </c>
    </row>
    <row r="15" spans="1:45" s="1567" customFormat="1" ht="14.25" hidden="1" customHeight="1">
      <c r="A15" s="1239"/>
      <c r="B15" s="1239"/>
      <c r="C15" s="1239"/>
      <c r="D15" s="1239"/>
      <c r="E15" s="2186"/>
      <c r="F15" s="1239"/>
      <c r="G15" s="1239"/>
      <c r="H15" s="1239"/>
      <c r="I15" s="1239"/>
      <c r="J15" s="1239"/>
      <c r="K15" s="1239"/>
      <c r="L15" s="1264"/>
      <c r="M15" s="1246"/>
      <c r="N15" s="1246"/>
      <c r="P15" s="1241"/>
      <c r="Q15" s="1242"/>
      <c r="R15" s="1241"/>
      <c r="S15" s="1247"/>
      <c r="T15" s="1250" t="s">
        <v>415</v>
      </c>
      <c r="U15" s="1249"/>
      <c r="V15" s="1249"/>
      <c r="W15" s="1249"/>
      <c r="X15" s="1249"/>
      <c r="Y15" s="1249"/>
      <c r="Z15" s="1249"/>
      <c r="AA15" s="1249"/>
      <c r="AB15" s="1249"/>
      <c r="AC15" s="1249"/>
      <c r="AD15" s="1249"/>
      <c r="AE15" s="1249"/>
      <c r="AF15" s="1249"/>
      <c r="AG15" s="1249"/>
      <c r="AH15" s="1249"/>
      <c r="AI15" s="1249"/>
      <c r="AJ15" s="1249"/>
      <c r="AK15" s="1249"/>
      <c r="AL15" s="1249"/>
      <c r="AM15" s="1249"/>
      <c r="AO15" s="718"/>
      <c r="AP15" s="718" t="str">
        <f t="shared" si="0"/>
        <v>Добавить территорию для дифференциации</v>
      </c>
      <c r="AQ15" s="718"/>
      <c r="AR15" s="718"/>
      <c r="AS15" s="453">
        <v>0</v>
      </c>
    </row>
    <row r="16" spans="1:45" ht="14.25" hidden="1" customHeight="1">
      <c r="AC16" s="263"/>
      <c r="AK16" s="263"/>
      <c r="AS16" s="1080">
        <v>0</v>
      </c>
    </row>
    <row r="17" spans="1:45" ht="14.25" hidden="1" customHeight="1">
      <c r="AD17" s="1285"/>
      <c r="AE17" s="1285"/>
      <c r="AF17" s="1285"/>
      <c r="AG17" s="1286"/>
      <c r="AH17" s="2191"/>
      <c r="AI17" s="2192" t="s">
        <v>66</v>
      </c>
      <c r="AJ17" s="2191"/>
      <c r="AK17" s="2192" t="s">
        <v>66</v>
      </c>
      <c r="AS17" s="1080">
        <v>0</v>
      </c>
    </row>
    <row r="18" spans="1:45" ht="14.25" hidden="1" customHeight="1">
      <c r="AD18" s="1285"/>
      <c r="AE18" s="1285"/>
      <c r="AF18" s="1285"/>
      <c r="AG18" s="264" t="str">
        <f>AH17&amp;"-"&amp;AJ17</f>
        <v>-</v>
      </c>
      <c r="AH18" s="2192"/>
      <c r="AI18" s="2192"/>
      <c r="AJ18" s="2192"/>
      <c r="AK18" s="2192"/>
      <c r="AS18" s="1080">
        <v>0</v>
      </c>
    </row>
    <row r="19" spans="1:45" ht="14.25" hidden="1" customHeight="1">
      <c r="AK19" s="263"/>
      <c r="AS19" s="1080">
        <v>0</v>
      </c>
    </row>
    <row r="20" spans="1:45" s="1291" customFormat="1" ht="22.5" hidden="1" customHeight="1">
      <c r="L20" s="1254"/>
      <c r="M20" s="1287"/>
      <c r="N20" s="1287"/>
      <c r="O20" s="1292" t="s">
        <v>416</v>
      </c>
      <c r="P20" s="1287"/>
      <c r="Q20" s="1296"/>
      <c r="R20" s="1296"/>
      <c r="S20" s="664"/>
      <c r="Z20" s="1292"/>
      <c r="AB20" s="1292"/>
      <c r="AH20" s="1292"/>
      <c r="AJ20" s="1292"/>
      <c r="AN20" s="446"/>
      <c r="AO20" s="446"/>
      <c r="AP20" s="446"/>
      <c r="AQ20" s="446"/>
      <c r="AR20" s="446"/>
      <c r="AS20" s="1085">
        <v>0</v>
      </c>
    </row>
    <row r="21" spans="1:45" s="1291" customFormat="1" ht="14.25" hidden="1" customHeight="1">
      <c r="L21" s="1254"/>
      <c r="M21" s="1287"/>
      <c r="N21" s="1287"/>
      <c r="O21" s="1287"/>
      <c r="P21" s="1287"/>
      <c r="Q21" s="1296"/>
      <c r="R21" s="1296"/>
      <c r="S21" s="664"/>
      <c r="AN21" s="446"/>
      <c r="AO21" s="446"/>
      <c r="AP21" s="446"/>
      <c r="AQ21" s="446"/>
      <c r="AR21" s="446"/>
      <c r="AS21" s="1085">
        <v>0</v>
      </c>
    </row>
    <row r="22" spans="1:45" s="1291" customFormat="1" ht="14.25" hidden="1" customHeight="1">
      <c r="L22" s="1254"/>
      <c r="M22" s="1287"/>
      <c r="N22" s="1287"/>
      <c r="O22" s="1289" t="s">
        <v>417</v>
      </c>
      <c r="P22" s="1287"/>
      <c r="Q22" s="1296"/>
      <c r="R22" s="1296"/>
      <c r="S22" s="664"/>
      <c r="T22" s="1085" t="s">
        <v>418</v>
      </c>
      <c r="AA22" s="122" t="s">
        <v>419</v>
      </c>
      <c r="AC22" s="122" t="s">
        <v>420</v>
      </c>
      <c r="AD22" s="1085" t="s">
        <v>418</v>
      </c>
      <c r="AI22" s="122" t="s">
        <v>421</v>
      </c>
      <c r="AK22" s="122" t="s">
        <v>420</v>
      </c>
      <c r="AN22" s="446"/>
      <c r="AO22" s="446"/>
      <c r="AP22" s="446"/>
      <c r="AQ22" s="446"/>
      <c r="AR22" s="446"/>
      <c r="AS22" s="1085">
        <v>0</v>
      </c>
    </row>
    <row r="23" spans="1:45" ht="14.25" hidden="1" customHeight="1">
      <c r="O23" s="1289"/>
      <c r="AS23" s="1080">
        <v>0</v>
      </c>
    </row>
    <row r="24" spans="1:45" ht="14.25" hidden="1" customHeight="1">
      <c r="O24" s="1289"/>
      <c r="AS24" s="1080">
        <v>0</v>
      </c>
    </row>
    <row r="25" spans="1:45" ht="14.65" customHeight="1">
      <c r="Q25" s="311"/>
      <c r="R25" s="311"/>
      <c r="S25" s="1200"/>
      <c r="T25" s="298"/>
      <c r="U25" s="298"/>
      <c r="V25" s="444"/>
      <c r="W25" s="444"/>
      <c r="X25" s="444"/>
      <c r="Y25" s="444"/>
      <c r="Z25" s="444"/>
      <c r="AA25" s="444"/>
      <c r="AB25" s="444"/>
      <c r="AC25" s="444"/>
      <c r="AD25" s="444"/>
      <c r="AE25" s="444"/>
      <c r="AF25" s="444"/>
      <c r="AG25" s="444"/>
      <c r="AH25" s="444"/>
      <c r="AI25" s="444"/>
      <c r="AJ25" s="444"/>
      <c r="AK25" s="444"/>
      <c r="AS25" s="1080">
        <v>14</v>
      </c>
    </row>
    <row r="26" spans="1:45" ht="53.45" customHeight="1">
      <c r="Q26" s="311"/>
      <c r="R26" s="311"/>
      <c r="S26" s="2170" t="str">
        <f>IF(TEMPLATE_GROUP="P",PT_P_FORM_HEAT_5_NAME_FORM,PT_R_FORM_HEAT_22_NAME_FORM)</f>
        <v>Форма 20. Информация о предложении регулируемой организации о расчетной величине тарифов на теплоноситель, поставляемый теплоснабжающими организациями потребителям, другим теплоснабжающим организациям, тарифов на услуги по передаче тепловой энергии, теплоносителя, о расчетной величине тарифов на теплоноситель в виде воды, поставляемый другим теплоснабжающим организациям в ценовых зонах теплоснабжения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v>
      </c>
      <c r="T26" s="2170"/>
      <c r="U26" s="2170"/>
      <c r="V26" s="2170"/>
      <c r="W26" s="2170"/>
      <c r="X26" s="2170"/>
      <c r="Y26" s="2170"/>
      <c r="Z26" s="2170"/>
      <c r="AA26" s="2170"/>
      <c r="AB26" s="2170"/>
      <c r="AC26" s="2170"/>
      <c r="AD26" s="2170"/>
      <c r="AE26" s="2170"/>
      <c r="AF26" s="2170"/>
      <c r="AG26" s="2170"/>
      <c r="AH26" s="2170"/>
      <c r="AI26" s="2170"/>
      <c r="AJ26" s="2170"/>
      <c r="AK26" s="1168"/>
      <c r="AS26" s="1080">
        <v>51</v>
      </c>
    </row>
    <row r="27" spans="1:45" ht="14.65" customHeight="1">
      <c r="Q27" s="311"/>
      <c r="R27" s="311"/>
      <c r="S27" s="2115" t="str">
        <f>IF(org=0,"Не определено",org)</f>
        <v>ООО "ЗЕНИТ ЭНЕРГО"</v>
      </c>
      <c r="T27" s="2115"/>
      <c r="U27" s="2115"/>
      <c r="V27" s="2115"/>
      <c r="W27" s="2115"/>
      <c r="X27" s="2115"/>
      <c r="Y27" s="2115"/>
      <c r="Z27" s="2115"/>
      <c r="AA27" s="2115"/>
      <c r="AB27" s="2115"/>
      <c r="AC27" s="2115"/>
      <c r="AD27" s="2115"/>
      <c r="AE27" s="2115"/>
      <c r="AF27" s="2115"/>
      <c r="AG27" s="2115"/>
      <c r="AH27" s="2115"/>
      <c r="AI27" s="2115"/>
      <c r="AJ27" s="2115"/>
      <c r="AK27" s="1168"/>
      <c r="AS27" s="1080">
        <v>14</v>
      </c>
    </row>
    <row r="28" spans="1:45" ht="14.25" hidden="1" customHeight="1">
      <c r="Q28" s="311"/>
      <c r="R28" s="311"/>
      <c r="S28" s="1200"/>
      <c r="T28" s="298"/>
      <c r="U28" s="298"/>
      <c r="V28" s="258"/>
      <c r="W28" s="258"/>
      <c r="X28" s="258"/>
      <c r="Y28" s="258"/>
      <c r="Z28" s="258"/>
      <c r="AA28" s="258"/>
      <c r="AB28" s="258"/>
      <c r="AC28" s="258"/>
      <c r="AD28" s="258"/>
      <c r="AE28" s="258"/>
      <c r="AF28" s="258"/>
      <c r="AG28" s="258"/>
      <c r="AH28" s="258"/>
      <c r="AI28" s="258"/>
      <c r="AJ28" s="258"/>
      <c r="AK28" s="258"/>
      <c r="AL28" s="444"/>
      <c r="AS28" s="1080">
        <v>0</v>
      </c>
    </row>
    <row r="29" spans="1:45" s="1777" customFormat="1" ht="25.5" hidden="1" customHeight="1">
      <c r="A29" s="1293"/>
      <c r="B29" s="1293"/>
      <c r="C29" s="1293"/>
      <c r="D29" s="1293"/>
      <c r="E29" s="1293"/>
      <c r="F29" s="1293"/>
      <c r="G29" s="1293"/>
      <c r="H29" s="1293"/>
      <c r="I29" s="1293"/>
      <c r="J29" s="1293"/>
      <c r="K29" s="1293"/>
      <c r="L29" s="1294"/>
      <c r="M29" s="1293"/>
      <c r="N29" s="1293"/>
      <c r="O29" s="1293"/>
      <c r="S29" s="2178" t="s">
        <v>42</v>
      </c>
      <c r="T29" s="2178"/>
      <c r="U29" s="1297"/>
      <c r="V29" s="2179" t="str">
        <f>IF(TITLE_NAME_OR_PR_CHANGE="",IF(TITLE_NAME_OR_PR="","",TITLE_NAME_OR_PR),TITLE_NAME_OR_PR_CHANGE)</f>
        <v/>
      </c>
      <c r="W29" s="2179"/>
      <c r="X29" s="2179"/>
      <c r="Y29" s="2179"/>
      <c r="Z29" s="2179"/>
      <c r="AA29" s="2179"/>
      <c r="AB29" s="2179"/>
      <c r="AC29" s="262"/>
      <c r="AD29" s="2179" t="str">
        <f>IF(TITLE_NAME_OR_PR_CHANGE="",IF(TITLE_NAME_OR_PR="","",TITLE_NAME_OR_PR),TITLE_NAME_OR_PR_CHANGE)</f>
        <v/>
      </c>
      <c r="AE29" s="2179"/>
      <c r="AF29" s="2179"/>
      <c r="AG29" s="2179"/>
      <c r="AH29" s="2179"/>
      <c r="AI29" s="2179"/>
      <c r="AJ29" s="2179"/>
      <c r="AK29" s="262"/>
      <c r="AL29" s="262"/>
      <c r="AM29" s="216"/>
      <c r="AN29" s="303"/>
      <c r="AO29" s="303"/>
      <c r="AP29" s="303"/>
      <c r="AQ29" s="303"/>
      <c r="AR29" s="303"/>
      <c r="AS29" s="353">
        <v>0</v>
      </c>
    </row>
    <row r="30" spans="1:45" s="1777" customFormat="1" ht="18.75" hidden="1" customHeight="1">
      <c r="A30" s="1293"/>
      <c r="B30" s="1293"/>
      <c r="C30" s="1293"/>
      <c r="D30" s="1293"/>
      <c r="E30" s="1293"/>
      <c r="F30" s="1293"/>
      <c r="G30" s="1293"/>
      <c r="H30" s="1293"/>
      <c r="I30" s="1293"/>
      <c r="J30" s="1293"/>
      <c r="K30" s="1293"/>
      <c r="L30" s="1294"/>
      <c r="M30" s="1293"/>
      <c r="N30" s="1293"/>
      <c r="O30" s="1293"/>
      <c r="S30" s="2178" t="s">
        <v>422</v>
      </c>
      <c r="T30" s="2178"/>
      <c r="U30" s="1297"/>
      <c r="V30" s="2188" t="str">
        <f>IF(TITLE_DATE_PR_CHANGE="",IF(TITLE_DATE_PR="","",TITLE_DATE_PR),TITLE_DATE_PR_CHANGE)</f>
        <v/>
      </c>
      <c r="W30" s="2188"/>
      <c r="X30" s="2188"/>
      <c r="Y30" s="2188"/>
      <c r="Z30" s="2188"/>
      <c r="AA30" s="2188"/>
      <c r="AB30" s="2188"/>
      <c r="AC30" s="262"/>
      <c r="AD30" s="2188" t="str">
        <f>IF(TITLE_DATE_PR_CHANGE="",IF(TITLE_DATE_PR="","",TITLE_DATE_PR),TITLE_DATE_PR_CHANGE)</f>
        <v/>
      </c>
      <c r="AE30" s="2188"/>
      <c r="AF30" s="2188"/>
      <c r="AG30" s="2188"/>
      <c r="AH30" s="2188"/>
      <c r="AI30" s="2188"/>
      <c r="AJ30" s="2188"/>
      <c r="AK30" s="262"/>
      <c r="AL30" s="262"/>
      <c r="AM30" s="216"/>
      <c r="AN30" s="303"/>
      <c r="AO30" s="303"/>
      <c r="AP30" s="303"/>
      <c r="AQ30" s="303"/>
      <c r="AR30" s="303"/>
      <c r="AS30" s="353">
        <v>0</v>
      </c>
    </row>
    <row r="31" spans="1:45" s="1777" customFormat="1" ht="18.75" hidden="1" customHeight="1">
      <c r="A31" s="1293"/>
      <c r="B31" s="1293"/>
      <c r="C31" s="1293"/>
      <c r="D31" s="1293"/>
      <c r="E31" s="1293"/>
      <c r="F31" s="1293"/>
      <c r="G31" s="1293"/>
      <c r="H31" s="1293"/>
      <c r="I31" s="1293"/>
      <c r="J31" s="1293"/>
      <c r="K31" s="1293"/>
      <c r="L31" s="1294"/>
      <c r="M31" s="1293"/>
      <c r="N31" s="1293"/>
      <c r="O31" s="1293"/>
      <c r="S31" s="2178" t="s">
        <v>423</v>
      </c>
      <c r="T31" s="2178"/>
      <c r="U31" s="1297"/>
      <c r="V31" s="2179" t="str">
        <f>IF(TITLE_NUMBER_PR_CHANGE="",IF(TITLE_NUMBER_PR="","",TITLE_NUMBER_PR),TITLE_NUMBER_PR_CHANGE)</f>
        <v/>
      </c>
      <c r="W31" s="2179"/>
      <c r="X31" s="2179"/>
      <c r="Y31" s="2179"/>
      <c r="Z31" s="2179"/>
      <c r="AA31" s="2179"/>
      <c r="AB31" s="2179"/>
      <c r="AC31" s="262"/>
      <c r="AD31" s="2179" t="str">
        <f>IF(TITLE_NUMBER_PR_CHANGE="",IF(TITLE_NUMBER_PR="","",TITLE_NUMBER_PR),TITLE_NUMBER_PR_CHANGE)</f>
        <v/>
      </c>
      <c r="AE31" s="2179"/>
      <c r="AF31" s="2179"/>
      <c r="AG31" s="2179"/>
      <c r="AH31" s="2179"/>
      <c r="AI31" s="2179"/>
      <c r="AJ31" s="2179"/>
      <c r="AK31" s="262"/>
      <c r="AL31" s="262"/>
      <c r="AM31" s="216"/>
      <c r="AN31" s="303"/>
      <c r="AO31" s="303"/>
      <c r="AP31" s="303"/>
      <c r="AQ31" s="303"/>
      <c r="AR31" s="303"/>
      <c r="AS31" s="353">
        <v>0</v>
      </c>
    </row>
    <row r="32" spans="1:45" s="1777" customFormat="1" ht="18.75" hidden="1" customHeight="1">
      <c r="A32" s="1293"/>
      <c r="B32" s="1293"/>
      <c r="C32" s="1293"/>
      <c r="D32" s="1293"/>
      <c r="E32" s="1293"/>
      <c r="F32" s="1293"/>
      <c r="G32" s="1293"/>
      <c r="H32" s="1293"/>
      <c r="I32" s="1293"/>
      <c r="J32" s="1293"/>
      <c r="K32" s="1293"/>
      <c r="L32" s="1294"/>
      <c r="M32" s="1293"/>
      <c r="N32" s="1293"/>
      <c r="O32" s="1293"/>
      <c r="S32" s="2178" t="s">
        <v>43</v>
      </c>
      <c r="T32" s="2178"/>
      <c r="U32" s="1297"/>
      <c r="V32" s="2179" t="str">
        <f>IF(TITLE_IST_PUB_CHANGE="",IF(TITLE_IST_PUB="","",TITLE_IST_PUB),TITLE_IST_PUB_CHANGE)</f>
        <v/>
      </c>
      <c r="W32" s="2179"/>
      <c r="X32" s="2179"/>
      <c r="Y32" s="2179"/>
      <c r="Z32" s="2179"/>
      <c r="AA32" s="2179"/>
      <c r="AB32" s="2179"/>
      <c r="AC32" s="262"/>
      <c r="AD32" s="2179" t="str">
        <f>IF(TITLE_IST_PUB_CHANGE="",IF(TITLE_IST_PUB="","",TITLE_IST_PUB),TITLE_IST_PUB_CHANGE)</f>
        <v/>
      </c>
      <c r="AE32" s="2179"/>
      <c r="AF32" s="2179"/>
      <c r="AG32" s="2179"/>
      <c r="AH32" s="2179"/>
      <c r="AI32" s="2179"/>
      <c r="AJ32" s="2179"/>
      <c r="AK32" s="262"/>
      <c r="AL32" s="262"/>
      <c r="AM32" s="216"/>
      <c r="AN32" s="303"/>
      <c r="AO32" s="303"/>
      <c r="AP32" s="303"/>
      <c r="AQ32" s="303"/>
      <c r="AR32" s="303"/>
      <c r="AS32" s="353">
        <v>0</v>
      </c>
    </row>
    <row r="33" spans="1:45" ht="14.25" hidden="1" customHeight="1">
      <c r="Q33" s="311"/>
      <c r="R33" s="311"/>
      <c r="S33" s="1200"/>
      <c r="T33" s="298"/>
      <c r="U33" s="298"/>
      <c r="V33" s="258"/>
      <c r="W33" s="258"/>
      <c r="X33" s="258"/>
      <c r="Y33" s="258"/>
      <c r="Z33" s="258"/>
      <c r="AA33" s="258"/>
      <c r="AB33" s="258"/>
      <c r="AC33" s="258"/>
      <c r="AD33" s="258"/>
      <c r="AE33" s="258"/>
      <c r="AF33" s="258"/>
      <c r="AG33" s="258"/>
      <c r="AH33" s="258"/>
      <c r="AI33" s="258"/>
      <c r="AJ33" s="258"/>
      <c r="AK33" s="258"/>
      <c r="AL33" s="444"/>
      <c r="AS33" s="1080">
        <v>0</v>
      </c>
    </row>
    <row r="34" spans="1:45" s="1777" customFormat="1" ht="18.75" hidden="1" customHeight="1">
      <c r="A34" s="1293"/>
      <c r="B34" s="1293"/>
      <c r="C34" s="1293"/>
      <c r="D34" s="1293"/>
      <c r="E34" s="1293"/>
      <c r="F34" s="1293"/>
      <c r="G34" s="1293"/>
      <c r="H34" s="1293"/>
      <c r="I34" s="1293"/>
      <c r="J34" s="1293"/>
      <c r="K34" s="1293"/>
      <c r="L34" s="1294"/>
      <c r="M34" s="1293"/>
      <c r="N34" s="1293"/>
      <c r="O34" s="1293"/>
      <c r="S34" s="2178" t="s">
        <v>424</v>
      </c>
      <c r="T34" s="2178"/>
      <c r="U34" s="1297"/>
      <c r="V34" s="2188" t="str">
        <f>IF(TITLE_DATE_PR_CHANGE="",IF(TITLE_DATE_PR="","",TITLE_DATE_PR),TITLE_DATE_PR_CHANGE)</f>
        <v/>
      </c>
      <c r="W34" s="2188"/>
      <c r="X34" s="2188"/>
      <c r="Y34" s="2188"/>
      <c r="Z34" s="2188"/>
      <c r="AA34" s="2188"/>
      <c r="AB34" s="2188"/>
      <c r="AC34" s="262"/>
      <c r="AD34" s="2188" t="str">
        <f>IF(TITLE_DATE_PR_CHANGE="",IF(TITLE_DATE_PR="","",TITLE_DATE_PR),TITLE_DATE_PR_CHANGE)</f>
        <v/>
      </c>
      <c r="AE34" s="2188"/>
      <c r="AF34" s="2188"/>
      <c r="AG34" s="2188"/>
      <c r="AH34" s="2188"/>
      <c r="AI34" s="2188"/>
      <c r="AJ34" s="2188"/>
      <c r="AK34" s="262"/>
      <c r="AL34" s="262"/>
      <c r="AM34" s="216"/>
      <c r="AN34" s="303"/>
      <c r="AO34" s="303"/>
      <c r="AP34" s="303"/>
      <c r="AQ34" s="303"/>
      <c r="AR34" s="303"/>
      <c r="AS34" s="353">
        <v>0</v>
      </c>
    </row>
    <row r="35" spans="1:45" s="1777" customFormat="1" ht="25.5" hidden="1" customHeight="1">
      <c r="A35" s="1293"/>
      <c r="B35" s="1293"/>
      <c r="C35" s="1293"/>
      <c r="D35" s="1293"/>
      <c r="E35" s="1293"/>
      <c r="F35" s="1293"/>
      <c r="G35" s="1293"/>
      <c r="H35" s="1293"/>
      <c r="I35" s="1293"/>
      <c r="J35" s="1293"/>
      <c r="K35" s="1293"/>
      <c r="L35" s="1294"/>
      <c r="M35" s="1293"/>
      <c r="N35" s="1293"/>
      <c r="O35" s="1293"/>
      <c r="S35" s="2178" t="s">
        <v>425</v>
      </c>
      <c r="T35" s="2178"/>
      <c r="U35" s="1297"/>
      <c r="V35" s="2179" t="str">
        <f>IF(TITLE_NUMBER_PR_CHANGE="",IF(TITLE_NUMBER_PR="","",TITLE_NUMBER_PR),TITLE_NUMBER_PR_CHANGE)</f>
        <v/>
      </c>
      <c r="W35" s="2179"/>
      <c r="X35" s="2179"/>
      <c r="Y35" s="2179"/>
      <c r="Z35" s="2179"/>
      <c r="AA35" s="2179"/>
      <c r="AB35" s="2179"/>
      <c r="AC35" s="262"/>
      <c r="AD35" s="2179" t="str">
        <f>IF(TITLE_NUMBER_PR_CHANGE="",IF(TITLE_NUMBER_PR="","",TITLE_NUMBER_PR),TITLE_NUMBER_PR_CHANGE)</f>
        <v/>
      </c>
      <c r="AE35" s="2179"/>
      <c r="AF35" s="2179"/>
      <c r="AG35" s="2179"/>
      <c r="AH35" s="2179"/>
      <c r="AI35" s="2179"/>
      <c r="AJ35" s="2179"/>
      <c r="AK35" s="262"/>
      <c r="AL35" s="262"/>
      <c r="AM35" s="216"/>
      <c r="AN35" s="303"/>
      <c r="AO35" s="303"/>
      <c r="AP35" s="303"/>
      <c r="AQ35" s="303"/>
      <c r="AR35" s="303"/>
      <c r="AS35" s="353">
        <v>0</v>
      </c>
    </row>
    <row r="36" spans="1:45" s="1777" customFormat="1" ht="0" hidden="1" customHeight="1">
      <c r="A36" s="1293"/>
      <c r="B36" s="1293"/>
      <c r="C36" s="1293"/>
      <c r="D36" s="1293"/>
      <c r="E36" s="1293"/>
      <c r="F36" s="1293"/>
      <c r="G36" s="1293"/>
      <c r="H36" s="1293"/>
      <c r="I36" s="1293"/>
      <c r="J36" s="1293"/>
      <c r="K36" s="1293"/>
      <c r="L36" s="1294"/>
      <c r="M36" s="1293"/>
      <c r="N36" s="1293"/>
      <c r="O36" s="1293"/>
      <c r="S36" s="259"/>
      <c r="T36" s="259"/>
      <c r="U36" s="1265"/>
      <c r="V36" s="262"/>
      <c r="W36" s="262"/>
      <c r="X36" s="262"/>
      <c r="Y36" s="262"/>
      <c r="Z36" s="262"/>
      <c r="AA36" s="262"/>
      <c r="AB36" s="262"/>
      <c r="AC36" s="214" t="s">
        <v>426</v>
      </c>
      <c r="AD36" s="262"/>
      <c r="AE36" s="262"/>
      <c r="AF36" s="262"/>
      <c r="AG36" s="262"/>
      <c r="AH36" s="262"/>
      <c r="AI36" s="262"/>
      <c r="AJ36" s="262"/>
      <c r="AK36" s="214" t="s">
        <v>426</v>
      </c>
      <c r="AN36" s="303"/>
      <c r="AO36" s="303"/>
      <c r="AP36" s="303"/>
      <c r="AQ36" s="303"/>
      <c r="AR36" s="303"/>
      <c r="AS36" s="353">
        <v>0</v>
      </c>
    </row>
    <row r="37" spans="1:45" ht="14.65" customHeight="1">
      <c r="Q37" s="311"/>
      <c r="R37" s="311"/>
      <c r="S37" s="1200"/>
      <c r="T37" s="298"/>
      <c r="U37" s="1169"/>
      <c r="V37" s="2180"/>
      <c r="W37" s="2180"/>
      <c r="X37" s="2180"/>
      <c r="Y37" s="2180"/>
      <c r="Z37" s="2180"/>
      <c r="AA37" s="2180"/>
      <c r="AB37" s="2180"/>
      <c r="AC37" s="2180"/>
      <c r="AD37" s="2180"/>
      <c r="AE37" s="2180"/>
      <c r="AF37" s="2180"/>
      <c r="AG37" s="2180"/>
      <c r="AH37" s="2180"/>
      <c r="AI37" s="2180"/>
      <c r="AJ37" s="2180"/>
      <c r="AK37" s="2180"/>
      <c r="AS37" s="1080">
        <v>14</v>
      </c>
    </row>
    <row r="38" spans="1:45" ht="14.65" customHeight="1">
      <c r="Q38" s="311"/>
      <c r="R38" s="311"/>
      <c r="S38" s="2066" t="s">
        <v>299</v>
      </c>
      <c r="T38" s="2066"/>
      <c r="U38" s="2066"/>
      <c r="V38" s="2066"/>
      <c r="W38" s="2066"/>
      <c r="X38" s="2066"/>
      <c r="Y38" s="2066"/>
      <c r="Z38" s="2066"/>
      <c r="AA38" s="2066"/>
      <c r="AB38" s="2066"/>
      <c r="AC38" s="2066"/>
      <c r="AD38" s="2066"/>
      <c r="AE38" s="2066"/>
      <c r="AF38" s="2066"/>
      <c r="AG38" s="2066"/>
      <c r="AH38" s="2066"/>
      <c r="AI38" s="2066"/>
      <c r="AJ38" s="2066"/>
      <c r="AK38" s="2066"/>
      <c r="AL38" s="2066"/>
      <c r="AM38" s="2066" t="s">
        <v>300</v>
      </c>
      <c r="AS38" s="1080">
        <v>14</v>
      </c>
    </row>
    <row r="39" spans="1:45" ht="14.65" customHeight="1">
      <c r="Q39" s="311"/>
      <c r="R39" s="311"/>
      <c r="S39" s="2194" t="s">
        <v>88</v>
      </c>
      <c r="T39" s="2145" t="s">
        <v>427</v>
      </c>
      <c r="U39" s="237"/>
      <c r="V39" s="2195" t="s">
        <v>428</v>
      </c>
      <c r="W39" s="2196"/>
      <c r="X39" s="2196"/>
      <c r="Y39" s="2196"/>
      <c r="Z39" s="2196"/>
      <c r="AA39" s="2196"/>
      <c r="AB39" s="2197"/>
      <c r="AC39" s="2198" t="s">
        <v>429</v>
      </c>
      <c r="AD39" s="2195" t="s">
        <v>428</v>
      </c>
      <c r="AE39" s="2196"/>
      <c r="AF39" s="2196"/>
      <c r="AG39" s="2196"/>
      <c r="AH39" s="2196"/>
      <c r="AI39" s="2196"/>
      <c r="AJ39" s="2197"/>
      <c r="AK39" s="2198" t="s">
        <v>430</v>
      </c>
      <c r="AL39" s="2201" t="s">
        <v>431</v>
      </c>
      <c r="AM39" s="2066"/>
      <c r="AS39" s="1080">
        <v>14</v>
      </c>
    </row>
    <row r="40" spans="1:45" ht="35.65" customHeight="1">
      <c r="Q40" s="311"/>
      <c r="R40" s="311"/>
      <c r="S40" s="2194"/>
      <c r="T40" s="2145"/>
      <c r="U40" s="959"/>
      <c r="V40" s="2114" t="s">
        <v>432</v>
      </c>
      <c r="W40" s="2204"/>
      <c r="X40" s="2038" t="s">
        <v>434</v>
      </c>
      <c r="Y40" s="2037"/>
      <c r="Z40" s="2038" t="s">
        <v>435</v>
      </c>
      <c r="AA40" s="2043"/>
      <c r="AB40" s="2037"/>
      <c r="AC40" s="2199"/>
      <c r="AD40" s="2114" t="s">
        <v>449</v>
      </c>
      <c r="AE40" s="2204"/>
      <c r="AF40" s="2038" t="s">
        <v>434</v>
      </c>
      <c r="AG40" s="2037"/>
      <c r="AH40" s="2038" t="s">
        <v>435</v>
      </c>
      <c r="AI40" s="2043"/>
      <c r="AJ40" s="2037"/>
      <c r="AK40" s="2199"/>
      <c r="AL40" s="2202"/>
      <c r="AM40" s="2066"/>
      <c r="AS40" s="1080">
        <v>34</v>
      </c>
    </row>
    <row r="41" spans="1:45" ht="35.65" customHeight="1">
      <c r="A41" s="1295"/>
      <c r="B41" s="1295" t="s">
        <v>136</v>
      </c>
      <c r="C41" s="1295" t="s">
        <v>137</v>
      </c>
      <c r="D41" s="1295" t="s">
        <v>138</v>
      </c>
      <c r="E41" s="1289" t="s">
        <v>436</v>
      </c>
      <c r="F41" s="1289" t="s">
        <v>437</v>
      </c>
      <c r="G41" s="1289" t="s">
        <v>438</v>
      </c>
      <c r="H41" s="1289" t="s">
        <v>439</v>
      </c>
      <c r="I41" s="1289" t="s">
        <v>440</v>
      </c>
      <c r="J41" s="1289" t="s">
        <v>441</v>
      </c>
      <c r="K41" s="1289" t="s">
        <v>442</v>
      </c>
      <c r="L41" s="1289" t="s">
        <v>417</v>
      </c>
      <c r="Q41" s="311"/>
      <c r="R41" s="311"/>
      <c r="S41" s="2194"/>
      <c r="T41" s="2145"/>
      <c r="U41" s="238"/>
      <c r="V41" s="2165"/>
      <c r="W41" s="2205"/>
      <c r="X41" s="1147" t="s">
        <v>443</v>
      </c>
      <c r="Y41" s="1147" t="s">
        <v>444</v>
      </c>
      <c r="Z41" s="1263" t="s">
        <v>445</v>
      </c>
      <c r="AA41" s="2154" t="s">
        <v>446</v>
      </c>
      <c r="AB41" s="2156"/>
      <c r="AC41" s="2200"/>
      <c r="AD41" s="2165"/>
      <c r="AE41" s="2205"/>
      <c r="AF41" s="1147" t="s">
        <v>443</v>
      </c>
      <c r="AG41" s="1147" t="s">
        <v>444</v>
      </c>
      <c r="AH41" s="1263" t="s">
        <v>445</v>
      </c>
      <c r="AI41" s="2154" t="s">
        <v>446</v>
      </c>
      <c r="AJ41" s="2156"/>
      <c r="AK41" s="2200"/>
      <c r="AL41" s="2203"/>
      <c r="AM41" s="2066"/>
      <c r="AS41" s="1080">
        <v>34</v>
      </c>
    </row>
    <row r="42" spans="1:45" s="1566" customFormat="1" ht="11.25" hidden="1" customHeight="1">
      <c r="A42" s="1295"/>
      <c r="B42" s="1295"/>
      <c r="C42" s="1295"/>
      <c r="D42" s="1295"/>
      <c r="E42" s="1295"/>
      <c r="F42" s="1295"/>
      <c r="G42" s="1295"/>
      <c r="H42" s="1295"/>
      <c r="I42" s="1295"/>
      <c r="J42" s="1295"/>
      <c r="K42" s="1295"/>
      <c r="L42" s="1289"/>
      <c r="M42" s="1287"/>
      <c r="N42" s="1287"/>
      <c r="O42" s="1287"/>
      <c r="P42" s="1171"/>
      <c r="Q42" s="1172"/>
      <c r="R42" s="1179">
        <v>1</v>
      </c>
      <c r="S42" s="1202" t="s">
        <v>109</v>
      </c>
      <c r="T42" s="1180" t="s">
        <v>110</v>
      </c>
      <c r="U42" s="1170" t="str">
        <f ca="1">OFFSET(U42,0,-1)</f>
        <v>2</v>
      </c>
      <c r="V42" s="1260">
        <f ca="1">OFFSET(V42,0,-1)+1</f>
        <v>3</v>
      </c>
      <c r="W42" s="1260"/>
      <c r="X42" s="1260">
        <f ca="1">OFFSET(X42,0,-1)+1</f>
        <v>1</v>
      </c>
      <c r="Y42" s="1260">
        <f ca="1">OFFSET(Y42,0,-1)+1</f>
        <v>2</v>
      </c>
      <c r="Z42" s="1260">
        <f ca="1">OFFSET(Z42,0,-1)+1</f>
        <v>3</v>
      </c>
      <c r="AA42" s="2193">
        <f ca="1">OFFSET(AA42,0,-1)+1</f>
        <v>4</v>
      </c>
      <c r="AB42" s="2193"/>
      <c r="AC42" s="1260">
        <f ca="1">OFFSET(AC42,0,-2)+1</f>
        <v>5</v>
      </c>
      <c r="AD42" s="1260">
        <f ca="1">OFFSET(AD42,0,-1)+1</f>
        <v>6</v>
      </c>
      <c r="AE42" s="1260"/>
      <c r="AF42" s="1260">
        <f ca="1">OFFSET(AF42,0,-1)+1</f>
        <v>1</v>
      </c>
      <c r="AG42" s="1260">
        <f ca="1">OFFSET(AG42,0,-1)+1</f>
        <v>2</v>
      </c>
      <c r="AH42" s="1260">
        <f ca="1">OFFSET(AH42,0,-1)+1</f>
        <v>3</v>
      </c>
      <c r="AI42" s="2193">
        <f ca="1">OFFSET(AI42,0,-1)+1</f>
        <v>4</v>
      </c>
      <c r="AJ42" s="2193"/>
      <c r="AK42" s="1260">
        <f ca="1">OFFSET(AK42,0,-2)+1</f>
        <v>5</v>
      </c>
      <c r="AL42" s="1170">
        <f ca="1">OFFSET(AL42,0,-1)</f>
        <v>5</v>
      </c>
      <c r="AM42" s="1260">
        <f ca="1">OFFSET(AM42,0,-1)+1</f>
        <v>6</v>
      </c>
      <c r="AN42" s="446"/>
      <c r="AO42" s="446"/>
      <c r="AP42" s="446"/>
      <c r="AQ42" s="446"/>
      <c r="AR42" s="446"/>
      <c r="AS42" s="431">
        <v>0</v>
      </c>
    </row>
    <row r="43" spans="1:45" ht="21.95" customHeight="1">
      <c r="A43" s="1288" t="s">
        <v>187</v>
      </c>
      <c r="B43" s="1288"/>
      <c r="C43" s="1288"/>
      <c r="D43" s="1288"/>
      <c r="E43" s="2186">
        <v>1</v>
      </c>
      <c r="F43" s="1288"/>
      <c r="G43" s="1288"/>
      <c r="H43" s="1288"/>
      <c r="I43" s="1288"/>
      <c r="J43" s="1288"/>
      <c r="K43" s="1288"/>
      <c r="L43" s="1289"/>
      <c r="M43" s="1290"/>
      <c r="N43" s="1290"/>
      <c r="O43" s="1290"/>
      <c r="P43" s="296"/>
      <c r="Q43" s="295"/>
      <c r="R43" s="290"/>
      <c r="S43" s="1261">
        <f>INDEX(PT_DIFFERENTIATION_NUM_NTAR,MATCH(A43,PT_DIFFERENTIATION_NTAR_ID,0))</f>
        <v>0</v>
      </c>
      <c r="T43" s="234" t="s">
        <v>124</v>
      </c>
      <c r="U43" s="236"/>
      <c r="V43" s="2172"/>
      <c r="W43" s="2173"/>
      <c r="X43" s="2173"/>
      <c r="Y43" s="2173"/>
      <c r="Z43" s="2173"/>
      <c r="AA43" s="2173"/>
      <c r="AB43" s="2173"/>
      <c r="AC43" s="2174"/>
      <c r="AD43" s="2172" t="str">
        <f>INDEX(PT_DIFFERENTIATION_NTAR,MATCH(A43,PT_DIFFERENTIATION_NTAR_ID,0))</f>
        <v/>
      </c>
      <c r="AE43" s="2173"/>
      <c r="AF43" s="2173"/>
      <c r="AG43" s="2173"/>
      <c r="AH43" s="2173"/>
      <c r="AI43" s="2173"/>
      <c r="AJ43" s="2173"/>
      <c r="AK43" s="2173"/>
      <c r="AL43" s="2174"/>
      <c r="AM43" s="1183" t="str">
        <f>IF(TEMPLATE_GROUP="P","По данной форме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организациям "&amp;"с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"&amp;"2010 г. N 190-ФЗ ""О теплоснабжении"", а также информация о тарифах на теплоноситель в виде воды, поставляемый теплоснабжающей организацией, теплосетевой организацией в ценовых зонах "&amp;"теплоснабжения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"&amp;"6 части 1 статьи 23 4 Федерального закона от 27 июля 2010 г. N 190-ФЗ ""О теплоснабжении"".
"&amp;"Для каждого вида тарифа в сфере теплоснабжения форма заполняется отдельно.
"&amp;"При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об установлении цены"&amp;"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"&amp;"организациям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"&amp;"В соответствии с данной формой раскрывается в том числе информация о тарифах на теплоноситель в виде воды, поставляемый теплоснабжающей организаций, теплосетевой организацией в ценовых зонах теплоснабжения другим теплоснабжающим "&amp;"организациям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"&amp;"Федерального закона от 27 июля 2010 г. N 190-ФЗ ""О теплоснабжении"". 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Для каждого вида тарифа в сфере теплоснабжения форма заполняется отдельно.
В соответствии с данной формой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В соответствии с данной формой раскрывается в том числе информация о тарифах на теплоноситель в виде воды, поставляемый теплоснабжающей организаций, теплосетевой организацией в ценовых зонах 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Указывается наименование тарифа в случае предложения нескольких тарифов.
В случае наличия нескольких тарифов информация по ним указывается в отдельных строках.</v>
      </c>
      <c r="AO43" s="435"/>
      <c r="AP43" s="435" t="str">
        <f t="shared" ref="AP43:AP57" si="1">IF(T43="","",T43)</f>
        <v>Наименование тарифа</v>
      </c>
      <c r="AQ43" s="435"/>
      <c r="AR43" s="435"/>
      <c r="AS43" s="1080">
        <v>21</v>
      </c>
    </row>
    <row r="44" spans="1:45" ht="21.95" customHeight="1">
      <c r="A44" s="1288" t="s">
        <v>187</v>
      </c>
      <c r="B44" s="1288" t="s">
        <v>188</v>
      </c>
      <c r="C44" s="1288"/>
      <c r="D44" s="1288"/>
      <c r="E44" s="2187"/>
      <c r="F44" s="2186">
        <v>1</v>
      </c>
      <c r="G44" s="1288"/>
      <c r="H44" s="1288"/>
      <c r="I44" s="1288"/>
      <c r="J44" s="1288"/>
      <c r="K44" s="1288"/>
      <c r="L44" s="1289"/>
      <c r="M44" s="1290"/>
      <c r="N44" s="1290"/>
      <c r="O44" s="1290"/>
      <c r="P44" s="1257"/>
      <c r="Q44" s="287"/>
      <c r="R44" s="288"/>
      <c r="S44" s="1261" t="str">
        <f>INDEX(PT_DIFFERENTIATION_NUM_TER,MATCH(B44,PT_DIFFERENTIATION_TER_ID,0))</f>
        <v>.</v>
      </c>
      <c r="T44" s="244" t="s">
        <v>396</v>
      </c>
      <c r="U44" s="236"/>
      <c r="V44" s="2172"/>
      <c r="W44" s="2173"/>
      <c r="X44" s="2173"/>
      <c r="Y44" s="2173"/>
      <c r="Z44" s="2173"/>
      <c r="AA44" s="2173"/>
      <c r="AB44" s="2173"/>
      <c r="AC44" s="2174"/>
      <c r="AD44" s="2172" t="str">
        <f>INDEX(PT_DIFFERENTIATION_TER,MATCH(B44,PT_DIFFERENTIATION_TER_ID,0))</f>
        <v/>
      </c>
      <c r="AE44" s="2173"/>
      <c r="AF44" s="2173"/>
      <c r="AG44" s="2173"/>
      <c r="AH44" s="2173"/>
      <c r="AI44" s="2173"/>
      <c r="AJ44" s="2173"/>
      <c r="AK44" s="2173"/>
      <c r="AL44" s="2174"/>
      <c r="AM44" s="1183" t="s">
        <v>397</v>
      </c>
      <c r="AO44" s="435"/>
      <c r="AP44" s="435" t="str">
        <f t="shared" si="1"/>
        <v>Территория действия тарифа</v>
      </c>
      <c r="AQ44" s="435"/>
      <c r="AR44" s="435"/>
      <c r="AS44" s="1080">
        <v>21</v>
      </c>
    </row>
    <row r="45" spans="1:45" ht="24" customHeight="1">
      <c r="A45" s="1288" t="s">
        <v>187</v>
      </c>
      <c r="B45" s="1288" t="s">
        <v>188</v>
      </c>
      <c r="C45" s="1288" t="s">
        <v>189</v>
      </c>
      <c r="D45" s="1288"/>
      <c r="E45" s="2187"/>
      <c r="F45" s="2187"/>
      <c r="G45" s="2186">
        <v>1</v>
      </c>
      <c r="H45" s="1288"/>
      <c r="I45" s="1288"/>
      <c r="J45" s="1288"/>
      <c r="K45" s="1288"/>
      <c r="L45" s="1289"/>
      <c r="M45" s="1290"/>
      <c r="N45" s="1290"/>
      <c r="O45" s="1290"/>
      <c r="P45" s="289"/>
      <c r="Q45" s="287"/>
      <c r="R45" s="288"/>
      <c r="S45" s="1261" t="str">
        <f>INDEX(PT_DIFFERENTIATION_NUM_CS,MATCH(C45,PT_DIFFERENTIATION_CS_ID,0))</f>
        <v>..</v>
      </c>
      <c r="T45" s="245" t="s">
        <v>398</v>
      </c>
      <c r="U45" s="236"/>
      <c r="V45" s="2172"/>
      <c r="W45" s="2173"/>
      <c r="X45" s="2173"/>
      <c r="Y45" s="2173"/>
      <c r="Z45" s="2173"/>
      <c r="AA45" s="2173"/>
      <c r="AB45" s="2173"/>
      <c r="AC45" s="2174"/>
      <c r="AD45" s="2172" t="str">
        <f>INDEX(PT_DIFFERENTIATION_CS,MATCH(C45,PT_DIFFERENTIATION_CS_ID,0))</f>
        <v/>
      </c>
      <c r="AE45" s="2173"/>
      <c r="AF45" s="2173"/>
      <c r="AG45" s="2173"/>
      <c r="AH45" s="2173"/>
      <c r="AI45" s="2173"/>
      <c r="AJ45" s="2173"/>
      <c r="AK45" s="2173"/>
      <c r="AL45" s="2174"/>
      <c r="AM45" s="1183" t="s">
        <v>399</v>
      </c>
      <c r="AO45" s="435"/>
      <c r="AP45" s="435" t="str">
        <f t="shared" si="1"/>
        <v xml:space="preserve">Наименование системы теплоснабжения </v>
      </c>
      <c r="AQ45" s="435"/>
      <c r="AR45" s="435"/>
      <c r="AS45" s="1080">
        <v>23</v>
      </c>
    </row>
    <row r="46" spans="1:45" ht="21.95" customHeight="1">
      <c r="A46" s="1288" t="s">
        <v>187</v>
      </c>
      <c r="B46" s="1288" t="s">
        <v>188</v>
      </c>
      <c r="C46" s="1288" t="s">
        <v>189</v>
      </c>
      <c r="D46" s="1288" t="s">
        <v>190</v>
      </c>
      <c r="E46" s="2187"/>
      <c r="F46" s="2187"/>
      <c r="G46" s="2187"/>
      <c r="H46" s="2186">
        <v>1</v>
      </c>
      <c r="I46" s="1288"/>
      <c r="J46" s="1288"/>
      <c r="K46" s="1288"/>
      <c r="L46" s="1289"/>
      <c r="M46" s="1290"/>
      <c r="N46" s="1290"/>
      <c r="O46" s="1290"/>
      <c r="P46" s="289"/>
      <c r="Q46" s="287"/>
      <c r="R46" s="288"/>
      <c r="S46" s="1261" t="str">
        <f>INDEX(PT_DIFFERENTIATION_NUM_IST_TE,MATCH(D46,PT_DIFFERENTIATION_IST_TE_ID,0))</f>
        <v>...</v>
      </c>
      <c r="T46" s="246" t="s">
        <v>400</v>
      </c>
      <c r="U46" s="236"/>
      <c r="V46" s="2172"/>
      <c r="W46" s="2173"/>
      <c r="X46" s="2173"/>
      <c r="Y46" s="2173"/>
      <c r="Z46" s="2173"/>
      <c r="AA46" s="2173"/>
      <c r="AB46" s="2173"/>
      <c r="AC46" s="2174"/>
      <c r="AD46" s="2172" t="str">
        <f>INDEX(PT_DIFFERENTIATION_IST_TE,MATCH(D46,PT_DIFFERENTIATION_IST_TE_ID,0))</f>
        <v/>
      </c>
      <c r="AE46" s="2173"/>
      <c r="AF46" s="2173"/>
      <c r="AG46" s="2173"/>
      <c r="AH46" s="2173"/>
      <c r="AI46" s="2173"/>
      <c r="AJ46" s="2173"/>
      <c r="AK46" s="2173"/>
      <c r="AL46" s="2174"/>
      <c r="AM46" s="1183" t="s">
        <v>401</v>
      </c>
      <c r="AO46" s="435"/>
      <c r="AP46" s="435" t="str">
        <f t="shared" si="1"/>
        <v xml:space="preserve">Источник тепловой энергии  </v>
      </c>
      <c r="AQ46" s="435"/>
      <c r="AR46" s="435"/>
      <c r="AS46" s="1080">
        <v>21</v>
      </c>
    </row>
    <row r="47" spans="1:45" s="1567" customFormat="1" ht="0" hidden="1" customHeight="1">
      <c r="A47" s="1268" t="s">
        <v>187</v>
      </c>
      <c r="B47" s="1268" t="s">
        <v>188</v>
      </c>
      <c r="C47" s="1268" t="s">
        <v>189</v>
      </c>
      <c r="D47" s="1268" t="s">
        <v>190</v>
      </c>
      <c r="E47" s="2187"/>
      <c r="F47" s="2187"/>
      <c r="G47" s="2187"/>
      <c r="H47" s="2187"/>
      <c r="I47" s="2184" t="str">
        <f>S46&amp;".1"</f>
        <v>....1</v>
      </c>
      <c r="J47" s="1268"/>
      <c r="K47" s="1268"/>
      <c r="L47" s="1271" t="s">
        <v>402</v>
      </c>
      <c r="M47" s="445"/>
      <c r="N47" s="445"/>
      <c r="O47" s="445"/>
      <c r="P47" s="2185">
        <v>1</v>
      </c>
      <c r="Q47" s="1256"/>
      <c r="R47" s="291"/>
      <c r="S47" s="970"/>
      <c r="T47" s="1308"/>
      <c r="U47" s="1309"/>
      <c r="V47" s="2215"/>
      <c r="W47" s="2216"/>
      <c r="X47" s="2216"/>
      <c r="Y47" s="2216"/>
      <c r="Z47" s="2216"/>
      <c r="AA47" s="2216"/>
      <c r="AB47" s="2216"/>
      <c r="AC47" s="2217"/>
      <c r="AD47" s="2215"/>
      <c r="AE47" s="2216"/>
      <c r="AF47" s="2216"/>
      <c r="AG47" s="2216"/>
      <c r="AH47" s="2216"/>
      <c r="AI47" s="2216"/>
      <c r="AJ47" s="2216"/>
      <c r="AK47" s="2216"/>
      <c r="AL47" s="2217"/>
      <c r="AM47" s="1310"/>
      <c r="AO47" s="435"/>
      <c r="AP47" s="435" t="str">
        <f t="shared" si="1"/>
        <v/>
      </c>
      <c r="AQ47" s="435"/>
      <c r="AR47" s="435"/>
      <c r="AS47" s="446">
        <v>0</v>
      </c>
    </row>
    <row r="48" spans="1:45" ht="21.95" customHeight="1">
      <c r="A48" s="1288" t="s">
        <v>187</v>
      </c>
      <c r="B48" s="1288" t="s">
        <v>188</v>
      </c>
      <c r="C48" s="1288" t="s">
        <v>189</v>
      </c>
      <c r="D48" s="1288" t="s">
        <v>190</v>
      </c>
      <c r="E48" s="2187"/>
      <c r="F48" s="2187"/>
      <c r="G48" s="2187"/>
      <c r="H48" s="2187"/>
      <c r="I48" s="2207"/>
      <c r="J48" s="2184" t="str">
        <f>S46&amp;".1"</f>
        <v>....1</v>
      </c>
      <c r="K48" s="1288"/>
      <c r="L48" s="1289" t="s">
        <v>405</v>
      </c>
      <c r="P48" s="2185"/>
      <c r="Q48" s="2185">
        <v>1</v>
      </c>
      <c r="R48" s="292"/>
      <c r="S48" s="1261" t="str">
        <f>$J48</f>
        <v>....1</v>
      </c>
      <c r="T48" s="222" t="s">
        <v>406</v>
      </c>
      <c r="U48" s="236"/>
      <c r="V48" s="2175"/>
      <c r="W48" s="2176"/>
      <c r="X48" s="2176"/>
      <c r="Y48" s="2176"/>
      <c r="Z48" s="2176"/>
      <c r="AA48" s="2176"/>
      <c r="AB48" s="2176"/>
      <c r="AC48" s="2177"/>
      <c r="AD48" s="2175"/>
      <c r="AE48" s="2176"/>
      <c r="AF48" s="2176"/>
      <c r="AG48" s="2176"/>
      <c r="AH48" s="2176"/>
      <c r="AI48" s="2176"/>
      <c r="AJ48" s="2176"/>
      <c r="AK48" s="2176"/>
      <c r="AL48" s="2177"/>
      <c r="AM48" s="1183" t="s">
        <v>407</v>
      </c>
      <c r="AO48" s="435"/>
      <c r="AP48" s="435" t="str">
        <f t="shared" si="1"/>
        <v>Группа потребителей</v>
      </c>
      <c r="AQ48" s="435"/>
      <c r="AR48" s="435"/>
      <c r="AS48" s="1080">
        <v>21</v>
      </c>
    </row>
    <row r="49" spans="1:45" ht="21.95" customHeight="1">
      <c r="A49" s="1288" t="s">
        <v>187</v>
      </c>
      <c r="B49" s="1288" t="s">
        <v>188</v>
      </c>
      <c r="C49" s="1288" t="s">
        <v>189</v>
      </c>
      <c r="D49" s="1288" t="s">
        <v>190</v>
      </c>
      <c r="E49" s="2187"/>
      <c r="F49" s="2187"/>
      <c r="G49" s="2187"/>
      <c r="H49" s="2187"/>
      <c r="I49" s="2207"/>
      <c r="J49" s="2207"/>
      <c r="K49" s="2184" t="str">
        <f>J48&amp;".1"</f>
        <v>....1.1</v>
      </c>
      <c r="L49" s="1289" t="s">
        <v>408</v>
      </c>
      <c r="P49" s="2185"/>
      <c r="Q49" s="2185"/>
      <c r="R49" s="292">
        <v>1</v>
      </c>
      <c r="S49" s="1261" t="str">
        <f>$K49</f>
        <v>....1.1</v>
      </c>
      <c r="T49" s="1272"/>
      <c r="U49" s="236"/>
      <c r="V49" s="686"/>
      <c r="W49" s="261"/>
      <c r="X49" s="686"/>
      <c r="Y49" s="1182"/>
      <c r="Z49" s="2189"/>
      <c r="AA49" s="2047" t="s">
        <v>66</v>
      </c>
      <c r="AB49" s="2189"/>
      <c r="AC49" s="2047" t="s">
        <v>66</v>
      </c>
      <c r="AD49" s="686"/>
      <c r="AE49" s="261"/>
      <c r="AF49" s="686"/>
      <c r="AG49" s="1182"/>
      <c r="AH49" s="2189"/>
      <c r="AI49" s="2047" t="s">
        <v>66</v>
      </c>
      <c r="AJ49" s="2208"/>
      <c r="AK49" s="2047" t="s">
        <v>66</v>
      </c>
      <c r="AL49" s="1273"/>
      <c r="AM49" s="2181" t="s">
        <v>450</v>
      </c>
      <c r="AN49" s="446" t="e">
        <f ca="1">STRCHECKDATE(V50:AL50)</f>
        <v>#NAME?</v>
      </c>
      <c r="AO49" s="435"/>
      <c r="AP49" s="435" t="str">
        <f t="shared" si="1"/>
        <v/>
      </c>
      <c r="AQ49" s="435"/>
      <c r="AR49" s="435"/>
      <c r="AS49" s="1080">
        <v>21</v>
      </c>
    </row>
    <row r="50" spans="1:45" ht="0" hidden="1" customHeight="1">
      <c r="A50" s="1288" t="s">
        <v>187</v>
      </c>
      <c r="B50" s="1288" t="s">
        <v>188</v>
      </c>
      <c r="C50" s="1288" t="s">
        <v>189</v>
      </c>
      <c r="D50" s="1288" t="s">
        <v>190</v>
      </c>
      <c r="E50" s="2187"/>
      <c r="F50" s="2187"/>
      <c r="G50" s="2187"/>
      <c r="H50" s="2187"/>
      <c r="I50" s="2207"/>
      <c r="J50" s="2207"/>
      <c r="K50" s="2184"/>
      <c r="L50" s="1289"/>
      <c r="P50" s="2185"/>
      <c r="Q50" s="2185"/>
      <c r="R50" s="292"/>
      <c r="S50" s="1267"/>
      <c r="T50" s="236"/>
      <c r="U50" s="236"/>
      <c r="V50" s="261"/>
      <c r="W50" s="261"/>
      <c r="X50" s="261"/>
      <c r="Y50" s="264" t="str">
        <f>Z49&amp;"-"&amp;AB49</f>
        <v>-</v>
      </c>
      <c r="Z50" s="2190"/>
      <c r="AA50" s="2047"/>
      <c r="AB50" s="2190"/>
      <c r="AC50" s="2047"/>
      <c r="AD50" s="261"/>
      <c r="AE50" s="261"/>
      <c r="AF50" s="261"/>
      <c r="AG50" s="264" t="str">
        <f>AH49&amp;"-"&amp;AJ49</f>
        <v>-</v>
      </c>
      <c r="AH50" s="2190"/>
      <c r="AI50" s="2047"/>
      <c r="AJ50" s="2209"/>
      <c r="AK50" s="2047"/>
      <c r="AL50" s="1274"/>
      <c r="AM50" s="2182"/>
      <c r="AO50" s="435"/>
      <c r="AP50" s="435" t="str">
        <f t="shared" si="1"/>
        <v/>
      </c>
      <c r="AQ50" s="435"/>
      <c r="AR50" s="435"/>
      <c r="AS50" s="1080">
        <v>0</v>
      </c>
    </row>
    <row r="51" spans="1:45" ht="11.45" customHeight="1">
      <c r="A51" s="1288" t="s">
        <v>187</v>
      </c>
      <c r="B51" s="1288" t="s">
        <v>188</v>
      </c>
      <c r="C51" s="1288" t="s">
        <v>189</v>
      </c>
      <c r="D51" s="1288" t="s">
        <v>190</v>
      </c>
      <c r="E51" s="2187"/>
      <c r="F51" s="2187"/>
      <c r="G51" s="2187"/>
      <c r="H51" s="2187"/>
      <c r="I51" s="2207"/>
      <c r="J51" s="2184"/>
      <c r="K51" s="1288"/>
      <c r="L51" s="1289"/>
      <c r="P51" s="2185"/>
      <c r="Q51" s="2185"/>
      <c r="R51" s="291"/>
      <c r="S51" s="1203"/>
      <c r="T51" s="223" t="s">
        <v>410</v>
      </c>
      <c r="U51" s="302"/>
      <c r="V51" s="302"/>
      <c r="W51" s="302"/>
      <c r="X51" s="302"/>
      <c r="Y51" s="302"/>
      <c r="Z51" s="302"/>
      <c r="AA51" s="302"/>
      <c r="AB51" s="302"/>
      <c r="AC51" s="302"/>
      <c r="AD51" s="302"/>
      <c r="AE51" s="302"/>
      <c r="AF51" s="302"/>
      <c r="AG51" s="302"/>
      <c r="AH51" s="302"/>
      <c r="AI51" s="302"/>
      <c r="AJ51" s="302"/>
      <c r="AK51" s="302"/>
      <c r="AL51" s="260"/>
      <c r="AM51" s="2183"/>
      <c r="AO51" s="435"/>
      <c r="AP51" s="435" t="str">
        <f t="shared" si="1"/>
        <v>Добавить вид теплоносителя (параметры теплоносителя)</v>
      </c>
      <c r="AQ51" s="435"/>
      <c r="AR51" s="435"/>
      <c r="AS51" s="1080">
        <v>11</v>
      </c>
    </row>
    <row r="52" spans="1:45" ht="11.45" customHeight="1">
      <c r="A52" s="1288" t="s">
        <v>187</v>
      </c>
      <c r="B52" s="1288" t="s">
        <v>188</v>
      </c>
      <c r="C52" s="1288" t="s">
        <v>189</v>
      </c>
      <c r="D52" s="1288" t="s">
        <v>190</v>
      </c>
      <c r="E52" s="2187"/>
      <c r="F52" s="2187"/>
      <c r="G52" s="2187"/>
      <c r="H52" s="2187"/>
      <c r="I52" s="2184"/>
      <c r="J52" s="1288"/>
      <c r="K52" s="1288"/>
      <c r="L52" s="1289"/>
      <c r="P52" s="2185"/>
      <c r="Q52" s="1256"/>
      <c r="R52" s="291"/>
      <c r="S52" s="1203"/>
      <c r="T52" s="300" t="s">
        <v>411</v>
      </c>
      <c r="U52" s="302"/>
      <c r="V52" s="302"/>
      <c r="W52" s="302"/>
      <c r="X52" s="302"/>
      <c r="Y52" s="302"/>
      <c r="Z52" s="302"/>
      <c r="AA52" s="302"/>
      <c r="AB52" s="302"/>
      <c r="AC52" s="301"/>
      <c r="AD52" s="302"/>
      <c r="AE52" s="302"/>
      <c r="AF52" s="302"/>
      <c r="AG52" s="302"/>
      <c r="AH52" s="302"/>
      <c r="AI52" s="302"/>
      <c r="AJ52" s="302"/>
      <c r="AK52" s="301"/>
      <c r="AL52" s="302"/>
      <c r="AM52" s="239"/>
      <c r="AO52" s="435"/>
      <c r="AP52" s="435" t="str">
        <f t="shared" si="1"/>
        <v>Добавить группу потребителей</v>
      </c>
      <c r="AQ52" s="435"/>
      <c r="AR52" s="435"/>
      <c r="AS52" s="1080">
        <v>11</v>
      </c>
    </row>
    <row r="53" spans="1:45" ht="0" hidden="1" customHeight="1">
      <c r="A53" s="1288" t="s">
        <v>187</v>
      </c>
      <c r="B53" s="1288" t="s">
        <v>188</v>
      </c>
      <c r="C53" s="1288" t="s">
        <v>189</v>
      </c>
      <c r="D53" s="1288" t="s">
        <v>190</v>
      </c>
      <c r="E53" s="2187"/>
      <c r="F53" s="2187"/>
      <c r="G53" s="2187"/>
      <c r="H53" s="2186"/>
      <c r="I53" s="1288"/>
      <c r="J53" s="1288"/>
      <c r="K53" s="1288"/>
      <c r="L53" s="1289"/>
      <c r="M53" s="1290"/>
      <c r="N53" s="1290"/>
      <c r="O53" s="472"/>
      <c r="P53" s="295"/>
      <c r="Q53" s="310"/>
      <c r="R53" s="290"/>
      <c r="S53" s="1311"/>
      <c r="T53" s="1312"/>
      <c r="U53" s="1313"/>
      <c r="V53" s="1313"/>
      <c r="W53" s="1313"/>
      <c r="X53" s="1313"/>
      <c r="Y53" s="1313"/>
      <c r="Z53" s="1313"/>
      <c r="AA53" s="1313"/>
      <c r="AB53" s="1313"/>
      <c r="AC53" s="1313"/>
      <c r="AD53" s="1313"/>
      <c r="AE53" s="1313"/>
      <c r="AF53" s="1313"/>
      <c r="AG53" s="1313"/>
      <c r="AH53" s="1313"/>
      <c r="AI53" s="1313"/>
      <c r="AJ53" s="1313"/>
      <c r="AK53" s="1313"/>
      <c r="AL53" s="1313"/>
      <c r="AM53" s="1314"/>
      <c r="AO53" s="435"/>
      <c r="AP53" s="435" t="str">
        <f t="shared" si="1"/>
        <v/>
      </c>
      <c r="AQ53" s="435"/>
      <c r="AR53" s="435"/>
      <c r="AS53" s="1080">
        <v>0</v>
      </c>
    </row>
    <row r="54" spans="1:45" s="1567" customFormat="1" ht="0" hidden="1" customHeight="1">
      <c r="A54" s="1268" t="s">
        <v>187</v>
      </c>
      <c r="B54" s="1268" t="s">
        <v>188</v>
      </c>
      <c r="C54" s="1268" t="s">
        <v>189</v>
      </c>
      <c r="D54" s="1239"/>
      <c r="E54" s="2187"/>
      <c r="F54" s="2187"/>
      <c r="G54" s="2186"/>
      <c r="H54" s="1239"/>
      <c r="I54" s="1239"/>
      <c r="J54" s="1239"/>
      <c r="K54" s="1239"/>
      <c r="L54" s="1264"/>
      <c r="M54" s="1240"/>
      <c r="N54" s="1240"/>
      <c r="P54" s="1241"/>
      <c r="Q54" s="1242"/>
      <c r="R54" s="1241"/>
      <c r="S54" s="1247"/>
      <c r="T54" s="1250" t="s">
        <v>413</v>
      </c>
      <c r="U54" s="1249"/>
      <c r="V54" s="1249"/>
      <c r="W54" s="1249"/>
      <c r="X54" s="1249"/>
      <c r="Y54" s="1249"/>
      <c r="Z54" s="1249"/>
      <c r="AA54" s="1249"/>
      <c r="AB54" s="1249"/>
      <c r="AC54" s="1249"/>
      <c r="AD54" s="1249"/>
      <c r="AE54" s="1249"/>
      <c r="AF54" s="1249"/>
      <c r="AG54" s="1249"/>
      <c r="AH54" s="1249"/>
      <c r="AI54" s="1249"/>
      <c r="AJ54" s="1249"/>
      <c r="AK54" s="1249"/>
      <c r="AL54" s="1249"/>
      <c r="AM54" s="1249"/>
      <c r="AO54" s="718"/>
      <c r="AP54" s="718" t="str">
        <f t="shared" si="1"/>
        <v>Добавить источник для дифференциации</v>
      </c>
      <c r="AQ54" s="718"/>
      <c r="AR54" s="718"/>
      <c r="AS54" s="453">
        <v>0</v>
      </c>
    </row>
    <row r="55" spans="1:45" s="1567" customFormat="1" ht="0" hidden="1" customHeight="1">
      <c r="A55" s="1268" t="s">
        <v>187</v>
      </c>
      <c r="B55" s="1268" t="s">
        <v>188</v>
      </c>
      <c r="C55" s="1239"/>
      <c r="D55" s="1239"/>
      <c r="E55" s="2187"/>
      <c r="F55" s="2186"/>
      <c r="G55" s="1239"/>
      <c r="H55" s="1239"/>
      <c r="I55" s="1239"/>
      <c r="J55" s="1239"/>
      <c r="K55" s="1239"/>
      <c r="L55" s="1264"/>
      <c r="M55" s="1246"/>
      <c r="N55" s="1246"/>
      <c r="P55" s="1241"/>
      <c r="Q55" s="1242"/>
      <c r="R55" s="1241"/>
      <c r="S55" s="1247"/>
      <c r="T55" s="1250" t="s">
        <v>414</v>
      </c>
      <c r="U55" s="1249"/>
      <c r="V55" s="1249"/>
      <c r="W55" s="1249"/>
      <c r="X55" s="1249"/>
      <c r="Y55" s="1249"/>
      <c r="Z55" s="1249"/>
      <c r="AA55" s="1249"/>
      <c r="AB55" s="1249"/>
      <c r="AC55" s="1249"/>
      <c r="AD55" s="1249"/>
      <c r="AE55" s="1249"/>
      <c r="AF55" s="1249"/>
      <c r="AG55" s="1249"/>
      <c r="AH55" s="1249"/>
      <c r="AI55" s="1249"/>
      <c r="AJ55" s="1249"/>
      <c r="AK55" s="1249"/>
      <c r="AL55" s="1249"/>
      <c r="AM55" s="1249"/>
      <c r="AO55" s="718"/>
      <c r="AP55" s="718" t="str">
        <f t="shared" si="1"/>
        <v>Добавить централизованную систему для дифференциации</v>
      </c>
      <c r="AQ55" s="718"/>
      <c r="AR55" s="718"/>
      <c r="AS55" s="453">
        <v>0</v>
      </c>
    </row>
    <row r="56" spans="1:45" s="1567" customFormat="1" ht="0" hidden="1" customHeight="1">
      <c r="A56" s="1268" t="s">
        <v>187</v>
      </c>
      <c r="B56" s="1268"/>
      <c r="C56" s="1268"/>
      <c r="D56" s="1268"/>
      <c r="E56" s="2186"/>
      <c r="F56" s="1268"/>
      <c r="G56" s="1268"/>
      <c r="H56" s="1268"/>
      <c r="I56" s="1268"/>
      <c r="J56" s="1268"/>
      <c r="K56" s="1268"/>
      <c r="L56" s="1271"/>
      <c r="M56" s="1246"/>
      <c r="N56" s="1246"/>
      <c r="O56" s="453"/>
      <c r="P56" s="315"/>
      <c r="Q56" s="1269"/>
      <c r="R56" s="315"/>
      <c r="S56" s="1247"/>
      <c r="T56" s="1250" t="s">
        <v>415</v>
      </c>
      <c r="U56" s="1249"/>
      <c r="V56" s="1249"/>
      <c r="W56" s="1249"/>
      <c r="X56" s="1249"/>
      <c r="Y56" s="1249"/>
      <c r="Z56" s="1249"/>
      <c r="AA56" s="1249"/>
      <c r="AB56" s="1249"/>
      <c r="AC56" s="1249"/>
      <c r="AD56" s="1249"/>
      <c r="AE56" s="1249"/>
      <c r="AF56" s="1249"/>
      <c r="AG56" s="1249"/>
      <c r="AH56" s="1249"/>
      <c r="AI56" s="1249"/>
      <c r="AJ56" s="1249"/>
      <c r="AK56" s="1249"/>
      <c r="AL56" s="1249"/>
      <c r="AM56" s="1249"/>
      <c r="AO56" s="435"/>
      <c r="AP56" s="435" t="str">
        <f t="shared" si="1"/>
        <v>Добавить территорию для дифференциации</v>
      </c>
      <c r="AQ56" s="435"/>
      <c r="AR56" s="435"/>
      <c r="AS56" s="446">
        <v>0</v>
      </c>
    </row>
    <row r="57" spans="1:45" s="1567" customFormat="1" ht="4.1500000000000004" customHeight="1">
      <c r="A57" s="1239"/>
      <c r="B57" s="1239"/>
      <c r="C57" s="1239"/>
      <c r="D57" s="1239"/>
      <c r="E57" s="1268"/>
      <c r="F57" s="1239"/>
      <c r="G57" s="1239"/>
      <c r="H57" s="1239"/>
      <c r="I57" s="1239"/>
      <c r="J57" s="1239"/>
      <c r="K57" s="1239"/>
      <c r="L57" s="1264"/>
      <c r="M57" s="1246"/>
      <c r="N57" s="1246"/>
      <c r="P57" s="1241"/>
      <c r="Q57" s="1242"/>
      <c r="R57" s="1241"/>
      <c r="S57" s="1247"/>
      <c r="T57" s="1250" t="s">
        <v>447</v>
      </c>
      <c r="U57" s="1249"/>
      <c r="V57" s="1249"/>
      <c r="W57" s="1249"/>
      <c r="X57" s="1249"/>
      <c r="Y57" s="1249"/>
      <c r="Z57" s="1249"/>
      <c r="AA57" s="1249"/>
      <c r="AB57" s="1249"/>
      <c r="AC57" s="1249"/>
      <c r="AD57" s="1249"/>
      <c r="AE57" s="1249"/>
      <c r="AF57" s="1249"/>
      <c r="AG57" s="1249"/>
      <c r="AH57" s="1249"/>
      <c r="AI57" s="1249"/>
      <c r="AJ57" s="1249"/>
      <c r="AK57" s="1249"/>
      <c r="AL57" s="1249"/>
      <c r="AM57" s="1249"/>
      <c r="AO57" s="718"/>
      <c r="AP57" s="718" t="str">
        <f t="shared" si="1"/>
        <v>Добавить наименование тарифа</v>
      </c>
      <c r="AQ57" s="718"/>
      <c r="AR57" s="718"/>
      <c r="AS57" s="453">
        <v>4</v>
      </c>
    </row>
    <row r="58" spans="1:45" ht="11.45" customHeight="1">
      <c r="M58" s="1085"/>
      <c r="N58" s="1085"/>
      <c r="O58" s="472"/>
      <c r="P58" s="1080"/>
      <c r="Q58" s="1080"/>
      <c r="R58" s="1080"/>
      <c r="S58" s="1080"/>
      <c r="AN58" s="1080"/>
      <c r="AO58" s="1080"/>
      <c r="AP58" s="1080"/>
      <c r="AQ58" s="1080"/>
      <c r="AR58" s="1080"/>
      <c r="AS58" s="1080">
        <v>11</v>
      </c>
    </row>
    <row r="59" spans="1:45" ht="14.65" customHeight="1">
      <c r="O59" s="472"/>
      <c r="S59" s="1178"/>
      <c r="T59" s="2206"/>
      <c r="U59" s="2206"/>
      <c r="V59" s="2206"/>
      <c r="W59" s="2206"/>
      <c r="X59" s="2206"/>
      <c r="Y59" s="2206"/>
      <c r="Z59" s="2206"/>
      <c r="AA59" s="2206"/>
      <c r="AB59" s="2206"/>
      <c r="AC59" s="2206"/>
      <c r="AD59" s="2206"/>
      <c r="AE59" s="2206"/>
      <c r="AF59" s="2206"/>
      <c r="AG59" s="2206"/>
      <c r="AH59" s="2206"/>
      <c r="AI59" s="2206"/>
      <c r="AJ59" s="2206"/>
      <c r="AK59" s="2206"/>
      <c r="AL59" s="2206"/>
      <c r="AM59" s="2206"/>
      <c r="AS59" s="1080">
        <v>14</v>
      </c>
    </row>
    <row r="60" spans="1:45" ht="14.65" customHeight="1">
      <c r="O60" s="472"/>
      <c r="T60" s="2206"/>
      <c r="U60" s="2206"/>
      <c r="V60" s="2206"/>
      <c r="W60" s="2206"/>
      <c r="X60" s="2206"/>
      <c r="Y60" s="2206"/>
      <c r="Z60" s="2206"/>
      <c r="AA60" s="2206"/>
      <c r="AB60" s="2206"/>
      <c r="AC60" s="2206"/>
      <c r="AD60" s="2206"/>
      <c r="AE60" s="2206"/>
      <c r="AF60" s="2206"/>
      <c r="AG60" s="2206"/>
      <c r="AH60" s="2206"/>
      <c r="AI60" s="2206"/>
      <c r="AJ60" s="2206"/>
      <c r="AK60" s="2206"/>
      <c r="AL60" s="2206"/>
      <c r="AM60" s="2206"/>
      <c r="AS60" s="1080">
        <v>14</v>
      </c>
    </row>
    <row r="61" spans="1:45" ht="14.65" customHeight="1">
      <c r="O61" s="472"/>
      <c r="T61" s="2206"/>
      <c r="U61" s="2206"/>
      <c r="V61" s="2206"/>
      <c r="W61" s="2206"/>
      <c r="X61" s="2206"/>
      <c r="Y61" s="2206"/>
      <c r="Z61" s="2206"/>
      <c r="AA61" s="2206"/>
      <c r="AB61" s="2206"/>
      <c r="AC61" s="2206"/>
      <c r="AD61" s="2206"/>
      <c r="AE61" s="2206"/>
      <c r="AF61" s="2206"/>
      <c r="AG61" s="2206"/>
      <c r="AH61" s="2206"/>
      <c r="AI61" s="2206"/>
      <c r="AJ61" s="2206"/>
      <c r="AK61" s="2206"/>
      <c r="AL61" s="2206"/>
      <c r="AM61" s="2206"/>
      <c r="AS61" s="1080">
        <v>14</v>
      </c>
    </row>
    <row r="62" spans="1:45" ht="14.65" customHeight="1">
      <c r="O62" s="472"/>
      <c r="AS62" s="1080">
        <v>14</v>
      </c>
    </row>
    <row r="63" spans="1:45" ht="14.65" customHeight="1">
      <c r="O63" s="472"/>
      <c r="S63" s="1178"/>
      <c r="T63" s="2113"/>
      <c r="U63" s="2206"/>
      <c r="V63" s="2206"/>
      <c r="W63" s="2206"/>
      <c r="X63" s="2206"/>
      <c r="Y63" s="2206"/>
      <c r="Z63" s="2206"/>
      <c r="AA63" s="2206"/>
      <c r="AB63" s="2206"/>
      <c r="AC63" s="2206"/>
      <c r="AD63" s="2206"/>
      <c r="AE63" s="2206"/>
      <c r="AF63" s="2206"/>
      <c r="AG63" s="2206"/>
      <c r="AH63" s="2206"/>
      <c r="AI63" s="2206"/>
      <c r="AJ63" s="2206"/>
      <c r="AK63" s="2206"/>
      <c r="AL63" s="2206"/>
      <c r="AM63" s="2206"/>
      <c r="AS63" s="1080">
        <v>14</v>
      </c>
    </row>
    <row r="64" spans="1:45" ht="14.65" customHeight="1">
      <c r="O64" s="472"/>
      <c r="T64" s="2206"/>
      <c r="U64" s="2206"/>
      <c r="V64" s="2206"/>
      <c r="W64" s="2206"/>
      <c r="X64" s="2206"/>
      <c r="Y64" s="2206"/>
      <c r="Z64" s="2206"/>
      <c r="AA64" s="2206"/>
      <c r="AB64" s="2206"/>
      <c r="AC64" s="2206"/>
      <c r="AD64" s="2206"/>
      <c r="AE64" s="2206"/>
      <c r="AF64" s="2206"/>
      <c r="AG64" s="2206"/>
      <c r="AH64" s="2206"/>
      <c r="AI64" s="2206"/>
      <c r="AJ64" s="2206"/>
      <c r="AK64" s="2206"/>
      <c r="AL64" s="2206"/>
      <c r="AM64" s="2206"/>
      <c r="AS64" s="1080">
        <v>14</v>
      </c>
    </row>
    <row r="65" spans="1:45" ht="14.65" customHeight="1">
      <c r="T65" s="2206"/>
      <c r="U65" s="2206"/>
      <c r="V65" s="2206"/>
      <c r="W65" s="2206"/>
      <c r="X65" s="2206"/>
      <c r="Y65" s="2206"/>
      <c r="Z65" s="2206"/>
      <c r="AA65" s="2206"/>
      <c r="AB65" s="2206"/>
      <c r="AC65" s="2206"/>
      <c r="AD65" s="2206"/>
      <c r="AE65" s="2206"/>
      <c r="AF65" s="2206"/>
      <c r="AG65" s="2206"/>
      <c r="AH65" s="2206"/>
      <c r="AI65" s="2206"/>
      <c r="AJ65" s="2206"/>
      <c r="AK65" s="2206"/>
      <c r="AL65" s="2206"/>
      <c r="AM65" s="2206"/>
      <c r="AS65" s="1080">
        <v>14</v>
      </c>
    </row>
    <row r="66" spans="1:45" ht="22.5" hidden="1" customHeight="1">
      <c r="A66" s="1085" t="s">
        <v>82</v>
      </c>
      <c r="B66" s="1085">
        <v>0</v>
      </c>
      <c r="C66" s="1085">
        <v>0</v>
      </c>
      <c r="D66" s="1085">
        <v>0</v>
      </c>
      <c r="E66" s="1085">
        <v>0</v>
      </c>
      <c r="F66" s="1085">
        <v>0</v>
      </c>
      <c r="G66" s="1085">
        <v>0</v>
      </c>
      <c r="H66" s="1085">
        <v>0</v>
      </c>
      <c r="I66" s="1085">
        <v>0</v>
      </c>
      <c r="J66" s="1085">
        <v>0</v>
      </c>
      <c r="K66" s="1085">
        <v>0</v>
      </c>
      <c r="L66" s="1254">
        <v>0</v>
      </c>
      <c r="M66" s="1287">
        <v>0</v>
      </c>
      <c r="N66" s="1287">
        <v>0</v>
      </c>
      <c r="O66" s="1287">
        <v>0</v>
      </c>
      <c r="P66" s="1253">
        <v>0</v>
      </c>
      <c r="Q66" s="280">
        <v>3</v>
      </c>
      <c r="R66" s="280">
        <v>3</v>
      </c>
      <c r="S66" s="516">
        <v>12</v>
      </c>
      <c r="T66" s="1080">
        <v>31</v>
      </c>
      <c r="U66" s="1080">
        <v>0</v>
      </c>
      <c r="V66" s="1080">
        <v>0</v>
      </c>
      <c r="W66" s="1080">
        <v>0</v>
      </c>
      <c r="X66" s="1080">
        <v>0</v>
      </c>
      <c r="Y66" s="1080">
        <v>0</v>
      </c>
      <c r="Z66" s="1080">
        <v>0</v>
      </c>
      <c r="AA66" s="1080">
        <v>0</v>
      </c>
      <c r="AB66" s="1080">
        <v>0</v>
      </c>
      <c r="AC66" s="1080">
        <v>0</v>
      </c>
      <c r="AD66" s="1080">
        <v>24</v>
      </c>
      <c r="AE66" s="1080">
        <v>0</v>
      </c>
      <c r="AF66" s="1080">
        <v>24</v>
      </c>
      <c r="AG66" s="1080">
        <v>24</v>
      </c>
      <c r="AH66" s="1080">
        <v>11</v>
      </c>
      <c r="AI66" s="1080">
        <v>3</v>
      </c>
      <c r="AJ66" s="1080">
        <v>11</v>
      </c>
      <c r="AK66" s="1080">
        <v>0</v>
      </c>
      <c r="AL66" s="1080">
        <v>4</v>
      </c>
      <c r="AM66" s="1080">
        <v>115</v>
      </c>
      <c r="AN66" s="446">
        <v>10</v>
      </c>
      <c r="AO66" s="446">
        <v>10</v>
      </c>
      <c r="AP66" s="446">
        <v>10</v>
      </c>
      <c r="AQ66" s="446">
        <v>10</v>
      </c>
      <c r="AR66" s="446">
        <v>10</v>
      </c>
      <c r="AS66" s="1080">
        <v>23</v>
      </c>
    </row>
  </sheetData>
  <sheetProtection formatColumns="0" formatRows="0" insertRows="0" deleteColumns="0" deleteRows="0" sort="0" autoFilter="0"/>
  <mergeCells count="113">
    <mergeCell ref="V37:AC37"/>
    <mergeCell ref="AD37:AK37"/>
    <mergeCell ref="AI49:AI50"/>
    <mergeCell ref="AJ49:AJ50"/>
    <mergeCell ref="AK49:AK50"/>
    <mergeCell ref="T65:AM65"/>
    <mergeCell ref="S34:T34"/>
    <mergeCell ref="V34:AB34"/>
    <mergeCell ref="AD34:AJ34"/>
    <mergeCell ref="S35:T35"/>
    <mergeCell ref="V35:AB35"/>
    <mergeCell ref="AD35:AJ35"/>
    <mergeCell ref="T63:AM63"/>
    <mergeCell ref="T64:AM64"/>
    <mergeCell ref="AM49:AM51"/>
    <mergeCell ref="T59:AM59"/>
    <mergeCell ref="T60:AM60"/>
    <mergeCell ref="T61:AM61"/>
    <mergeCell ref="V47:AC47"/>
    <mergeCell ref="AD47:AL47"/>
    <mergeCell ref="AA42:AB42"/>
    <mergeCell ref="AI42:AJ42"/>
    <mergeCell ref="AE40:AE41"/>
    <mergeCell ref="AF40:AG40"/>
    <mergeCell ref="E43:E56"/>
    <mergeCell ref="V43:AC43"/>
    <mergeCell ref="AD43:AL43"/>
    <mergeCell ref="F44:F55"/>
    <mergeCell ref="V44:AC44"/>
    <mergeCell ref="AD44:AL44"/>
    <mergeCell ref="G45:G54"/>
    <mergeCell ref="V45:AC45"/>
    <mergeCell ref="AD45:AL45"/>
    <mergeCell ref="H46:H53"/>
    <mergeCell ref="V46:AC46"/>
    <mergeCell ref="AD46:AL46"/>
    <mergeCell ref="I47:I52"/>
    <mergeCell ref="P47:P52"/>
    <mergeCell ref="J48:J51"/>
    <mergeCell ref="Q48:Q51"/>
    <mergeCell ref="V48:AC48"/>
    <mergeCell ref="AD48:AL48"/>
    <mergeCell ref="K49:K50"/>
    <mergeCell ref="Z49:Z50"/>
    <mergeCell ref="AA49:AA50"/>
    <mergeCell ref="AB49:AB50"/>
    <mergeCell ref="AC49:AC50"/>
    <mergeCell ref="AH49:AH50"/>
    <mergeCell ref="S38:AL38"/>
    <mergeCell ref="AM38:AM41"/>
    <mergeCell ref="S39:S41"/>
    <mergeCell ref="T39:T41"/>
    <mergeCell ref="V39:AB39"/>
    <mergeCell ref="AC39:AC41"/>
    <mergeCell ref="AD39:AJ39"/>
    <mergeCell ref="AK39:AK41"/>
    <mergeCell ref="AL39:AL41"/>
    <mergeCell ref="V40:V41"/>
    <mergeCell ref="W40:W41"/>
    <mergeCell ref="X40:Y40"/>
    <mergeCell ref="Z40:AB40"/>
    <mergeCell ref="AD40:AD41"/>
    <mergeCell ref="AI41:AJ41"/>
    <mergeCell ref="AH40:AJ40"/>
    <mergeCell ref="AA41:AB41"/>
    <mergeCell ref="S31:T31"/>
    <mergeCell ref="V31:AB31"/>
    <mergeCell ref="AD31:AJ31"/>
    <mergeCell ref="S32:T32"/>
    <mergeCell ref="V32:AB32"/>
    <mergeCell ref="AD32:AJ32"/>
    <mergeCell ref="S27:AJ27"/>
    <mergeCell ref="S29:T29"/>
    <mergeCell ref="V29:AB29"/>
    <mergeCell ref="AD29:AJ29"/>
    <mergeCell ref="S30:T30"/>
    <mergeCell ref="V30:AB30"/>
    <mergeCell ref="AD30:AJ30"/>
    <mergeCell ref="AM8:AM10"/>
    <mergeCell ref="AH17:AH18"/>
    <mergeCell ref="AI17:AI18"/>
    <mergeCell ref="AJ17:AJ18"/>
    <mergeCell ref="AK17:AK18"/>
    <mergeCell ref="J7:J10"/>
    <mergeCell ref="Q7:Q10"/>
    <mergeCell ref="V7:AC7"/>
    <mergeCell ref="AD7:AL7"/>
    <mergeCell ref="K8:K9"/>
    <mergeCell ref="Z8:Z9"/>
    <mergeCell ref="AA8:AA9"/>
    <mergeCell ref="AB8:AB9"/>
    <mergeCell ref="AC8:AC9"/>
    <mergeCell ref="AH8:AH9"/>
    <mergeCell ref="AI8:AI9"/>
    <mergeCell ref="AJ8:AJ9"/>
    <mergeCell ref="AK8:AK9"/>
    <mergeCell ref="S26:AJ26"/>
    <mergeCell ref="E2:E15"/>
    <mergeCell ref="V2:AC2"/>
    <mergeCell ref="AD2:AL2"/>
    <mergeCell ref="F3:F14"/>
    <mergeCell ref="V3:AC3"/>
    <mergeCell ref="AD3:AL3"/>
    <mergeCell ref="G4:G13"/>
    <mergeCell ref="V4:AC4"/>
    <mergeCell ref="AD4:AL4"/>
    <mergeCell ref="H5:H12"/>
    <mergeCell ref="V5:AC5"/>
    <mergeCell ref="AD5:AL5"/>
    <mergeCell ref="I6:I11"/>
    <mergeCell ref="P6:P11"/>
    <mergeCell ref="V6:AC6"/>
    <mergeCell ref="AD6:AL6"/>
  </mergeCells>
  <dataValidations count="8">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393265 AK49 AK524337 AK8 AK589873 AK655409 AK17 AK720945 AK786481 AK852017 AK917553 AK983089 AK65585 AK131121 AK458801 AI49 AK196657 AI8 AC8 AA8 AI17 AK262193 AA49 AC49 AK327729"/>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AG50 AG18 Y50"/>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dataValidation type="list" allowBlank="1" showInputMessage="1" showErrorMessage="1" errorTitle="Ошибка" error="Выберите значение из списка" sqref="T65585 T131121 T196657 T262193 T327729 T393265 T458801 T524337 T589873 T655409 T720945 T786481 T852017 T917553 T983089">
      <formula1>kind_of_heat_transfer</formula1>
    </dataValidation>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formula1>900</formula1>
    </dataValidation>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formula1>kind_of_cons</formula1>
    </dataValidation>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formula1>kind_of_scheme_in</formula1>
    </dataValidation>
    <dataValidation allowBlank="1" sqref="S131123:AM131129 S196659:AM196665 S262195:AM262201 S327731:AM327737 S393267:AM393273 S458803:AM458809 S524339:AM524345 S589875:AM589881 S655411:AM655417 S720947:AM720953 S786483:AM786489 S852019:AM852025 S917555:AM917561 S983091:AM983097 S65587:AM65593"/>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6" tint="0.39997558519241921"/>
  </sheetPr>
  <dimension ref="A1:AW72"/>
  <sheetViews>
    <sheetView showGridLines="0" zoomScale="90" workbookViewId="0">
      <pane xSplit="32" ySplit="48" topLeftCell="AG49" activePane="bottomRight" state="frozen"/>
      <selection pane="topRight" activeCell="AG1" sqref="AG1"/>
      <selection pane="bottomLeft" activeCell="A49" sqref="A49"/>
      <selection pane="bottomRight"/>
    </sheetView>
  </sheetViews>
  <sheetFormatPr defaultColWidth="10.5703125" defaultRowHeight="14.25" customHeight="1"/>
  <cols>
    <col min="1" max="1" width="10.5703125" style="1560" hidden="1"/>
    <col min="2" max="2" width="11" style="1560" hidden="1" customWidth="1"/>
    <col min="3" max="3" width="10.5703125" style="1560" hidden="1"/>
    <col min="4" max="4" width="11.85546875" style="1560" hidden="1" customWidth="1"/>
    <col min="5" max="5" width="10" style="1560" hidden="1" customWidth="1"/>
    <col min="6" max="6" width="8.7109375" style="1560" hidden="1" customWidth="1"/>
    <col min="7" max="7" width="7.5703125" style="1560" hidden="1" customWidth="1"/>
    <col min="8" max="8" width="11.42578125" style="1560" hidden="1" customWidth="1"/>
    <col min="9" max="9" width="12" style="1560" hidden="1" customWidth="1"/>
    <col min="10" max="10" width="9.85546875" style="1560" hidden="1" customWidth="1"/>
    <col min="11" max="12" width="11.42578125" style="1560" hidden="1" customWidth="1"/>
    <col min="13" max="13" width="19.140625" style="1998" hidden="1" customWidth="1"/>
    <col min="14" max="15" width="12.28515625" style="2000" hidden="1" customWidth="1"/>
    <col min="16" max="16" width="23.42578125" style="2000" hidden="1" customWidth="1"/>
    <col min="17" max="17" width="3.7109375" style="2000" hidden="1" customWidth="1"/>
    <col min="18" max="20" width="3" style="280" customWidth="1"/>
    <col min="21" max="21" width="12" style="2001" customWidth="1"/>
    <col min="22" max="22" width="31" style="1560" customWidth="1"/>
    <col min="23" max="23" width="0.140625" style="1560" customWidth="1"/>
    <col min="24" max="28" width="21.7109375" style="1560" hidden="1" customWidth="1"/>
    <col min="29" max="29" width="11.7109375" style="1560" hidden="1" customWidth="1"/>
    <col min="30" max="30" width="3.7109375" style="1560" hidden="1" customWidth="1"/>
    <col min="31" max="31" width="11.7109375" style="1560" hidden="1" customWidth="1"/>
    <col min="32" max="32" width="8.5703125" style="1560" hidden="1" customWidth="1"/>
    <col min="33" max="33" width="21.7109375" style="1560" customWidth="1"/>
    <col min="34" max="37" width="21" style="1560" customWidth="1"/>
    <col min="38" max="38" width="11" style="1560" customWidth="1"/>
    <col min="39" max="39" width="3.7109375" style="1560" customWidth="1"/>
    <col min="40" max="40" width="11" style="1560" customWidth="1"/>
    <col min="41" max="41" width="8.5703125" style="1560" hidden="1" customWidth="1"/>
    <col min="42" max="42" width="4" style="1560" customWidth="1"/>
    <col min="43" max="43" width="115" style="1560" customWidth="1"/>
    <col min="44" max="48" width="10" style="1567" customWidth="1"/>
    <col min="49" max="49" width="10.5703125" style="1560" hidden="1"/>
  </cols>
  <sheetData>
    <row r="1" spans="1:49" ht="22.5" hidden="1" customHeight="1">
      <c r="AB1" s="263"/>
      <c r="AC1" s="263"/>
      <c r="AK1" s="263"/>
      <c r="AL1" s="263"/>
      <c r="AW1" s="1080" t="s">
        <v>14</v>
      </c>
    </row>
    <row r="2" spans="1:49" ht="21" hidden="1" customHeight="1">
      <c r="A2" s="1192"/>
      <c r="B2" s="1192"/>
      <c r="C2" s="1192"/>
      <c r="D2" s="1192"/>
      <c r="E2" s="2210">
        <v>1</v>
      </c>
      <c r="F2" s="1192"/>
      <c r="G2" s="1192"/>
      <c r="H2" s="1192"/>
      <c r="I2" s="1192"/>
      <c r="J2" s="1192"/>
      <c r="K2" s="1192"/>
      <c r="L2" s="1192"/>
      <c r="M2" s="1235"/>
      <c r="N2" s="623"/>
      <c r="O2" s="623"/>
      <c r="P2" s="623"/>
      <c r="Q2" s="296"/>
      <c r="R2" s="295"/>
      <c r="S2" s="295"/>
      <c r="T2" s="290"/>
      <c r="U2" s="1261" t="e">
        <f>INDEX(PT_DIFFERENTIATION_NUM_NTAR,MATCH(A2,PT_DIFFERENTIATION_NTAR_ID,0))</f>
        <v>#N/A</v>
      </c>
      <c r="V2" s="234" t="s">
        <v>124</v>
      </c>
      <c r="W2" s="236"/>
      <c r="X2" s="2172"/>
      <c r="Y2" s="2173"/>
      <c r="Z2" s="2173"/>
      <c r="AA2" s="2173"/>
      <c r="AB2" s="2173"/>
      <c r="AC2" s="2173"/>
      <c r="AD2" s="2173"/>
      <c r="AE2" s="2173"/>
      <c r="AF2" s="2174"/>
      <c r="AG2" s="2172" t="e">
        <f>INDEX(PT_DIFFERENTIATION_NTAR,MATCH(A2,PT_DIFFERENTIATION_NTAR_ID,0))</f>
        <v>#N/A</v>
      </c>
      <c r="AH2" s="2173"/>
      <c r="AI2" s="2173"/>
      <c r="AJ2" s="2173"/>
      <c r="AK2" s="2173"/>
      <c r="AL2" s="2173"/>
      <c r="AM2" s="2173"/>
      <c r="AN2" s="2173"/>
      <c r="AO2" s="2173"/>
      <c r="AP2" s="2174"/>
      <c r="AQ2" s="1183" t="s">
        <v>395</v>
      </c>
      <c r="AS2" s="435"/>
      <c r="AT2" s="435" t="str">
        <f t="shared" ref="AT2:AT8" si="0">IF(V2="","",V2)</f>
        <v>Наименование тарифа</v>
      </c>
      <c r="AU2" s="435"/>
      <c r="AV2" s="435"/>
      <c r="AW2" s="1080">
        <v>0</v>
      </c>
    </row>
    <row r="3" spans="1:49" ht="21" hidden="1" customHeight="1">
      <c r="A3" s="1192"/>
      <c r="B3" s="1192"/>
      <c r="C3" s="1192"/>
      <c r="D3" s="1192"/>
      <c r="E3" s="2211"/>
      <c r="F3" s="2210">
        <v>1</v>
      </c>
      <c r="G3" s="1192"/>
      <c r="H3" s="1192"/>
      <c r="I3" s="1192"/>
      <c r="J3" s="1192"/>
      <c r="K3" s="1192"/>
      <c r="L3" s="1192"/>
      <c r="M3" s="1235"/>
      <c r="N3" s="623"/>
      <c r="O3" s="623"/>
      <c r="P3" s="623"/>
      <c r="Q3" s="1257"/>
      <c r="R3" s="287"/>
      <c r="S3" s="444"/>
      <c r="T3" s="288"/>
      <c r="U3" s="1261" t="e">
        <f>INDEX(PT_DIFFERENTIATION_NUM_TER,MATCH(B3,PT_DIFFERENTIATION_TER_ID,0))</f>
        <v>#N/A</v>
      </c>
      <c r="V3" s="244" t="s">
        <v>396</v>
      </c>
      <c r="W3" s="236"/>
      <c r="X3" s="2172"/>
      <c r="Y3" s="2173"/>
      <c r="Z3" s="2173"/>
      <c r="AA3" s="2173"/>
      <c r="AB3" s="2173"/>
      <c r="AC3" s="2173"/>
      <c r="AD3" s="2173"/>
      <c r="AE3" s="2173"/>
      <c r="AF3" s="2174"/>
      <c r="AG3" s="2172" t="e">
        <f>INDEX(PT_DIFFERENTIATION_TER,MATCH(B3,PT_DIFFERENTIATION_TER_ID,0))</f>
        <v>#N/A</v>
      </c>
      <c r="AH3" s="2173"/>
      <c r="AI3" s="2173"/>
      <c r="AJ3" s="2173"/>
      <c r="AK3" s="2173"/>
      <c r="AL3" s="2173"/>
      <c r="AM3" s="2173"/>
      <c r="AN3" s="2173"/>
      <c r="AO3" s="2173"/>
      <c r="AP3" s="2174"/>
      <c r="AQ3" s="1183" t="s">
        <v>397</v>
      </c>
      <c r="AS3" s="435"/>
      <c r="AT3" s="435" t="str">
        <f t="shared" si="0"/>
        <v>Территория действия тарифа</v>
      </c>
      <c r="AU3" s="435"/>
      <c r="AV3" s="435"/>
      <c r="AW3" s="1080">
        <v>0</v>
      </c>
    </row>
    <row r="4" spans="1:49" ht="22.5" hidden="1" customHeight="1">
      <c r="A4" s="1192"/>
      <c r="B4" s="1192"/>
      <c r="C4" s="1192"/>
      <c r="D4" s="1192"/>
      <c r="E4" s="2211"/>
      <c r="F4" s="2211"/>
      <c r="G4" s="2210">
        <v>1</v>
      </c>
      <c r="H4" s="1192"/>
      <c r="I4" s="1192"/>
      <c r="J4" s="1192"/>
      <c r="K4" s="1192"/>
      <c r="L4" s="1192"/>
      <c r="M4" s="1235"/>
      <c r="N4" s="623"/>
      <c r="O4" s="623"/>
      <c r="P4" s="623"/>
      <c r="Q4" s="289"/>
      <c r="R4" s="287"/>
      <c r="S4" s="444"/>
      <c r="T4" s="288"/>
      <c r="U4" s="1261" t="e">
        <f>INDEX(PT_DIFFERENTIATION_NUM_CS,MATCH(C4,PT_DIFFERENTIATION_CS_ID,0))</f>
        <v>#N/A</v>
      </c>
      <c r="V4" s="245" t="s">
        <v>398</v>
      </c>
      <c r="W4" s="236"/>
      <c r="X4" s="2172"/>
      <c r="Y4" s="2173"/>
      <c r="Z4" s="2173"/>
      <c r="AA4" s="2173"/>
      <c r="AB4" s="2173"/>
      <c r="AC4" s="2173"/>
      <c r="AD4" s="2173"/>
      <c r="AE4" s="2173"/>
      <c r="AF4" s="2174"/>
      <c r="AG4" s="2172" t="e">
        <f>INDEX(PT_DIFFERENTIATION_CS,MATCH(C4,PT_DIFFERENTIATION_CS_ID,0))</f>
        <v>#N/A</v>
      </c>
      <c r="AH4" s="2173"/>
      <c r="AI4" s="2173"/>
      <c r="AJ4" s="2173"/>
      <c r="AK4" s="2173"/>
      <c r="AL4" s="2173"/>
      <c r="AM4" s="2173"/>
      <c r="AN4" s="2173"/>
      <c r="AO4" s="2173"/>
      <c r="AP4" s="2174"/>
      <c r="AQ4" s="1183" t="s">
        <v>399</v>
      </c>
      <c r="AS4" s="435"/>
      <c r="AT4" s="435" t="str">
        <f t="shared" si="0"/>
        <v xml:space="preserve">Наименование системы теплоснабжения </v>
      </c>
      <c r="AU4" s="435"/>
      <c r="AV4" s="435"/>
      <c r="AW4" s="1080">
        <v>0</v>
      </c>
    </row>
    <row r="5" spans="1:49" ht="21" hidden="1" customHeight="1">
      <c r="A5" s="1192"/>
      <c r="B5" s="1192"/>
      <c r="C5" s="1192"/>
      <c r="D5" s="1192"/>
      <c r="E5" s="2211"/>
      <c r="F5" s="2211"/>
      <c r="G5" s="2211"/>
      <c r="H5" s="2210">
        <v>1</v>
      </c>
      <c r="I5" s="1192"/>
      <c r="J5" s="1192"/>
      <c r="K5" s="1192"/>
      <c r="L5" s="1192"/>
      <c r="M5" s="1235"/>
      <c r="N5" s="623"/>
      <c r="O5" s="623"/>
      <c r="P5" s="623"/>
      <c r="Q5" s="289"/>
      <c r="R5" s="287"/>
      <c r="S5" s="444"/>
      <c r="T5" s="288"/>
      <c r="U5" s="1261" t="e">
        <f>INDEX(PT_DIFFERENTIATION_NUM_IST_TE,MATCH(D5,PT_DIFFERENTIATION_IST_TE_ID,0))</f>
        <v>#N/A</v>
      </c>
      <c r="V5" s="246" t="s">
        <v>400</v>
      </c>
      <c r="W5" s="236"/>
      <c r="X5" s="2172"/>
      <c r="Y5" s="2173"/>
      <c r="Z5" s="2173"/>
      <c r="AA5" s="2173"/>
      <c r="AB5" s="2173"/>
      <c r="AC5" s="2173"/>
      <c r="AD5" s="2173"/>
      <c r="AE5" s="2173"/>
      <c r="AF5" s="2174"/>
      <c r="AG5" s="2172" t="e">
        <f>INDEX(PT_DIFFERENTIATION_IST_TE,MATCH(D5,PT_DIFFERENTIATION_IST_TE_ID,0))</f>
        <v>#N/A</v>
      </c>
      <c r="AH5" s="2173"/>
      <c r="AI5" s="2173"/>
      <c r="AJ5" s="2173"/>
      <c r="AK5" s="2173"/>
      <c r="AL5" s="2173"/>
      <c r="AM5" s="2173"/>
      <c r="AN5" s="2173"/>
      <c r="AO5" s="2173"/>
      <c r="AP5" s="2174"/>
      <c r="AQ5" s="1183" t="s">
        <v>401</v>
      </c>
      <c r="AS5" s="435"/>
      <c r="AT5" s="435" t="str">
        <f t="shared" si="0"/>
        <v xml:space="preserve">Источник тепловой энергии  </v>
      </c>
      <c r="AU5" s="435"/>
      <c r="AV5" s="435"/>
      <c r="AW5" s="1080">
        <v>0</v>
      </c>
    </row>
    <row r="6" spans="1:49" ht="14.25" hidden="1" customHeight="1">
      <c r="A6" s="1192"/>
      <c r="B6" s="1192"/>
      <c r="C6" s="1192"/>
      <c r="D6" s="1192"/>
      <c r="E6" s="2211"/>
      <c r="F6" s="2211"/>
      <c r="G6" s="2211"/>
      <c r="H6" s="2211"/>
      <c r="I6" s="2066" t="e">
        <f>U5&amp;".1"</f>
        <v>#N/A</v>
      </c>
      <c r="J6" s="1192"/>
      <c r="K6" s="1192"/>
      <c r="L6" s="1192"/>
      <c r="M6" s="1235" t="s">
        <v>402</v>
      </c>
      <c r="N6" s="444"/>
      <c r="Q6" s="2185">
        <v>1</v>
      </c>
      <c r="R6" s="1256"/>
      <c r="S6" s="1256"/>
      <c r="T6" s="291"/>
      <c r="U6" s="970"/>
      <c r="V6" s="1308"/>
      <c r="W6" s="1309"/>
      <c r="X6" s="2215"/>
      <c r="Y6" s="2216"/>
      <c r="Z6" s="2216"/>
      <c r="AA6" s="2216"/>
      <c r="AB6" s="2216"/>
      <c r="AC6" s="2216"/>
      <c r="AD6" s="2216"/>
      <c r="AE6" s="2216"/>
      <c r="AF6" s="2217"/>
      <c r="AG6" s="2215"/>
      <c r="AH6" s="2216"/>
      <c r="AI6" s="2216"/>
      <c r="AJ6" s="2216"/>
      <c r="AK6" s="2216"/>
      <c r="AL6" s="2216"/>
      <c r="AM6" s="2216"/>
      <c r="AN6" s="2216"/>
      <c r="AO6" s="2216"/>
      <c r="AP6" s="2217"/>
      <c r="AQ6" s="1310"/>
      <c r="AS6" s="435"/>
      <c r="AT6" s="435" t="str">
        <f t="shared" si="0"/>
        <v/>
      </c>
      <c r="AU6" s="435"/>
      <c r="AV6" s="435"/>
      <c r="AW6" s="1080">
        <v>0</v>
      </c>
    </row>
    <row r="7" spans="1:49" ht="21" hidden="1" customHeight="1">
      <c r="A7" s="1192"/>
      <c r="B7" s="1192"/>
      <c r="C7" s="1192"/>
      <c r="D7" s="1192"/>
      <c r="E7" s="2211"/>
      <c r="F7" s="2211"/>
      <c r="G7" s="2211"/>
      <c r="H7" s="2211"/>
      <c r="I7" s="2038"/>
      <c r="J7" s="2066" t="e">
        <f>I6&amp;".1"</f>
        <v>#N/A</v>
      </c>
      <c r="K7" s="1192"/>
      <c r="L7" s="1192"/>
      <c r="M7" s="1235" t="s">
        <v>405</v>
      </c>
      <c r="N7" s="444"/>
      <c r="O7" s="263"/>
      <c r="Q7" s="2185"/>
      <c r="R7" s="2185">
        <v>1</v>
      </c>
      <c r="S7" s="453"/>
      <c r="T7" s="292"/>
      <c r="U7" s="1261" t="e">
        <f>$J7</f>
        <v>#N/A</v>
      </c>
      <c r="V7" s="222" t="s">
        <v>406</v>
      </c>
      <c r="W7" s="236"/>
      <c r="X7" s="2175"/>
      <c r="Y7" s="2176"/>
      <c r="Z7" s="2176"/>
      <c r="AA7" s="2176"/>
      <c r="AB7" s="2176"/>
      <c r="AC7" s="2168"/>
      <c r="AD7" s="2168"/>
      <c r="AE7" s="2168"/>
      <c r="AF7" s="2225"/>
      <c r="AG7" s="2175"/>
      <c r="AH7" s="2176"/>
      <c r="AI7" s="2176"/>
      <c r="AJ7" s="2176"/>
      <c r="AK7" s="2176"/>
      <c r="AL7" s="2176"/>
      <c r="AM7" s="2176"/>
      <c r="AN7" s="2176"/>
      <c r="AO7" s="2176"/>
      <c r="AP7" s="2177"/>
      <c r="AQ7" s="1183" t="s">
        <v>407</v>
      </c>
      <c r="AS7" s="435"/>
      <c r="AT7" s="435" t="str">
        <f t="shared" si="0"/>
        <v>Группа потребителей</v>
      </c>
      <c r="AU7" s="435"/>
      <c r="AV7" s="435"/>
      <c r="AW7" s="1080">
        <v>0</v>
      </c>
    </row>
    <row r="8" spans="1:49" ht="21" hidden="1" customHeight="1">
      <c r="A8" s="1192"/>
      <c r="B8" s="1192"/>
      <c r="C8" s="1192"/>
      <c r="D8" s="1192"/>
      <c r="E8" s="2211"/>
      <c r="F8" s="2211"/>
      <c r="G8" s="2211"/>
      <c r="H8" s="2211"/>
      <c r="I8" s="2038"/>
      <c r="J8" s="2038"/>
      <c r="K8" s="2066" t="e">
        <f>J7&amp;".1"</f>
        <v>#N/A</v>
      </c>
      <c r="L8" s="76"/>
      <c r="M8" s="1235" t="s">
        <v>408</v>
      </c>
      <c r="N8" s="444"/>
      <c r="O8" s="263"/>
      <c r="P8" s="263"/>
      <c r="Q8" s="2185"/>
      <c r="R8" s="2185"/>
      <c r="S8" s="2185">
        <v>1</v>
      </c>
      <c r="T8" s="292"/>
      <c r="U8" s="1261" t="e">
        <f>$K8</f>
        <v>#N/A</v>
      </c>
      <c r="V8" s="1272"/>
      <c r="W8" s="236"/>
      <c r="X8" s="686"/>
      <c r="Y8" s="686"/>
      <c r="Z8" s="686"/>
      <c r="AA8" s="686"/>
      <c r="AB8" s="1330"/>
      <c r="AC8" s="2189"/>
      <c r="AD8" s="2047" t="s">
        <v>66</v>
      </c>
      <c r="AE8" s="2189"/>
      <c r="AF8" s="2047" t="s">
        <v>66</v>
      </c>
      <c r="AG8" s="1332"/>
      <c r="AH8" s="686"/>
      <c r="AI8" s="686"/>
      <c r="AJ8" s="686"/>
      <c r="AK8" s="1182"/>
      <c r="AL8" s="2189"/>
      <c r="AM8" s="2047" t="s">
        <v>66</v>
      </c>
      <c r="AN8" s="2189"/>
      <c r="AO8" s="2047" t="s">
        <v>66</v>
      </c>
      <c r="AP8" s="261"/>
      <c r="AQ8" s="1232" t="s">
        <v>451</v>
      </c>
      <c r="AR8" s="446" t="e">
        <f ca="1">STRCHECKDATE(X10:AP10)</f>
        <v>#NAME?</v>
      </c>
      <c r="AS8" s="435"/>
      <c r="AT8" s="435" t="str">
        <f t="shared" si="0"/>
        <v/>
      </c>
      <c r="AU8" s="435"/>
      <c r="AV8" s="435"/>
      <c r="AW8" s="1080">
        <v>0</v>
      </c>
    </row>
    <row r="9" spans="1:49" ht="21" hidden="1" customHeight="1">
      <c r="A9" s="1192"/>
      <c r="B9" s="1192"/>
      <c r="C9" s="1192"/>
      <c r="D9" s="1192"/>
      <c r="E9" s="2211"/>
      <c r="F9" s="2211"/>
      <c r="G9" s="2211"/>
      <c r="H9" s="2211"/>
      <c r="I9" s="2038"/>
      <c r="J9" s="2038"/>
      <c r="K9" s="2038"/>
      <c r="L9" s="2066" t="e">
        <f>K8&amp;".1"</f>
        <v>#N/A</v>
      </c>
      <c r="M9" s="1235"/>
      <c r="N9" s="444"/>
      <c r="O9" s="263"/>
      <c r="P9" s="263"/>
      <c r="Q9" s="2185"/>
      <c r="R9" s="2185"/>
      <c r="S9" s="2185"/>
      <c r="T9" s="292"/>
      <c r="U9" s="1261" t="e">
        <f>$L9</f>
        <v>#N/A</v>
      </c>
      <c r="V9" s="1316"/>
      <c r="W9" s="236"/>
      <c r="X9" s="261"/>
      <c r="Y9" s="686"/>
      <c r="Z9" s="686"/>
      <c r="AA9" s="686"/>
      <c r="AB9" s="1330"/>
      <c r="AC9" s="2190"/>
      <c r="AD9" s="2047"/>
      <c r="AE9" s="2190"/>
      <c r="AF9" s="2047"/>
      <c r="AG9" s="1332"/>
      <c r="AH9" s="686"/>
      <c r="AI9" s="686"/>
      <c r="AJ9" s="686"/>
      <c r="AK9" s="1182"/>
      <c r="AL9" s="2190"/>
      <c r="AM9" s="2047"/>
      <c r="AN9" s="2190"/>
      <c r="AO9" s="2047"/>
      <c r="AP9" s="261"/>
      <c r="AQ9" s="2181" t="s">
        <v>452</v>
      </c>
      <c r="AS9" s="435"/>
      <c r="AT9" s="435"/>
      <c r="AU9" s="435"/>
      <c r="AV9" s="435"/>
      <c r="AW9" s="1080">
        <v>0</v>
      </c>
    </row>
    <row r="10" spans="1:49" ht="14.25" hidden="1" customHeight="1">
      <c r="A10" s="1192"/>
      <c r="B10" s="1192"/>
      <c r="C10" s="1192"/>
      <c r="D10" s="1192"/>
      <c r="E10" s="2211"/>
      <c r="F10" s="2211"/>
      <c r="G10" s="2211"/>
      <c r="H10" s="2211"/>
      <c r="I10" s="2038"/>
      <c r="J10" s="2038"/>
      <c r="K10" s="2038"/>
      <c r="L10" s="2066"/>
      <c r="M10" s="1235"/>
      <c r="N10" s="444"/>
      <c r="O10" s="263"/>
      <c r="P10" s="263"/>
      <c r="Q10" s="2185"/>
      <c r="R10" s="2185"/>
      <c r="S10" s="2185"/>
      <c r="T10" s="292"/>
      <c r="U10" s="1267"/>
      <c r="V10" s="236"/>
      <c r="W10" s="236"/>
      <c r="X10" s="261"/>
      <c r="Y10" s="261"/>
      <c r="Z10" s="261"/>
      <c r="AA10" s="261"/>
      <c r="AB10" s="1331" t="str">
        <f>AC8&amp;"-"&amp;AE8</f>
        <v>-</v>
      </c>
      <c r="AC10" s="2190"/>
      <c r="AD10" s="2047"/>
      <c r="AE10" s="2190"/>
      <c r="AF10" s="2047"/>
      <c r="AG10" s="1307"/>
      <c r="AH10" s="261"/>
      <c r="AI10" s="261"/>
      <c r="AJ10" s="261"/>
      <c r="AK10" s="264" t="str">
        <f>AL8&amp;"-"&amp;AN8</f>
        <v>-</v>
      </c>
      <c r="AL10" s="2190"/>
      <c r="AM10" s="2047"/>
      <c r="AN10" s="2190"/>
      <c r="AO10" s="2047"/>
      <c r="AP10" s="261"/>
      <c r="AQ10" s="2182"/>
      <c r="AS10" s="435"/>
      <c r="AT10" s="435" t="str">
        <f>IF(V10="","",V10)</f>
        <v/>
      </c>
      <c r="AU10" s="435"/>
      <c r="AV10" s="435"/>
      <c r="AW10" s="1080">
        <v>0</v>
      </c>
    </row>
    <row r="11" spans="1:49" ht="11.25" hidden="1" customHeight="1">
      <c r="A11" s="1192"/>
      <c r="B11" s="1192"/>
      <c r="C11" s="1192"/>
      <c r="D11" s="1192"/>
      <c r="E11" s="2211"/>
      <c r="F11" s="2211"/>
      <c r="G11" s="2211"/>
      <c r="H11" s="2211"/>
      <c r="I11" s="2038"/>
      <c r="J11" s="2038"/>
      <c r="K11" s="2066"/>
      <c r="L11" s="1192"/>
      <c r="M11" s="1235"/>
      <c r="N11" s="444"/>
      <c r="O11" s="263"/>
      <c r="P11" s="263"/>
      <c r="Q11" s="2185"/>
      <c r="R11" s="2185"/>
      <c r="S11" s="2185"/>
      <c r="T11" s="292"/>
      <c r="U11" s="1203"/>
      <c r="V11" s="224" t="s">
        <v>453</v>
      </c>
      <c r="W11" s="1317"/>
      <c r="X11" s="1318"/>
      <c r="Y11" s="1318"/>
      <c r="Z11" s="1318"/>
      <c r="AA11" s="1318"/>
      <c r="AB11" s="1319"/>
      <c r="AC11" s="2190"/>
      <c r="AD11" s="2047"/>
      <c r="AE11" s="2190"/>
      <c r="AF11" s="2047"/>
      <c r="AG11" s="1318"/>
      <c r="AH11" s="1318"/>
      <c r="AI11" s="1318"/>
      <c r="AJ11" s="1318"/>
      <c r="AK11" s="1319"/>
      <c r="AL11" s="2190"/>
      <c r="AM11" s="2047"/>
      <c r="AN11" s="2190"/>
      <c r="AO11" s="2047"/>
      <c r="AP11" s="1320"/>
      <c r="AQ11" s="2182"/>
      <c r="AS11" s="435"/>
      <c r="AT11" s="435"/>
      <c r="AU11" s="435"/>
      <c r="AV11" s="435"/>
      <c r="AW11" s="1080">
        <v>0</v>
      </c>
    </row>
    <row r="12" spans="1:49" ht="15" hidden="1" customHeight="1">
      <c r="A12" s="1192"/>
      <c r="B12" s="1192"/>
      <c r="C12" s="1192"/>
      <c r="D12" s="1192"/>
      <c r="E12" s="2211"/>
      <c r="F12" s="2211"/>
      <c r="G12" s="2211"/>
      <c r="H12" s="2211"/>
      <c r="I12" s="2038"/>
      <c r="J12" s="2066"/>
      <c r="K12" s="1192"/>
      <c r="L12" s="1192"/>
      <c r="M12" s="1235"/>
      <c r="N12" s="444"/>
      <c r="O12" s="263"/>
      <c r="Q12" s="2185"/>
      <c r="R12" s="2185"/>
      <c r="S12" s="1256"/>
      <c r="T12" s="291"/>
      <c r="U12" s="1203"/>
      <c r="V12" s="223" t="s">
        <v>410</v>
      </c>
      <c r="W12" s="302"/>
      <c r="X12" s="302"/>
      <c r="Y12" s="302"/>
      <c r="Z12" s="302"/>
      <c r="AA12" s="302"/>
      <c r="AB12" s="302"/>
      <c r="AC12" s="1333"/>
      <c r="AD12" s="1333"/>
      <c r="AE12" s="1333"/>
      <c r="AF12" s="1333"/>
      <c r="AG12" s="302"/>
      <c r="AH12" s="302"/>
      <c r="AI12" s="302"/>
      <c r="AJ12" s="302"/>
      <c r="AK12" s="302"/>
      <c r="AL12" s="302"/>
      <c r="AM12" s="302"/>
      <c r="AN12" s="302"/>
      <c r="AO12" s="302"/>
      <c r="AP12" s="260"/>
      <c r="AQ12" s="2183"/>
      <c r="AS12" s="435"/>
      <c r="AT12" s="435" t="str">
        <f t="shared" ref="AT12:AT17" si="1">IF(V12="","",V12)</f>
        <v>Добавить вид теплоносителя (параметры теплоносителя)</v>
      </c>
      <c r="AU12" s="435"/>
      <c r="AV12" s="435"/>
      <c r="AW12" s="1080">
        <v>0</v>
      </c>
    </row>
    <row r="13" spans="1:49" ht="11.25" hidden="1" customHeight="1">
      <c r="A13" s="1192"/>
      <c r="B13" s="1192"/>
      <c r="C13" s="1192"/>
      <c r="D13" s="1192"/>
      <c r="E13" s="2211"/>
      <c r="F13" s="2211"/>
      <c r="G13" s="2211"/>
      <c r="H13" s="2211"/>
      <c r="I13" s="2066"/>
      <c r="J13" s="1192"/>
      <c r="K13" s="1192"/>
      <c r="L13" s="1192"/>
      <c r="M13" s="1235"/>
      <c r="N13" s="444"/>
      <c r="Q13" s="2185"/>
      <c r="R13" s="1256"/>
      <c r="S13" s="1256"/>
      <c r="T13" s="291"/>
      <c r="U13" s="1203"/>
      <c r="V13" s="300" t="s">
        <v>411</v>
      </c>
      <c r="W13" s="302"/>
      <c r="X13" s="302"/>
      <c r="Y13" s="302"/>
      <c r="Z13" s="302"/>
      <c r="AA13" s="302"/>
      <c r="AB13" s="302"/>
      <c r="AC13" s="302"/>
      <c r="AD13" s="302"/>
      <c r="AE13" s="302"/>
      <c r="AF13" s="301"/>
      <c r="AG13" s="302"/>
      <c r="AH13" s="302"/>
      <c r="AI13" s="302"/>
      <c r="AJ13" s="302"/>
      <c r="AK13" s="302"/>
      <c r="AL13" s="302"/>
      <c r="AM13" s="302"/>
      <c r="AN13" s="302"/>
      <c r="AO13" s="301"/>
      <c r="AP13" s="302"/>
      <c r="AQ13" s="239"/>
      <c r="AS13" s="435"/>
      <c r="AT13" s="435" t="str">
        <f t="shared" si="1"/>
        <v>Добавить группу потребителей</v>
      </c>
      <c r="AU13" s="435"/>
      <c r="AV13" s="435"/>
      <c r="AW13" s="1080">
        <v>0</v>
      </c>
    </row>
    <row r="14" spans="1:49" ht="14.25" hidden="1" customHeight="1">
      <c r="A14" s="1192"/>
      <c r="B14" s="1192"/>
      <c r="C14" s="1192"/>
      <c r="D14" s="1192"/>
      <c r="E14" s="2211"/>
      <c r="F14" s="2211"/>
      <c r="G14" s="2211"/>
      <c r="H14" s="2210"/>
      <c r="I14" s="1192"/>
      <c r="J14" s="1192"/>
      <c r="K14" s="1192"/>
      <c r="L14" s="1192"/>
      <c r="M14" s="1235"/>
      <c r="N14" s="623"/>
      <c r="O14" s="623"/>
      <c r="P14" s="444"/>
      <c r="Q14" s="295"/>
      <c r="R14" s="310"/>
      <c r="S14" s="290"/>
      <c r="T14" s="295"/>
      <c r="U14" s="1311"/>
      <c r="V14" s="1312"/>
      <c r="W14" s="1313"/>
      <c r="X14" s="1313"/>
      <c r="Y14" s="1313"/>
      <c r="Z14" s="1313"/>
      <c r="AA14" s="1313"/>
      <c r="AB14" s="1313"/>
      <c r="AC14" s="1313"/>
      <c r="AD14" s="1313"/>
      <c r="AE14" s="1313"/>
      <c r="AF14" s="1313"/>
      <c r="AG14" s="1313"/>
      <c r="AH14" s="1313"/>
      <c r="AI14" s="1313"/>
      <c r="AJ14" s="1313"/>
      <c r="AK14" s="1313"/>
      <c r="AL14" s="1313"/>
      <c r="AM14" s="1313"/>
      <c r="AN14" s="1313"/>
      <c r="AO14" s="1313"/>
      <c r="AP14" s="1313"/>
      <c r="AQ14" s="1314"/>
      <c r="AS14" s="435"/>
      <c r="AT14" s="435" t="str">
        <f t="shared" si="1"/>
        <v/>
      </c>
      <c r="AU14" s="435"/>
      <c r="AV14" s="435"/>
      <c r="AW14" s="1080">
        <v>0</v>
      </c>
    </row>
    <row r="15" spans="1:49" s="1567" customFormat="1" ht="14.25" hidden="1" customHeight="1">
      <c r="A15" s="1299"/>
      <c r="B15" s="1299"/>
      <c r="C15" s="1299"/>
      <c r="D15" s="1299"/>
      <c r="E15" s="2211"/>
      <c r="F15" s="2211"/>
      <c r="G15" s="2210"/>
      <c r="H15" s="1299"/>
      <c r="I15" s="1299"/>
      <c r="J15" s="1299"/>
      <c r="K15" s="1299"/>
      <c r="L15" s="1299"/>
      <c r="M15" s="1302"/>
      <c r="N15" s="1303"/>
      <c r="O15" s="1303"/>
      <c r="P15" s="286"/>
      <c r="Q15" s="1241"/>
      <c r="R15" s="1242"/>
      <c r="S15" s="1241"/>
      <c r="T15" s="1241"/>
      <c r="U15" s="1243"/>
      <c r="V15" s="1244" t="s">
        <v>413</v>
      </c>
      <c r="W15" s="1245"/>
      <c r="X15" s="1245"/>
      <c r="Y15" s="1245"/>
      <c r="Z15" s="1245"/>
      <c r="AA15" s="1245"/>
      <c r="AB15" s="1245"/>
      <c r="AC15" s="1245"/>
      <c r="AD15" s="1245"/>
      <c r="AE15" s="1245"/>
      <c r="AF15" s="1245"/>
      <c r="AG15" s="1245"/>
      <c r="AH15" s="1245"/>
      <c r="AI15" s="1245"/>
      <c r="AJ15" s="1245"/>
      <c r="AK15" s="1245"/>
      <c r="AL15" s="1245"/>
      <c r="AM15" s="1245"/>
      <c r="AN15" s="1245"/>
      <c r="AO15" s="1245"/>
      <c r="AP15" s="1245"/>
      <c r="AQ15" s="1245"/>
      <c r="AS15" s="718"/>
      <c r="AT15" s="718" t="str">
        <f t="shared" si="1"/>
        <v>Добавить источник для дифференциации</v>
      </c>
      <c r="AU15" s="718"/>
      <c r="AV15" s="718"/>
      <c r="AW15" s="453">
        <v>0</v>
      </c>
    </row>
    <row r="16" spans="1:49" s="1567" customFormat="1" ht="14.25" hidden="1" customHeight="1">
      <c r="A16" s="1299"/>
      <c r="B16" s="1299"/>
      <c r="C16" s="1299"/>
      <c r="D16" s="1299"/>
      <c r="E16" s="2211"/>
      <c r="F16" s="2210"/>
      <c r="G16" s="1299"/>
      <c r="H16" s="1299"/>
      <c r="I16" s="1299"/>
      <c r="J16" s="1299"/>
      <c r="K16" s="1299"/>
      <c r="L16" s="1299"/>
      <c r="M16" s="1302"/>
      <c r="N16" s="1304"/>
      <c r="O16" s="1304"/>
      <c r="P16" s="286"/>
      <c r="Q16" s="1241"/>
      <c r="R16" s="1242"/>
      <c r="S16" s="1241"/>
      <c r="T16" s="1241"/>
      <c r="U16" s="1247"/>
      <c r="V16" s="1248" t="s">
        <v>414</v>
      </c>
      <c r="W16" s="1249"/>
      <c r="X16" s="1249"/>
      <c r="Y16" s="1249"/>
      <c r="Z16" s="1249"/>
      <c r="AA16" s="1249"/>
      <c r="AB16" s="1249"/>
      <c r="AC16" s="1249"/>
      <c r="AD16" s="1249"/>
      <c r="AE16" s="1249"/>
      <c r="AF16" s="1249"/>
      <c r="AG16" s="1249"/>
      <c r="AH16" s="1249"/>
      <c r="AI16" s="1249"/>
      <c r="AJ16" s="1249"/>
      <c r="AK16" s="1249"/>
      <c r="AL16" s="1249"/>
      <c r="AM16" s="1249"/>
      <c r="AN16" s="1249"/>
      <c r="AO16" s="1249"/>
      <c r="AP16" s="1249"/>
      <c r="AQ16" s="1249"/>
      <c r="AS16" s="718"/>
      <c r="AT16" s="718" t="str">
        <f t="shared" si="1"/>
        <v>Добавить централизованную систему для дифференциации</v>
      </c>
      <c r="AU16" s="718"/>
      <c r="AV16" s="718"/>
      <c r="AW16" s="453">
        <v>0</v>
      </c>
    </row>
    <row r="17" spans="1:49" s="1567" customFormat="1" ht="14.25" hidden="1" customHeight="1">
      <c r="A17" s="1299"/>
      <c r="B17" s="1299"/>
      <c r="C17" s="1299"/>
      <c r="D17" s="1299"/>
      <c r="E17" s="2210"/>
      <c r="F17" s="1299"/>
      <c r="G17" s="1299"/>
      <c r="H17" s="1299"/>
      <c r="I17" s="1299"/>
      <c r="J17" s="1299"/>
      <c r="K17" s="1299"/>
      <c r="L17" s="1299"/>
      <c r="M17" s="1302"/>
      <c r="N17" s="1304"/>
      <c r="O17" s="1304"/>
      <c r="P17" s="286"/>
      <c r="Q17" s="1241"/>
      <c r="R17" s="1242"/>
      <c r="S17" s="1241"/>
      <c r="T17" s="1241"/>
      <c r="U17" s="1247"/>
      <c r="V17" s="1250" t="s">
        <v>415</v>
      </c>
      <c r="W17" s="1249"/>
      <c r="X17" s="1249"/>
      <c r="Y17" s="1249"/>
      <c r="Z17" s="1249"/>
      <c r="AA17" s="1249"/>
      <c r="AB17" s="1249"/>
      <c r="AC17" s="1249"/>
      <c r="AD17" s="1249"/>
      <c r="AE17" s="1249"/>
      <c r="AF17" s="1249"/>
      <c r="AG17" s="1249"/>
      <c r="AH17" s="1249"/>
      <c r="AI17" s="1249"/>
      <c r="AJ17" s="1249"/>
      <c r="AK17" s="1249"/>
      <c r="AL17" s="1249"/>
      <c r="AM17" s="1249"/>
      <c r="AN17" s="1249"/>
      <c r="AO17" s="1249"/>
      <c r="AP17" s="1249"/>
      <c r="AQ17" s="1249"/>
      <c r="AS17" s="718"/>
      <c r="AT17" s="718" t="str">
        <f t="shared" si="1"/>
        <v>Добавить территорию для дифференциации</v>
      </c>
      <c r="AU17" s="718"/>
      <c r="AV17" s="718"/>
      <c r="AW17" s="453">
        <v>0</v>
      </c>
    </row>
    <row r="18" spans="1:49" ht="14.25" hidden="1" customHeight="1">
      <c r="AF18" s="263"/>
      <c r="AO18" s="263"/>
      <c r="AW18" s="1080">
        <v>0</v>
      </c>
    </row>
    <row r="19" spans="1:49" ht="14.25" hidden="1" customHeight="1">
      <c r="AG19" s="1285"/>
      <c r="AH19" s="1285"/>
      <c r="AI19" s="1285"/>
      <c r="AJ19" s="1285"/>
      <c r="AK19" s="1286"/>
      <c r="AL19" s="2191"/>
      <c r="AM19" s="2192" t="s">
        <v>66</v>
      </c>
      <c r="AN19" s="2191"/>
      <c r="AO19" s="2192" t="s">
        <v>66</v>
      </c>
      <c r="AW19" s="1080">
        <v>0</v>
      </c>
    </row>
    <row r="20" spans="1:49" ht="14.25" hidden="1" customHeight="1">
      <c r="AG20" s="1285"/>
      <c r="AH20" s="1285"/>
      <c r="AI20" s="1285"/>
      <c r="AJ20" s="1285"/>
      <c r="AK20" s="1286"/>
      <c r="AL20" s="2191"/>
      <c r="AM20" s="2192"/>
      <c r="AN20" s="2191"/>
      <c r="AO20" s="2192"/>
      <c r="AW20" s="1080">
        <v>0</v>
      </c>
    </row>
    <row r="21" spans="1:49" ht="14.25" hidden="1" customHeight="1">
      <c r="AG21" s="1285"/>
      <c r="AH21" s="1285"/>
      <c r="AI21" s="1285"/>
      <c r="AJ21" s="1285"/>
      <c r="AK21" s="1286"/>
      <c r="AL21" s="2191"/>
      <c r="AM21" s="2192"/>
      <c r="AN21" s="2191"/>
      <c r="AO21" s="2192"/>
      <c r="AW21" s="1080">
        <v>0</v>
      </c>
    </row>
    <row r="22" spans="1:49" ht="14.25" hidden="1" customHeight="1">
      <c r="AG22" s="1285"/>
      <c r="AH22" s="1285"/>
      <c r="AI22" s="1285"/>
      <c r="AJ22" s="1285"/>
      <c r="AK22" s="264" t="str">
        <f>AL19&amp;"-"&amp;AN19</f>
        <v>-</v>
      </c>
      <c r="AL22" s="2192"/>
      <c r="AM22" s="2192"/>
      <c r="AN22" s="2192"/>
      <c r="AO22" s="2192"/>
      <c r="AW22" s="1080">
        <v>0</v>
      </c>
    </row>
    <row r="23" spans="1:49" ht="14.25" hidden="1" customHeight="1">
      <c r="AO23" s="263"/>
      <c r="AW23" s="1080">
        <v>0</v>
      </c>
    </row>
    <row r="24" spans="1:49" s="1291" customFormat="1" ht="22.5" hidden="1" customHeight="1">
      <c r="A24" s="1080"/>
      <c r="B24" s="1080"/>
      <c r="C24" s="1080"/>
      <c r="D24" s="1080"/>
      <c r="E24" s="1080"/>
      <c r="F24" s="1080"/>
      <c r="G24" s="1080"/>
      <c r="H24" s="1080"/>
      <c r="I24" s="1080"/>
      <c r="J24" s="1080"/>
      <c r="K24" s="1080"/>
      <c r="L24" s="1080"/>
      <c r="M24" s="1252"/>
      <c r="N24" s="1253"/>
      <c r="O24" s="1253"/>
      <c r="P24" s="1270" t="s">
        <v>416</v>
      </c>
      <c r="Q24" s="1287"/>
      <c r="R24" s="1296"/>
      <c r="S24" s="1296"/>
      <c r="T24" s="1296"/>
      <c r="U24" s="664"/>
      <c r="AC24" s="1292"/>
      <c r="AE24" s="1292"/>
      <c r="AL24" s="1292"/>
      <c r="AN24" s="1292"/>
      <c r="AR24" s="446"/>
      <c r="AS24" s="446"/>
      <c r="AT24" s="446"/>
      <c r="AU24" s="446"/>
      <c r="AV24" s="446"/>
      <c r="AW24" s="1085">
        <v>0</v>
      </c>
    </row>
    <row r="25" spans="1:49" s="1291" customFormat="1" ht="14.25" hidden="1" customHeight="1">
      <c r="A25" s="1080"/>
      <c r="B25" s="1080"/>
      <c r="C25" s="1080"/>
      <c r="D25" s="1080"/>
      <c r="E25" s="1080"/>
      <c r="F25" s="1080"/>
      <c r="G25" s="1080"/>
      <c r="H25" s="1080"/>
      <c r="I25" s="1080"/>
      <c r="J25" s="1080"/>
      <c r="K25" s="1080"/>
      <c r="L25" s="1080"/>
      <c r="M25" s="1252"/>
      <c r="N25" s="1253"/>
      <c r="O25" s="1253"/>
      <c r="P25" s="1253"/>
      <c r="Q25" s="1287"/>
      <c r="R25" s="1296"/>
      <c r="S25" s="1296"/>
      <c r="T25" s="1296"/>
      <c r="U25" s="664"/>
      <c r="AR25" s="446"/>
      <c r="AS25" s="446"/>
      <c r="AT25" s="446"/>
      <c r="AU25" s="446"/>
      <c r="AV25" s="446"/>
      <c r="AW25" s="1085">
        <v>0</v>
      </c>
    </row>
    <row r="26" spans="1:49" s="1291" customFormat="1" ht="14.25" hidden="1" customHeight="1">
      <c r="A26" s="1080"/>
      <c r="B26" s="1080"/>
      <c r="C26" s="1080"/>
      <c r="D26" s="1080"/>
      <c r="E26" s="1080"/>
      <c r="F26" s="1080"/>
      <c r="G26" s="1080"/>
      <c r="H26" s="1080"/>
      <c r="I26" s="1080"/>
      <c r="J26" s="1080"/>
      <c r="K26" s="1080"/>
      <c r="L26" s="1080"/>
      <c r="M26" s="1252"/>
      <c r="N26" s="1253"/>
      <c r="O26" s="1253"/>
      <c r="P26" s="1235" t="s">
        <v>417</v>
      </c>
      <c r="Q26" s="1287"/>
      <c r="R26" s="1296"/>
      <c r="S26" s="1296"/>
      <c r="T26" s="1296"/>
      <c r="U26" s="664"/>
      <c r="V26" s="1085" t="s">
        <v>418</v>
      </c>
      <c r="AD26" s="122" t="s">
        <v>419</v>
      </c>
      <c r="AF26" s="122" t="s">
        <v>420</v>
      </c>
      <c r="AG26" s="1085" t="s">
        <v>418</v>
      </c>
      <c r="AM26" s="122" t="s">
        <v>421</v>
      </c>
      <c r="AO26" s="122" t="s">
        <v>420</v>
      </c>
      <c r="AR26" s="446"/>
      <c r="AS26" s="446"/>
      <c r="AT26" s="446"/>
      <c r="AU26" s="446"/>
      <c r="AV26" s="446"/>
      <c r="AW26" s="1085">
        <v>0</v>
      </c>
    </row>
    <row r="27" spans="1:49" ht="14.25" hidden="1" customHeight="1">
      <c r="P27" s="1235"/>
      <c r="AW27" s="1080">
        <v>0</v>
      </c>
    </row>
    <row r="28" spans="1:49" ht="14.25" hidden="1" customHeight="1">
      <c r="P28" s="1235"/>
      <c r="AW28" s="1080">
        <v>0</v>
      </c>
    </row>
    <row r="29" spans="1:49" ht="14.65" customHeight="1">
      <c r="R29" s="311"/>
      <c r="S29" s="311"/>
      <c r="T29" s="311"/>
      <c r="U29" s="1200"/>
      <c r="V29" s="298"/>
      <c r="W29" s="298"/>
      <c r="X29" s="444"/>
      <c r="Y29" s="444"/>
      <c r="Z29" s="444"/>
      <c r="AA29" s="444"/>
      <c r="AB29" s="444"/>
      <c r="AC29" s="444"/>
      <c r="AD29" s="444"/>
      <c r="AE29" s="444"/>
      <c r="AF29" s="444"/>
      <c r="AG29" s="444"/>
      <c r="AH29" s="444"/>
      <c r="AI29" s="444"/>
      <c r="AJ29" s="444"/>
      <c r="AK29" s="444"/>
      <c r="AL29" s="444"/>
      <c r="AM29" s="444"/>
      <c r="AN29" s="444"/>
      <c r="AO29" s="444"/>
      <c r="AW29" s="1080">
        <v>14</v>
      </c>
    </row>
    <row r="30" spans="1:49" ht="56.65" customHeight="1">
      <c r="R30" s="311"/>
      <c r="S30" s="311"/>
      <c r="T30" s="311"/>
      <c r="U30" s="2170" t="str">
        <f>IF(TEMPLATE_GROUP="P",PT_P_FORM_HEAT_6_NAME_FORM,PT_R_FORM_HEAT_23_NAME_FORM)</f>
        <v>Форма 21. Информация о предложении регулируемой организации о расчетной величине тарифов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 о расчетной величине тарифов на горячую воду, поставляемую единой теплоснабжающей организацией в ценовых зонах теплоснабжения потребителям с использованием открытых систем теплоснабжения (горячего водоснабжения), установленных в виде формулы двухкомпонентного тарифа с использованием компонента на теплоноситель и компонента на тепловую энергию, в том числе о числовых значениях компонентов указанного тарифа</v>
      </c>
      <c r="V30" s="2170"/>
      <c r="W30" s="2170"/>
      <c r="X30" s="2170"/>
      <c r="Y30" s="2170"/>
      <c r="Z30" s="2170"/>
      <c r="AA30" s="2170"/>
      <c r="AB30" s="2170"/>
      <c r="AC30" s="2170"/>
      <c r="AD30" s="2170"/>
      <c r="AE30" s="2170"/>
      <c r="AF30" s="2170"/>
      <c r="AG30" s="2170"/>
      <c r="AH30" s="2170"/>
      <c r="AI30" s="2170"/>
      <c r="AJ30" s="2170"/>
      <c r="AK30" s="2170"/>
      <c r="AL30" s="2170"/>
      <c r="AM30" s="2170"/>
      <c r="AN30" s="2170"/>
      <c r="AO30" s="1168"/>
      <c r="AW30" s="1080">
        <v>54</v>
      </c>
    </row>
    <row r="31" spans="1:49" ht="14.65" customHeight="1">
      <c r="R31" s="311"/>
      <c r="S31" s="311"/>
      <c r="T31" s="311"/>
      <c r="U31" s="2115" t="str">
        <f>IF(org=0,"Не определено",org)</f>
        <v>ООО "ЗЕНИТ ЭНЕРГО"</v>
      </c>
      <c r="V31" s="2115"/>
      <c r="W31" s="2115"/>
      <c r="X31" s="2115"/>
      <c r="Y31" s="2115"/>
      <c r="Z31" s="2115"/>
      <c r="AA31" s="2115"/>
      <c r="AB31" s="2115"/>
      <c r="AC31" s="2115"/>
      <c r="AD31" s="2115"/>
      <c r="AE31" s="2115"/>
      <c r="AF31" s="2115"/>
      <c r="AG31" s="2115"/>
      <c r="AH31" s="2115"/>
      <c r="AI31" s="2115"/>
      <c r="AJ31" s="2115"/>
      <c r="AK31" s="2115"/>
      <c r="AL31" s="2115"/>
      <c r="AM31" s="2115"/>
      <c r="AN31" s="2115"/>
      <c r="AO31" s="1168"/>
      <c r="AW31" s="1080">
        <v>14</v>
      </c>
    </row>
    <row r="32" spans="1:49" ht="14.25" hidden="1" customHeight="1">
      <c r="R32" s="311"/>
      <c r="S32" s="311"/>
      <c r="T32" s="311"/>
      <c r="U32" s="1200"/>
      <c r="V32" s="298"/>
      <c r="W32" s="298"/>
      <c r="X32" s="258"/>
      <c r="Y32" s="258"/>
      <c r="Z32" s="258"/>
      <c r="AA32" s="258"/>
      <c r="AB32" s="258"/>
      <c r="AC32" s="258"/>
      <c r="AD32" s="258"/>
      <c r="AE32" s="258"/>
      <c r="AF32" s="258"/>
      <c r="AG32" s="258"/>
      <c r="AH32" s="258"/>
      <c r="AI32" s="258"/>
      <c r="AJ32" s="258"/>
      <c r="AK32" s="258"/>
      <c r="AL32" s="258"/>
      <c r="AM32" s="258"/>
      <c r="AN32" s="258"/>
      <c r="AO32" s="258"/>
      <c r="AP32" s="444"/>
      <c r="AW32" s="1080">
        <v>0</v>
      </c>
    </row>
    <row r="33" spans="1:49" s="1777" customFormat="1" ht="25.5" hidden="1" customHeight="1">
      <c r="A33" s="1173"/>
      <c r="B33" s="1173"/>
      <c r="C33" s="1173"/>
      <c r="D33" s="1173"/>
      <c r="E33" s="1173"/>
      <c r="F33" s="1173"/>
      <c r="G33" s="1173"/>
      <c r="H33" s="1173"/>
      <c r="I33" s="1173"/>
      <c r="J33" s="1173"/>
      <c r="K33" s="1173"/>
      <c r="L33" s="1173"/>
      <c r="M33" s="1305"/>
      <c r="N33" s="1173"/>
      <c r="O33" s="1173"/>
      <c r="P33" s="1173"/>
      <c r="U33" s="2178" t="s">
        <v>42</v>
      </c>
      <c r="V33" s="2178"/>
      <c r="W33" s="1297"/>
      <c r="X33" s="2179" t="str">
        <f>IF(TITLE_NAME_OR_PR_CHANGE="",IF(TITLE_NAME_OR_PR="","",TITLE_NAME_OR_PR),TITLE_NAME_OR_PR_CHANGE)</f>
        <v/>
      </c>
      <c r="Y33" s="2179"/>
      <c r="Z33" s="2179"/>
      <c r="AA33" s="2179"/>
      <c r="AB33" s="2179"/>
      <c r="AC33" s="2179"/>
      <c r="AD33" s="2179"/>
      <c r="AE33" s="2179"/>
      <c r="AF33" s="262"/>
      <c r="AG33" s="2179" t="str">
        <f>IF(TITLE_NAME_OR_PR_CHANGE="",IF(TITLE_NAME_OR_PR="","",TITLE_NAME_OR_PR),TITLE_NAME_OR_PR_CHANGE)</f>
        <v/>
      </c>
      <c r="AH33" s="2179"/>
      <c r="AI33" s="2179"/>
      <c r="AJ33" s="2179"/>
      <c r="AK33" s="2179"/>
      <c r="AL33" s="2179"/>
      <c r="AM33" s="2179"/>
      <c r="AN33" s="2179"/>
      <c r="AO33" s="262"/>
      <c r="AP33" s="262"/>
      <c r="AQ33" s="216"/>
      <c r="AR33" s="303"/>
      <c r="AS33" s="303"/>
      <c r="AT33" s="303"/>
      <c r="AU33" s="303"/>
      <c r="AV33" s="303"/>
      <c r="AW33" s="353">
        <v>0</v>
      </c>
    </row>
    <row r="34" spans="1:49" s="1777" customFormat="1" ht="18.75" hidden="1" customHeight="1">
      <c r="A34" s="1173"/>
      <c r="B34" s="1173"/>
      <c r="C34" s="1173"/>
      <c r="D34" s="1173"/>
      <c r="E34" s="1173"/>
      <c r="F34" s="1173"/>
      <c r="G34" s="1173"/>
      <c r="H34" s="1173"/>
      <c r="I34" s="1173"/>
      <c r="J34" s="1173"/>
      <c r="K34" s="1173"/>
      <c r="L34" s="1173"/>
      <c r="M34" s="1305"/>
      <c r="N34" s="1173"/>
      <c r="O34" s="1173"/>
      <c r="P34" s="1173"/>
      <c r="U34" s="2178" t="s">
        <v>422</v>
      </c>
      <c r="V34" s="2178"/>
      <c r="W34" s="1297"/>
      <c r="X34" s="2188" t="str">
        <f>IF(TITLE_DATE_PR_CHANGE="",IF(TITLE_DATE_PR="","",TITLE_DATE_PR),TITLE_DATE_PR_CHANGE)</f>
        <v/>
      </c>
      <c r="Y34" s="2188"/>
      <c r="Z34" s="2188"/>
      <c r="AA34" s="2188"/>
      <c r="AB34" s="2188"/>
      <c r="AC34" s="2188"/>
      <c r="AD34" s="2188"/>
      <c r="AE34" s="2188"/>
      <c r="AF34" s="262"/>
      <c r="AG34" s="2188" t="str">
        <f>IF(TITLE_DATE_PR_CHANGE="",IF(TITLE_DATE_PR="","",TITLE_DATE_PR),TITLE_DATE_PR_CHANGE)</f>
        <v/>
      </c>
      <c r="AH34" s="2188"/>
      <c r="AI34" s="2188"/>
      <c r="AJ34" s="2188"/>
      <c r="AK34" s="2188"/>
      <c r="AL34" s="2188"/>
      <c r="AM34" s="2188"/>
      <c r="AN34" s="2188"/>
      <c r="AO34" s="262"/>
      <c r="AP34" s="262"/>
      <c r="AQ34" s="216"/>
      <c r="AR34" s="303"/>
      <c r="AS34" s="303"/>
      <c r="AT34" s="303"/>
      <c r="AU34" s="303"/>
      <c r="AV34" s="303"/>
      <c r="AW34" s="353">
        <v>0</v>
      </c>
    </row>
    <row r="35" spans="1:49" s="1777" customFormat="1" ht="18.75" hidden="1" customHeight="1">
      <c r="A35" s="1173"/>
      <c r="B35" s="1173"/>
      <c r="C35" s="1173"/>
      <c r="D35" s="1173"/>
      <c r="E35" s="1173"/>
      <c r="F35" s="1173"/>
      <c r="G35" s="1173"/>
      <c r="H35" s="1173"/>
      <c r="I35" s="1173"/>
      <c r="J35" s="1173"/>
      <c r="K35" s="1173"/>
      <c r="L35" s="1173"/>
      <c r="M35" s="1305"/>
      <c r="N35" s="1173"/>
      <c r="O35" s="1173"/>
      <c r="P35" s="1173"/>
      <c r="U35" s="2178" t="s">
        <v>423</v>
      </c>
      <c r="V35" s="2178"/>
      <c r="W35" s="1297"/>
      <c r="X35" s="2179" t="str">
        <f>IF(TITLE_NUMBER_PR_CHANGE="",IF(TITLE_NUMBER_PR="","",TITLE_NUMBER_PR),TITLE_NUMBER_PR_CHANGE)</f>
        <v/>
      </c>
      <c r="Y35" s="2179"/>
      <c r="Z35" s="2179"/>
      <c r="AA35" s="2179"/>
      <c r="AB35" s="2179"/>
      <c r="AC35" s="2179"/>
      <c r="AD35" s="2179"/>
      <c r="AE35" s="2179"/>
      <c r="AF35" s="262"/>
      <c r="AG35" s="2179" t="str">
        <f>IF(TITLE_NUMBER_PR_CHANGE="",IF(TITLE_NUMBER_PR="","",TITLE_NUMBER_PR),TITLE_NUMBER_PR_CHANGE)</f>
        <v/>
      </c>
      <c r="AH35" s="2179"/>
      <c r="AI35" s="2179"/>
      <c r="AJ35" s="2179"/>
      <c r="AK35" s="2179"/>
      <c r="AL35" s="2179"/>
      <c r="AM35" s="2179"/>
      <c r="AN35" s="2179"/>
      <c r="AO35" s="262"/>
      <c r="AP35" s="262"/>
      <c r="AQ35" s="216"/>
      <c r="AR35" s="303"/>
      <c r="AS35" s="303"/>
      <c r="AT35" s="303"/>
      <c r="AU35" s="303"/>
      <c r="AV35" s="303"/>
      <c r="AW35" s="353">
        <v>0</v>
      </c>
    </row>
    <row r="36" spans="1:49" s="1777" customFormat="1" ht="18.75" hidden="1" customHeight="1">
      <c r="A36" s="1173"/>
      <c r="B36" s="1173"/>
      <c r="C36" s="1173"/>
      <c r="D36" s="1173"/>
      <c r="E36" s="1173"/>
      <c r="F36" s="1173"/>
      <c r="G36" s="1173"/>
      <c r="H36" s="1173"/>
      <c r="I36" s="1173"/>
      <c r="J36" s="1173"/>
      <c r="K36" s="1173"/>
      <c r="L36" s="1173"/>
      <c r="M36" s="1305"/>
      <c r="N36" s="1173"/>
      <c r="O36" s="1173"/>
      <c r="P36" s="1173"/>
      <c r="U36" s="2178" t="s">
        <v>43</v>
      </c>
      <c r="V36" s="2178"/>
      <c r="W36" s="1297"/>
      <c r="X36" s="2179" t="str">
        <f>IF(TITLE_IST_PUB_CHANGE="",IF(TITLE_IST_PUB="","",TITLE_IST_PUB),TITLE_IST_PUB_CHANGE)</f>
        <v/>
      </c>
      <c r="Y36" s="2179"/>
      <c r="Z36" s="2179"/>
      <c r="AA36" s="2179"/>
      <c r="AB36" s="2179"/>
      <c r="AC36" s="2179"/>
      <c r="AD36" s="2179"/>
      <c r="AE36" s="2179"/>
      <c r="AF36" s="262"/>
      <c r="AG36" s="2179" t="str">
        <f>IF(TITLE_IST_PUB_CHANGE="",IF(TITLE_IST_PUB="","",TITLE_IST_PUB),TITLE_IST_PUB_CHANGE)</f>
        <v/>
      </c>
      <c r="AH36" s="2179"/>
      <c r="AI36" s="2179"/>
      <c r="AJ36" s="2179"/>
      <c r="AK36" s="2179"/>
      <c r="AL36" s="2179"/>
      <c r="AM36" s="2179"/>
      <c r="AN36" s="2179"/>
      <c r="AO36" s="262"/>
      <c r="AP36" s="262"/>
      <c r="AQ36" s="216"/>
      <c r="AR36" s="303"/>
      <c r="AS36" s="303"/>
      <c r="AT36" s="303"/>
      <c r="AU36" s="303"/>
      <c r="AV36" s="303"/>
      <c r="AW36" s="353">
        <v>0</v>
      </c>
    </row>
    <row r="37" spans="1:49" ht="14.25" hidden="1" customHeight="1">
      <c r="R37" s="311"/>
      <c r="S37" s="311"/>
      <c r="T37" s="311"/>
      <c r="U37" s="1200"/>
      <c r="V37" s="298"/>
      <c r="W37" s="298"/>
      <c r="X37" s="258"/>
      <c r="Y37" s="258"/>
      <c r="Z37" s="258"/>
      <c r="AA37" s="258"/>
      <c r="AB37" s="258"/>
      <c r="AC37" s="258"/>
      <c r="AD37" s="258"/>
      <c r="AE37" s="258"/>
      <c r="AF37" s="258"/>
      <c r="AG37" s="258"/>
      <c r="AH37" s="258"/>
      <c r="AI37" s="258"/>
      <c r="AJ37" s="258"/>
      <c r="AK37" s="258"/>
      <c r="AL37" s="258"/>
      <c r="AM37" s="258"/>
      <c r="AN37" s="258"/>
      <c r="AO37" s="258"/>
      <c r="AP37" s="444"/>
      <c r="AW37" s="1080">
        <v>0</v>
      </c>
    </row>
    <row r="38" spans="1:49" s="1777" customFormat="1" ht="18.75" hidden="1" customHeight="1">
      <c r="A38" s="1173"/>
      <c r="B38" s="1173"/>
      <c r="C38" s="1173"/>
      <c r="D38" s="1173"/>
      <c r="E38" s="1173"/>
      <c r="F38" s="1173"/>
      <c r="G38" s="1173"/>
      <c r="H38" s="1173"/>
      <c r="I38" s="1173"/>
      <c r="J38" s="1173"/>
      <c r="K38" s="1173"/>
      <c r="L38" s="1173"/>
      <c r="M38" s="1305"/>
      <c r="N38" s="1173"/>
      <c r="O38" s="1173"/>
      <c r="P38" s="1173"/>
      <c r="U38" s="2178" t="s">
        <v>424</v>
      </c>
      <c r="V38" s="2178"/>
      <c r="W38" s="1297"/>
      <c r="X38" s="2188" t="str">
        <f>IF(TITLE_DATE_PR_CHANGE="",IF(TITLE_DATE_PR="","",TITLE_DATE_PR),TITLE_DATE_PR_CHANGE)</f>
        <v/>
      </c>
      <c r="Y38" s="2188"/>
      <c r="Z38" s="2188"/>
      <c r="AA38" s="2188"/>
      <c r="AB38" s="2188"/>
      <c r="AC38" s="2188"/>
      <c r="AD38" s="2188"/>
      <c r="AE38" s="2188"/>
      <c r="AF38" s="262"/>
      <c r="AG38" s="2188" t="str">
        <f>IF(TITLE_DATE_PR_CHANGE="",IF(TITLE_DATE_PR="","",TITLE_DATE_PR),TITLE_DATE_PR_CHANGE)</f>
        <v/>
      </c>
      <c r="AH38" s="2188"/>
      <c r="AI38" s="2188"/>
      <c r="AJ38" s="2188"/>
      <c r="AK38" s="2188"/>
      <c r="AL38" s="2188"/>
      <c r="AM38" s="2188"/>
      <c r="AN38" s="2188"/>
      <c r="AO38" s="262"/>
      <c r="AP38" s="262"/>
      <c r="AQ38" s="216"/>
      <c r="AR38" s="303"/>
      <c r="AS38" s="303"/>
      <c r="AT38" s="303"/>
      <c r="AU38" s="303"/>
      <c r="AV38" s="303"/>
      <c r="AW38" s="353">
        <v>0</v>
      </c>
    </row>
    <row r="39" spans="1:49" s="1777" customFormat="1" ht="18.75" hidden="1" customHeight="1">
      <c r="A39" s="1173"/>
      <c r="B39" s="1173"/>
      <c r="C39" s="1173"/>
      <c r="D39" s="1173"/>
      <c r="E39" s="1173"/>
      <c r="F39" s="1173"/>
      <c r="G39" s="1173"/>
      <c r="H39" s="1173"/>
      <c r="I39" s="1173"/>
      <c r="J39" s="1173"/>
      <c r="K39" s="1173"/>
      <c r="L39" s="1173"/>
      <c r="M39" s="1305"/>
      <c r="N39" s="1173"/>
      <c r="O39" s="1173"/>
      <c r="P39" s="1173"/>
      <c r="U39" s="2178" t="s">
        <v>425</v>
      </c>
      <c r="V39" s="2178"/>
      <c r="W39" s="1297"/>
      <c r="X39" s="2179" t="str">
        <f>IF(TITLE_NUMBER_PR_CHANGE="",IF(TITLE_NUMBER_PR="","",TITLE_NUMBER_PR),TITLE_NUMBER_PR_CHANGE)</f>
        <v/>
      </c>
      <c r="Y39" s="2179"/>
      <c r="Z39" s="2179"/>
      <c r="AA39" s="2179"/>
      <c r="AB39" s="2179"/>
      <c r="AC39" s="2179"/>
      <c r="AD39" s="2179"/>
      <c r="AE39" s="2179"/>
      <c r="AF39" s="262"/>
      <c r="AG39" s="2179" t="str">
        <f>IF(TITLE_NUMBER_PR_CHANGE="",IF(TITLE_NUMBER_PR="","",TITLE_NUMBER_PR),TITLE_NUMBER_PR_CHANGE)</f>
        <v/>
      </c>
      <c r="AH39" s="2179"/>
      <c r="AI39" s="2179"/>
      <c r="AJ39" s="2179"/>
      <c r="AK39" s="2179"/>
      <c r="AL39" s="2179"/>
      <c r="AM39" s="2179"/>
      <c r="AN39" s="2179"/>
      <c r="AO39" s="262"/>
      <c r="AP39" s="262"/>
      <c r="AQ39" s="216"/>
      <c r="AR39" s="303"/>
      <c r="AS39" s="303"/>
      <c r="AT39" s="303"/>
      <c r="AU39" s="303"/>
      <c r="AV39" s="303"/>
      <c r="AW39" s="353">
        <v>0</v>
      </c>
    </row>
    <row r="40" spans="1:49" s="1777" customFormat="1" ht="0" hidden="1" customHeight="1">
      <c r="A40" s="1173"/>
      <c r="B40" s="1173"/>
      <c r="C40" s="1173"/>
      <c r="D40" s="1173"/>
      <c r="E40" s="1173"/>
      <c r="F40" s="1173"/>
      <c r="G40" s="1173"/>
      <c r="H40" s="1173"/>
      <c r="I40" s="1173"/>
      <c r="J40" s="1173"/>
      <c r="K40" s="1173"/>
      <c r="L40" s="1173"/>
      <c r="M40" s="1305"/>
      <c r="N40" s="1173"/>
      <c r="O40" s="1173"/>
      <c r="P40" s="1173"/>
      <c r="U40" s="259"/>
      <c r="V40" s="259"/>
      <c r="W40" s="1265"/>
      <c r="X40" s="262"/>
      <c r="Y40" s="262"/>
      <c r="Z40" s="262"/>
      <c r="AA40" s="262"/>
      <c r="AB40" s="262"/>
      <c r="AC40" s="262"/>
      <c r="AD40" s="262"/>
      <c r="AE40" s="262"/>
      <c r="AF40" s="214" t="s">
        <v>426</v>
      </c>
      <c r="AG40" s="262"/>
      <c r="AH40" s="262"/>
      <c r="AI40" s="262"/>
      <c r="AJ40" s="262"/>
      <c r="AK40" s="262"/>
      <c r="AL40" s="262"/>
      <c r="AM40" s="262"/>
      <c r="AN40" s="262"/>
      <c r="AO40" s="214" t="s">
        <v>426</v>
      </c>
      <c r="AR40" s="303"/>
      <c r="AS40" s="303"/>
      <c r="AT40" s="303"/>
      <c r="AU40" s="303"/>
      <c r="AV40" s="303"/>
      <c r="AW40" s="353">
        <v>0</v>
      </c>
    </row>
    <row r="41" spans="1:49" ht="14.65" customHeight="1">
      <c r="R41" s="311"/>
      <c r="S41" s="311"/>
      <c r="T41" s="311"/>
      <c r="U41" s="1200"/>
      <c r="V41" s="298"/>
      <c r="W41" s="1169"/>
      <c r="X41" s="2180"/>
      <c r="Y41" s="2180"/>
      <c r="Z41" s="2180"/>
      <c r="AA41" s="2180"/>
      <c r="AB41" s="2180"/>
      <c r="AC41" s="2180"/>
      <c r="AD41" s="2180"/>
      <c r="AE41" s="2180"/>
      <c r="AF41" s="2180"/>
      <c r="AG41" s="2180"/>
      <c r="AH41" s="2180"/>
      <c r="AI41" s="2180"/>
      <c r="AJ41" s="2180"/>
      <c r="AK41" s="2180"/>
      <c r="AL41" s="2180"/>
      <c r="AM41" s="2180"/>
      <c r="AN41" s="2180"/>
      <c r="AO41" s="2180"/>
      <c r="AW41" s="1080">
        <v>14</v>
      </c>
    </row>
    <row r="42" spans="1:49" ht="14.65" customHeight="1">
      <c r="R42" s="311"/>
      <c r="S42" s="311"/>
      <c r="T42" s="311"/>
      <c r="U42" s="2066" t="s">
        <v>299</v>
      </c>
      <c r="V42" s="2066"/>
      <c r="W42" s="2066"/>
      <c r="X42" s="2066"/>
      <c r="Y42" s="2066"/>
      <c r="Z42" s="2066"/>
      <c r="AA42" s="2066"/>
      <c r="AB42" s="2066"/>
      <c r="AC42" s="2066"/>
      <c r="AD42" s="2066"/>
      <c r="AE42" s="2066"/>
      <c r="AF42" s="2066"/>
      <c r="AG42" s="2066"/>
      <c r="AH42" s="2066"/>
      <c r="AI42" s="2066"/>
      <c r="AJ42" s="2066"/>
      <c r="AK42" s="2066"/>
      <c r="AL42" s="2066"/>
      <c r="AM42" s="2066"/>
      <c r="AN42" s="2066"/>
      <c r="AO42" s="2066"/>
      <c r="AP42" s="2066"/>
      <c r="AQ42" s="2066" t="s">
        <v>300</v>
      </c>
      <c r="AW42" s="1080">
        <v>14</v>
      </c>
    </row>
    <row r="43" spans="1:49" ht="14.65" customHeight="1">
      <c r="R43" s="311"/>
      <c r="S43" s="311"/>
      <c r="T43" s="311"/>
      <c r="U43" s="2194" t="s">
        <v>88</v>
      </c>
      <c r="V43" s="2145" t="s">
        <v>427</v>
      </c>
      <c r="W43" s="237"/>
      <c r="X43" s="2195" t="s">
        <v>428</v>
      </c>
      <c r="Y43" s="2212"/>
      <c r="Z43" s="2212"/>
      <c r="AA43" s="2212"/>
      <c r="AB43" s="2212"/>
      <c r="AC43" s="2196"/>
      <c r="AD43" s="2196"/>
      <c r="AE43" s="2197"/>
      <c r="AF43" s="2198" t="s">
        <v>429</v>
      </c>
      <c r="AG43" s="2195" t="s">
        <v>428</v>
      </c>
      <c r="AH43" s="2212"/>
      <c r="AI43" s="2212"/>
      <c r="AJ43" s="2212"/>
      <c r="AK43" s="2212"/>
      <c r="AL43" s="2196"/>
      <c r="AM43" s="2196"/>
      <c r="AN43" s="2197"/>
      <c r="AO43" s="2198" t="s">
        <v>430</v>
      </c>
      <c r="AP43" s="2201" t="s">
        <v>431</v>
      </c>
      <c r="AQ43" s="2066"/>
      <c r="AW43" s="1080">
        <v>14</v>
      </c>
    </row>
    <row r="44" spans="1:49" ht="35.65" customHeight="1">
      <c r="R44" s="311"/>
      <c r="S44" s="311"/>
      <c r="T44" s="311"/>
      <c r="U44" s="2194"/>
      <c r="V44" s="2145"/>
      <c r="W44" s="959"/>
      <c r="X44" s="2131" t="s">
        <v>454</v>
      </c>
      <c r="Y44" s="2066" t="s">
        <v>455</v>
      </c>
      <c r="Z44" s="2066"/>
      <c r="AA44" s="2066"/>
      <c r="AB44" s="2066"/>
      <c r="AC44" s="2131" t="s">
        <v>435</v>
      </c>
      <c r="AD44" s="2226"/>
      <c r="AE44" s="2132"/>
      <c r="AF44" s="2199"/>
      <c r="AG44" s="2131" t="s">
        <v>454</v>
      </c>
      <c r="AH44" s="2066" t="s">
        <v>455</v>
      </c>
      <c r="AI44" s="2066"/>
      <c r="AJ44" s="2066"/>
      <c r="AK44" s="2066"/>
      <c r="AL44" s="2131" t="s">
        <v>435</v>
      </c>
      <c r="AM44" s="2226"/>
      <c r="AN44" s="2132"/>
      <c r="AO44" s="2199"/>
      <c r="AP44" s="2202"/>
      <c r="AQ44" s="2066"/>
      <c r="AW44" s="1080">
        <v>34</v>
      </c>
    </row>
    <row r="45" spans="1:49" ht="14.65" customHeight="1">
      <c r="R45" s="311"/>
      <c r="S45" s="311"/>
      <c r="T45" s="311"/>
      <c r="U45" s="2194"/>
      <c r="V45" s="2145"/>
      <c r="W45" s="959"/>
      <c r="X45" s="2133"/>
      <c r="Y45" s="2159" t="s">
        <v>456</v>
      </c>
      <c r="Z45" s="2154" t="s">
        <v>457</v>
      </c>
      <c r="AA45" s="2155"/>
      <c r="AB45" s="2156"/>
      <c r="AC45" s="2136"/>
      <c r="AD45" s="2227"/>
      <c r="AE45" s="2137"/>
      <c r="AF45" s="2199"/>
      <c r="AG45" s="2133"/>
      <c r="AH45" s="2159" t="s">
        <v>456</v>
      </c>
      <c r="AI45" s="2154" t="s">
        <v>457</v>
      </c>
      <c r="AJ45" s="2155"/>
      <c r="AK45" s="2156"/>
      <c r="AL45" s="2136"/>
      <c r="AM45" s="2227"/>
      <c r="AN45" s="2137"/>
      <c r="AO45" s="2199"/>
      <c r="AP45" s="2202"/>
      <c r="AQ45" s="2066"/>
      <c r="AW45" s="1080">
        <v>14</v>
      </c>
    </row>
    <row r="46" spans="1:49" ht="27.4" customHeight="1">
      <c r="R46" s="311"/>
      <c r="S46" s="311"/>
      <c r="T46" s="311"/>
      <c r="U46" s="2194"/>
      <c r="V46" s="2145"/>
      <c r="W46" s="959"/>
      <c r="X46" s="2133"/>
      <c r="Y46" s="2228"/>
      <c r="Z46" s="2159" t="s">
        <v>458</v>
      </c>
      <c r="AA46" s="2154" t="s">
        <v>459</v>
      </c>
      <c r="AB46" s="2156"/>
      <c r="AC46" s="2159" t="s">
        <v>445</v>
      </c>
      <c r="AD46" s="2161" t="s">
        <v>446</v>
      </c>
      <c r="AE46" s="2163"/>
      <c r="AF46" s="2199"/>
      <c r="AG46" s="2133"/>
      <c r="AH46" s="2228"/>
      <c r="AI46" s="2159" t="s">
        <v>458</v>
      </c>
      <c r="AJ46" s="2154" t="s">
        <v>459</v>
      </c>
      <c r="AK46" s="2156"/>
      <c r="AL46" s="2159" t="s">
        <v>445</v>
      </c>
      <c r="AM46" s="2161" t="s">
        <v>446</v>
      </c>
      <c r="AN46" s="2163"/>
      <c r="AO46" s="2199"/>
      <c r="AP46" s="2202"/>
      <c r="AQ46" s="2066"/>
      <c r="AW46" s="1080">
        <v>26</v>
      </c>
    </row>
    <row r="47" spans="1:49" ht="65.25" customHeight="1">
      <c r="A47" s="1184"/>
      <c r="B47" s="1184" t="s">
        <v>136</v>
      </c>
      <c r="C47" s="1184" t="s">
        <v>137</v>
      </c>
      <c r="D47" s="1184" t="s">
        <v>138</v>
      </c>
      <c r="E47" s="1235" t="s">
        <v>436</v>
      </c>
      <c r="F47" s="1235" t="s">
        <v>437</v>
      </c>
      <c r="G47" s="1235" t="s">
        <v>438</v>
      </c>
      <c r="H47" s="1235" t="s">
        <v>439</v>
      </c>
      <c r="I47" s="1235" t="s">
        <v>440</v>
      </c>
      <c r="J47" s="1235" t="s">
        <v>441</v>
      </c>
      <c r="K47" s="1235" t="s">
        <v>442</v>
      </c>
      <c r="L47" s="1235" t="s">
        <v>460</v>
      </c>
      <c r="M47" s="1235" t="s">
        <v>417</v>
      </c>
      <c r="R47" s="311"/>
      <c r="S47" s="311"/>
      <c r="T47" s="311"/>
      <c r="U47" s="2194"/>
      <c r="V47" s="2145"/>
      <c r="W47" s="238"/>
      <c r="X47" s="2136"/>
      <c r="Y47" s="2160"/>
      <c r="Z47" s="2160"/>
      <c r="AA47" s="1147" t="s">
        <v>461</v>
      </c>
      <c r="AB47" s="1147" t="s">
        <v>462</v>
      </c>
      <c r="AC47" s="2160"/>
      <c r="AD47" s="2162"/>
      <c r="AE47" s="2164"/>
      <c r="AF47" s="2200"/>
      <c r="AG47" s="2136"/>
      <c r="AH47" s="2160"/>
      <c r="AI47" s="2160"/>
      <c r="AJ47" s="1147" t="s">
        <v>461</v>
      </c>
      <c r="AK47" s="1147" t="s">
        <v>462</v>
      </c>
      <c r="AL47" s="2160"/>
      <c r="AM47" s="2162"/>
      <c r="AN47" s="2164"/>
      <c r="AO47" s="2200"/>
      <c r="AP47" s="2203"/>
      <c r="AQ47" s="2066"/>
      <c r="AW47" s="1080">
        <v>62</v>
      </c>
    </row>
    <row r="48" spans="1:49" s="1566" customFormat="1" ht="11.25" hidden="1" customHeight="1">
      <c r="A48" s="1184"/>
      <c r="B48" s="1184"/>
      <c r="C48" s="1184"/>
      <c r="D48" s="1184"/>
      <c r="E48" s="1184"/>
      <c r="F48" s="1184"/>
      <c r="G48" s="1184"/>
      <c r="H48" s="1184"/>
      <c r="I48" s="1184"/>
      <c r="J48" s="1184"/>
      <c r="K48" s="1184"/>
      <c r="L48" s="1184"/>
      <c r="M48" s="1235"/>
      <c r="N48" s="1253"/>
      <c r="O48" s="1253"/>
      <c r="P48" s="1253"/>
      <c r="Q48" s="1171"/>
      <c r="R48" s="1172"/>
      <c r="S48" s="1179">
        <v>1</v>
      </c>
      <c r="T48" s="1179"/>
      <c r="U48" s="1202" t="s">
        <v>109</v>
      </c>
      <c r="V48" s="1180" t="s">
        <v>110</v>
      </c>
      <c r="W48" s="1170" t="str">
        <f ca="1">OFFSET(W48,0,-1)</f>
        <v>2</v>
      </c>
      <c r="X48" s="1260">
        <f ca="1">OFFSET(X48,0,-1)+1</f>
        <v>3</v>
      </c>
      <c r="Y48" s="1266"/>
      <c r="Z48" s="1266"/>
      <c r="AA48" s="1266">
        <f ca="1">OFFSET(AA48,0,-1)+1</f>
        <v>1</v>
      </c>
      <c r="AB48" s="1266">
        <f ca="1">OFFSET(AB48,0,-1)+1</f>
        <v>2</v>
      </c>
      <c r="AC48" s="1260">
        <f ca="1">OFFSET(AC48,0,-1)+1</f>
        <v>3</v>
      </c>
      <c r="AD48" s="2193">
        <f ca="1">OFFSET(AD48,0,-1)+1</f>
        <v>4</v>
      </c>
      <c r="AE48" s="2193"/>
      <c r="AF48" s="1260">
        <f ca="1">OFFSET(AF48,0,-2)+1</f>
        <v>5</v>
      </c>
      <c r="AG48" s="1260">
        <f ca="1">OFFSET(AG48,0,-1)+1</f>
        <v>6</v>
      </c>
      <c r="AH48" s="1260"/>
      <c r="AI48" s="1260"/>
      <c r="AJ48" s="1260">
        <f ca="1">OFFSET(AJ48,0,-1)+1</f>
        <v>1</v>
      </c>
      <c r="AK48" s="1260">
        <f ca="1">OFFSET(AK48,0,-1)+1</f>
        <v>2</v>
      </c>
      <c r="AL48" s="1260">
        <f ca="1">OFFSET(AL48,0,-1)+1</f>
        <v>3</v>
      </c>
      <c r="AM48" s="2193">
        <f ca="1">OFFSET(AM48,0,-1)+1</f>
        <v>4</v>
      </c>
      <c r="AN48" s="2193"/>
      <c r="AO48" s="1260">
        <f ca="1">OFFSET(AO48,0,-2)+1</f>
        <v>5</v>
      </c>
      <c r="AP48" s="1170">
        <f ca="1">OFFSET(AP48,0,-1)</f>
        <v>5</v>
      </c>
      <c r="AQ48" s="1260">
        <f ca="1">OFFSET(AQ48,0,-1)+1</f>
        <v>6</v>
      </c>
      <c r="AR48" s="446"/>
      <c r="AS48" s="446"/>
      <c r="AT48" s="446"/>
      <c r="AU48" s="446"/>
      <c r="AV48" s="446"/>
      <c r="AW48" s="431">
        <v>0</v>
      </c>
    </row>
    <row r="49" spans="1:49" ht="21.95" customHeight="1">
      <c r="A49" s="1192" t="s">
        <v>175</v>
      </c>
      <c r="B49" s="1192"/>
      <c r="C49" s="1192"/>
      <c r="D49" s="1192"/>
      <c r="E49" s="2210">
        <v>1</v>
      </c>
      <c r="F49" s="1192"/>
      <c r="G49" s="1192"/>
      <c r="H49" s="1192"/>
      <c r="I49" s="1192"/>
      <c r="J49" s="1192"/>
      <c r="K49" s="1192"/>
      <c r="L49" s="1192"/>
      <c r="M49" s="1235"/>
      <c r="N49" s="623"/>
      <c r="O49" s="623"/>
      <c r="P49" s="623"/>
      <c r="Q49" s="296"/>
      <c r="R49" s="295"/>
      <c r="S49" s="295"/>
      <c r="T49" s="290"/>
      <c r="U49" s="1261">
        <f>INDEX(PT_DIFFERENTIATION_NUM_NTAR,MATCH(A49,PT_DIFFERENTIATION_NTAR_ID,0))</f>
        <v>0</v>
      </c>
      <c r="V49" s="234" t="s">
        <v>124</v>
      </c>
      <c r="W49" s="236"/>
      <c r="X49" s="2172"/>
      <c r="Y49" s="2173"/>
      <c r="Z49" s="2173"/>
      <c r="AA49" s="2173"/>
      <c r="AB49" s="2173"/>
      <c r="AC49" s="2173"/>
      <c r="AD49" s="2173"/>
      <c r="AE49" s="2173"/>
      <c r="AF49" s="2174"/>
      <c r="AG49" s="2172" t="str">
        <f>INDEX(PT_DIFFERENTIATION_NTAR,MATCH(A49,PT_DIFFERENTIATION_NTAR_ID,0))</f>
        <v/>
      </c>
      <c r="AH49" s="2173"/>
      <c r="AI49" s="2173"/>
      <c r="AJ49" s="2173"/>
      <c r="AK49" s="2173"/>
      <c r="AL49" s="2173"/>
      <c r="AM49" s="2173"/>
      <c r="AN49" s="2173"/>
      <c r="AO49" s="2173"/>
      <c r="AP49" s="2174"/>
      <c r="AQ49" s="1183" t="str">
        <f>IF(TEMPLATE_GROUP="P","По данной форме раскрывается в том числе информация о тарифах на товары (услуги) в сфере теплоснабжения в случаях, указанных в частях 12 1 - 12 4 статьи 10 Федерального закона от 27 июля 2010 г. N 190-ФЗ ""О теплоснабжении"", "&amp;"теплоснабжающей организации, теплосетевой организации в ценовых зонах теплоснабжения. "&amp;"При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реквизиты"&amp;" (дата и номер) решения об установлении цены (тарифа), источник официального опубликования решения об установлении цены (тарифа) в сфере теплоснабжения.","В соответствии с данной формой раскрывается в том числе информация о тарифах на горячую воду, поставляемую единой теплоснабжающей организацией потребителям с использованием открытых систем теплоснабжения"&amp;" (горячего водоснабжения), установленных в виде формулы двухкомпонентного тарифа "&amp;"с использованием компонента на теплоноситель и компонента на тепловую энергию, в том числе о числовых значениях компонентов указанного тарифа. "&amp;"В соответствии с данной формой раскрывается в том числе информация о тарифах на товары (услуги) в сфере теплоснабжения в случаях, указанных частях 12 1 - 12 4 статьи 10 "&amp;"Федерального закона от 27 июля 2010 г. N 190-ФЗ ""О теплоснабжении"", теплоснабжающей организации, теплосетевой организации в ценовых зонах теплоснабжения.
"&amp;"Указывается наименование тарифа в случае расчета нескольких тарифов.
"&amp;"В случае наличия нескольких тарифов информация по ним указывается в отдельных строках.")</f>
        <v>В соответствии с данной формой раскрывается в том числе информация о тарифах на горячую воду, поставляемую единой теплоснабжающей организацией потребителям с использованием открытых систем теплоснабжения (горячего водоснабжения), установленных в виде формулы двухкомпонентного тарифа с использованием компонента на теплоноситель и компонента на тепловую энергию, в том числе о числовых значениях компонентов указанного тарифа. В соответствии с данной формой раскрывается в том числе информация о тарифах на товары (услуги) в сфере теплоснабжения в случаях, указанных частях 12 1 - 12 4 статьи 10 Федерального закона от 27 июля 2010 г. N 190-ФЗ "О теплоснабжении", теплоснабжающей организации, теплосетевой организации в ценовых зонах теплоснабжения.
Указывается наименование тарифа в случае расчета нескольких тарифов.
В случае наличия нескольких тарифов информация по ним указывается в отдельных строках.</v>
      </c>
      <c r="AS49" s="435"/>
      <c r="AT49" s="435" t="str">
        <f t="shared" ref="AT49:AT65" si="2">IF(V49="","",V49)</f>
        <v>Наименование тарифа</v>
      </c>
      <c r="AU49" s="435"/>
      <c r="AV49" s="435"/>
      <c r="AW49" s="1080">
        <v>21</v>
      </c>
    </row>
    <row r="50" spans="1:49" ht="21.95" customHeight="1">
      <c r="A50" s="1192" t="s">
        <v>175</v>
      </c>
      <c r="B50" s="1192" t="s">
        <v>176</v>
      </c>
      <c r="C50" s="1192"/>
      <c r="D50" s="1192"/>
      <c r="E50" s="2211"/>
      <c r="F50" s="2210">
        <v>1</v>
      </c>
      <c r="G50" s="1192"/>
      <c r="H50" s="1192"/>
      <c r="I50" s="1192"/>
      <c r="J50" s="1192"/>
      <c r="K50" s="1192"/>
      <c r="L50" s="1192"/>
      <c r="M50" s="1235"/>
      <c r="N50" s="623"/>
      <c r="O50" s="623"/>
      <c r="P50" s="623"/>
      <c r="Q50" s="1257"/>
      <c r="R50" s="287"/>
      <c r="S50" s="444"/>
      <c r="T50" s="288"/>
      <c r="U50" s="1261" t="str">
        <f>INDEX(PT_DIFFERENTIATION_NUM_TER,MATCH(B50,PT_DIFFERENTIATION_TER_ID,0))</f>
        <v>.</v>
      </c>
      <c r="V50" s="244" t="s">
        <v>396</v>
      </c>
      <c r="W50" s="236"/>
      <c r="X50" s="2172"/>
      <c r="Y50" s="2173"/>
      <c r="Z50" s="2173"/>
      <c r="AA50" s="2173"/>
      <c r="AB50" s="2173"/>
      <c r="AC50" s="2173"/>
      <c r="AD50" s="2173"/>
      <c r="AE50" s="2173"/>
      <c r="AF50" s="2174"/>
      <c r="AG50" s="2172" t="str">
        <f>INDEX(PT_DIFFERENTIATION_TER,MATCH(B50,PT_DIFFERENTIATION_TER_ID,0))</f>
        <v/>
      </c>
      <c r="AH50" s="2173"/>
      <c r="AI50" s="2173"/>
      <c r="AJ50" s="2173"/>
      <c r="AK50" s="2173"/>
      <c r="AL50" s="2173"/>
      <c r="AM50" s="2173"/>
      <c r="AN50" s="2173"/>
      <c r="AO50" s="2173"/>
      <c r="AP50" s="2174"/>
      <c r="AQ50" s="1183" t="s">
        <v>397</v>
      </c>
      <c r="AS50" s="435"/>
      <c r="AT50" s="435" t="str">
        <f t="shared" si="2"/>
        <v>Территория действия тарифа</v>
      </c>
      <c r="AU50" s="435"/>
      <c r="AV50" s="435"/>
      <c r="AW50" s="1080">
        <v>21</v>
      </c>
    </row>
    <row r="51" spans="1:49" ht="24" customHeight="1">
      <c r="A51" s="1192" t="s">
        <v>175</v>
      </c>
      <c r="B51" s="1192" t="s">
        <v>176</v>
      </c>
      <c r="C51" s="1192" t="s">
        <v>177</v>
      </c>
      <c r="D51" s="1192"/>
      <c r="E51" s="2211"/>
      <c r="F51" s="2211"/>
      <c r="G51" s="2210">
        <v>1</v>
      </c>
      <c r="H51" s="1192"/>
      <c r="I51" s="1192"/>
      <c r="J51" s="1192"/>
      <c r="K51" s="1192"/>
      <c r="L51" s="1192"/>
      <c r="M51" s="1235"/>
      <c r="N51" s="623"/>
      <c r="O51" s="623"/>
      <c r="P51" s="623"/>
      <c r="Q51" s="289"/>
      <c r="R51" s="287"/>
      <c r="S51" s="444"/>
      <c r="T51" s="288"/>
      <c r="U51" s="1261" t="str">
        <f>INDEX(PT_DIFFERENTIATION_NUM_CS,MATCH(C51,PT_DIFFERENTIATION_CS_ID,0))</f>
        <v>..</v>
      </c>
      <c r="V51" s="245" t="s">
        <v>398</v>
      </c>
      <c r="W51" s="236"/>
      <c r="X51" s="2172"/>
      <c r="Y51" s="2173"/>
      <c r="Z51" s="2173"/>
      <c r="AA51" s="2173"/>
      <c r="AB51" s="2173"/>
      <c r="AC51" s="2173"/>
      <c r="AD51" s="2173"/>
      <c r="AE51" s="2173"/>
      <c r="AF51" s="2174"/>
      <c r="AG51" s="2172" t="str">
        <f>INDEX(PT_DIFFERENTIATION_CS,MATCH(C51,PT_DIFFERENTIATION_CS_ID,0))</f>
        <v/>
      </c>
      <c r="AH51" s="2173"/>
      <c r="AI51" s="2173"/>
      <c r="AJ51" s="2173"/>
      <c r="AK51" s="2173"/>
      <c r="AL51" s="2173"/>
      <c r="AM51" s="2173"/>
      <c r="AN51" s="2173"/>
      <c r="AO51" s="2173"/>
      <c r="AP51" s="2174"/>
      <c r="AQ51" s="1183" t="s">
        <v>399</v>
      </c>
      <c r="AS51" s="435"/>
      <c r="AT51" s="435" t="str">
        <f t="shared" si="2"/>
        <v xml:space="preserve">Наименование системы теплоснабжения </v>
      </c>
      <c r="AU51" s="435"/>
      <c r="AV51" s="435"/>
      <c r="AW51" s="1080">
        <v>23</v>
      </c>
    </row>
    <row r="52" spans="1:49" ht="21.95" customHeight="1">
      <c r="A52" s="1192" t="s">
        <v>175</v>
      </c>
      <c r="B52" s="1192" t="s">
        <v>176</v>
      </c>
      <c r="C52" s="1192" t="s">
        <v>177</v>
      </c>
      <c r="D52" s="1192" t="s">
        <v>178</v>
      </c>
      <c r="E52" s="2211"/>
      <c r="F52" s="2211"/>
      <c r="G52" s="2211"/>
      <c r="H52" s="2210">
        <v>1</v>
      </c>
      <c r="I52" s="1192"/>
      <c r="J52" s="1192"/>
      <c r="K52" s="1192"/>
      <c r="L52" s="1192"/>
      <c r="M52" s="1235"/>
      <c r="N52" s="623"/>
      <c r="O52" s="623"/>
      <c r="P52" s="623"/>
      <c r="Q52" s="289"/>
      <c r="R52" s="287"/>
      <c r="S52" s="444"/>
      <c r="T52" s="288"/>
      <c r="U52" s="1261" t="str">
        <f>INDEX(PT_DIFFERENTIATION_NUM_IST_TE,MATCH(D52,PT_DIFFERENTIATION_IST_TE_ID,0))</f>
        <v>...</v>
      </c>
      <c r="V52" s="246" t="s">
        <v>400</v>
      </c>
      <c r="W52" s="236"/>
      <c r="X52" s="2172"/>
      <c r="Y52" s="2173"/>
      <c r="Z52" s="2173"/>
      <c r="AA52" s="2173"/>
      <c r="AB52" s="2173"/>
      <c r="AC52" s="2173"/>
      <c r="AD52" s="2173"/>
      <c r="AE52" s="2173"/>
      <c r="AF52" s="2174"/>
      <c r="AG52" s="2172" t="str">
        <f>INDEX(PT_DIFFERENTIATION_IST_TE,MATCH(D52,PT_DIFFERENTIATION_IST_TE_ID,0))</f>
        <v/>
      </c>
      <c r="AH52" s="2173"/>
      <c r="AI52" s="2173"/>
      <c r="AJ52" s="2173"/>
      <c r="AK52" s="2173"/>
      <c r="AL52" s="2173"/>
      <c r="AM52" s="2173"/>
      <c r="AN52" s="2173"/>
      <c r="AO52" s="2173"/>
      <c r="AP52" s="2174"/>
      <c r="AQ52" s="1183" t="s">
        <v>401</v>
      </c>
      <c r="AS52" s="435"/>
      <c r="AT52" s="435" t="str">
        <f t="shared" si="2"/>
        <v xml:space="preserve">Источник тепловой энергии  </v>
      </c>
      <c r="AU52" s="435"/>
      <c r="AV52" s="435"/>
      <c r="AW52" s="1080">
        <v>21</v>
      </c>
    </row>
    <row r="53" spans="1:49" s="1567" customFormat="1" ht="0" hidden="1" customHeight="1">
      <c r="A53" s="1300" t="s">
        <v>175</v>
      </c>
      <c r="B53" s="1300" t="s">
        <v>176</v>
      </c>
      <c r="C53" s="1300" t="s">
        <v>177</v>
      </c>
      <c r="D53" s="1300" t="s">
        <v>178</v>
      </c>
      <c r="E53" s="2211"/>
      <c r="F53" s="2211"/>
      <c r="G53" s="2211"/>
      <c r="H53" s="2211"/>
      <c r="I53" s="2066" t="str">
        <f>U52&amp;".1"</f>
        <v>....1</v>
      </c>
      <c r="J53" s="1300"/>
      <c r="K53" s="1300"/>
      <c r="L53" s="1300"/>
      <c r="M53" s="1306" t="s">
        <v>402</v>
      </c>
      <c r="N53" s="1171"/>
      <c r="O53" s="1171"/>
      <c r="P53" s="1171"/>
      <c r="Q53" s="2185">
        <v>1</v>
      </c>
      <c r="R53" s="1256"/>
      <c r="S53" s="1256"/>
      <c r="T53" s="291"/>
      <c r="U53" s="970"/>
      <c r="V53" s="1308"/>
      <c r="W53" s="1309"/>
      <c r="X53" s="2215"/>
      <c r="Y53" s="2216"/>
      <c r="Z53" s="2216"/>
      <c r="AA53" s="2216"/>
      <c r="AB53" s="2216"/>
      <c r="AC53" s="2216"/>
      <c r="AD53" s="2216"/>
      <c r="AE53" s="2216"/>
      <c r="AF53" s="2217"/>
      <c r="AG53" s="2215"/>
      <c r="AH53" s="2216"/>
      <c r="AI53" s="2216"/>
      <c r="AJ53" s="2216"/>
      <c r="AK53" s="2216"/>
      <c r="AL53" s="2216"/>
      <c r="AM53" s="2216"/>
      <c r="AN53" s="2216"/>
      <c r="AO53" s="2216"/>
      <c r="AP53" s="2217"/>
      <c r="AQ53" s="1310"/>
      <c r="AS53" s="435"/>
      <c r="AT53" s="435" t="str">
        <f t="shared" si="2"/>
        <v/>
      </c>
      <c r="AU53" s="435"/>
      <c r="AV53" s="435"/>
      <c r="AW53" s="446">
        <v>0</v>
      </c>
    </row>
    <row r="54" spans="1:49" ht="21.95" customHeight="1">
      <c r="A54" s="1192" t="s">
        <v>175</v>
      </c>
      <c r="B54" s="1192" t="s">
        <v>176</v>
      </c>
      <c r="C54" s="1192" t="s">
        <v>177</v>
      </c>
      <c r="D54" s="1192" t="s">
        <v>178</v>
      </c>
      <c r="E54" s="2211"/>
      <c r="F54" s="2211"/>
      <c r="G54" s="2211"/>
      <c r="H54" s="2211"/>
      <c r="I54" s="2038"/>
      <c r="J54" s="2066" t="str">
        <f>I53&amp;".1"</f>
        <v>....1.1</v>
      </c>
      <c r="K54" s="1192"/>
      <c r="L54" s="1192"/>
      <c r="M54" s="1235" t="s">
        <v>405</v>
      </c>
      <c r="Q54" s="2185"/>
      <c r="R54" s="2185">
        <v>1</v>
      </c>
      <c r="S54" s="453"/>
      <c r="T54" s="292"/>
      <c r="U54" s="1261" t="str">
        <f>$J54</f>
        <v>....1.1</v>
      </c>
      <c r="V54" s="222" t="s">
        <v>406</v>
      </c>
      <c r="W54" s="236"/>
      <c r="X54" s="2175"/>
      <c r="Y54" s="2176"/>
      <c r="Z54" s="2176"/>
      <c r="AA54" s="2176"/>
      <c r="AB54" s="2176"/>
      <c r="AC54" s="2168"/>
      <c r="AD54" s="2168"/>
      <c r="AE54" s="2168"/>
      <c r="AF54" s="2225"/>
      <c r="AG54" s="2175"/>
      <c r="AH54" s="2176"/>
      <c r="AI54" s="2176"/>
      <c r="AJ54" s="2176"/>
      <c r="AK54" s="2176"/>
      <c r="AL54" s="2176"/>
      <c r="AM54" s="2176"/>
      <c r="AN54" s="2176"/>
      <c r="AO54" s="2176"/>
      <c r="AP54" s="2177"/>
      <c r="AQ54" s="1183" t="s">
        <v>407</v>
      </c>
      <c r="AS54" s="435"/>
      <c r="AT54" s="435" t="str">
        <f t="shared" si="2"/>
        <v>Группа потребителей</v>
      </c>
      <c r="AU54" s="435"/>
      <c r="AV54" s="435"/>
      <c r="AW54" s="1080">
        <v>21</v>
      </c>
    </row>
    <row r="55" spans="1:49" ht="21.95" customHeight="1">
      <c r="A55" s="1192" t="s">
        <v>175</v>
      </c>
      <c r="B55" s="1192" t="s">
        <v>176</v>
      </c>
      <c r="C55" s="1192" t="s">
        <v>177</v>
      </c>
      <c r="D55" s="1192" t="s">
        <v>178</v>
      </c>
      <c r="E55" s="2211"/>
      <c r="F55" s="2211"/>
      <c r="G55" s="2211"/>
      <c r="H55" s="2211"/>
      <c r="I55" s="2038"/>
      <c r="J55" s="2038"/>
      <c r="K55" s="2066" t="str">
        <f>J54&amp;".1"</f>
        <v>....1.1.1</v>
      </c>
      <c r="L55" s="76"/>
      <c r="M55" s="1235" t="s">
        <v>408</v>
      </c>
      <c r="Q55" s="2185"/>
      <c r="R55" s="2185"/>
      <c r="S55" s="453">
        <v>1</v>
      </c>
      <c r="T55" s="292"/>
      <c r="U55" s="1261" t="str">
        <f>$K55</f>
        <v>....1.1.1</v>
      </c>
      <c r="V55" s="1272"/>
      <c r="W55" s="236"/>
      <c r="X55" s="686"/>
      <c r="Y55" s="686"/>
      <c r="Z55" s="686"/>
      <c r="AA55" s="686"/>
      <c r="AB55" s="1330"/>
      <c r="AC55" s="2189"/>
      <c r="AD55" s="2047" t="s">
        <v>66</v>
      </c>
      <c r="AE55" s="2189"/>
      <c r="AF55" s="2047" t="s">
        <v>66</v>
      </c>
      <c r="AG55" s="1332"/>
      <c r="AH55" s="686"/>
      <c r="AI55" s="686"/>
      <c r="AJ55" s="686"/>
      <c r="AK55" s="1182"/>
      <c r="AL55" s="2189"/>
      <c r="AM55" s="2047" t="s">
        <v>66</v>
      </c>
      <c r="AN55" s="2189"/>
      <c r="AO55" s="2047" t="s">
        <v>66</v>
      </c>
      <c r="AP55" s="1273"/>
      <c r="AQ55" s="1232" t="s">
        <v>451</v>
      </c>
      <c r="AR55" s="446" t="e">
        <f ca="1">STRCHECKDATE(X57:AP57)</f>
        <v>#NAME?</v>
      </c>
      <c r="AS55" s="435"/>
      <c r="AT55" s="435" t="str">
        <f t="shared" si="2"/>
        <v/>
      </c>
      <c r="AU55" s="435"/>
      <c r="AV55" s="435"/>
      <c r="AW55" s="1080">
        <v>21</v>
      </c>
    </row>
    <row r="56" spans="1:49" ht="11.45" customHeight="1">
      <c r="A56" s="1192" t="s">
        <v>175</v>
      </c>
      <c r="B56" s="1192" t="s">
        <v>176</v>
      </c>
      <c r="C56" s="1192" t="s">
        <v>177</v>
      </c>
      <c r="D56" s="1192" t="s">
        <v>178</v>
      </c>
      <c r="E56" s="2211"/>
      <c r="F56" s="2211"/>
      <c r="G56" s="2211"/>
      <c r="H56" s="2211"/>
      <c r="I56" s="2038"/>
      <c r="J56" s="2038"/>
      <c r="K56" s="2038"/>
      <c r="L56" s="2066" t="str">
        <f>K55&amp;".1"</f>
        <v>....1.1.1.1</v>
      </c>
      <c r="M56" s="1235"/>
      <c r="Q56" s="2185"/>
      <c r="R56" s="2185"/>
      <c r="S56" s="453">
        <v>1</v>
      </c>
      <c r="T56" s="292"/>
      <c r="U56" s="1261" t="str">
        <f>$L56</f>
        <v>....1.1.1.1</v>
      </c>
      <c r="V56" s="1316"/>
      <c r="W56" s="236"/>
      <c r="X56" s="261"/>
      <c r="Y56" s="686"/>
      <c r="Z56" s="686"/>
      <c r="AA56" s="686"/>
      <c r="AB56" s="1330"/>
      <c r="AC56" s="2190"/>
      <c r="AD56" s="2047"/>
      <c r="AE56" s="2190"/>
      <c r="AF56" s="2047"/>
      <c r="AG56" s="1332"/>
      <c r="AH56" s="686"/>
      <c r="AI56" s="686"/>
      <c r="AJ56" s="686"/>
      <c r="AK56" s="1182"/>
      <c r="AL56" s="2190"/>
      <c r="AM56" s="2047"/>
      <c r="AN56" s="2190"/>
      <c r="AO56" s="2047"/>
      <c r="AP56" s="1273"/>
      <c r="AQ56" s="2181" t="s">
        <v>452</v>
      </c>
      <c r="AR56" s="446" t="e">
        <f ca="1">STRCHECKDATE(X58:AP58)</f>
        <v>#NAME?</v>
      </c>
      <c r="AS56" s="435"/>
      <c r="AT56" s="435" t="str">
        <f t="shared" si="2"/>
        <v/>
      </c>
      <c r="AU56" s="435"/>
      <c r="AV56" s="435"/>
      <c r="AW56" s="1080">
        <v>11</v>
      </c>
    </row>
    <row r="57" spans="1:49" ht="0" hidden="1" customHeight="1">
      <c r="A57" s="1192" t="s">
        <v>175</v>
      </c>
      <c r="B57" s="1192" t="s">
        <v>176</v>
      </c>
      <c r="C57" s="1192" t="s">
        <v>177</v>
      </c>
      <c r="D57" s="1192" t="s">
        <v>178</v>
      </c>
      <c r="E57" s="2211"/>
      <c r="F57" s="2211"/>
      <c r="G57" s="2211"/>
      <c r="H57" s="2211"/>
      <c r="I57" s="2038"/>
      <c r="J57" s="2038"/>
      <c r="K57" s="2038"/>
      <c r="L57" s="2066"/>
      <c r="M57" s="1235"/>
      <c r="Q57" s="2185"/>
      <c r="R57" s="2185"/>
      <c r="S57" s="453"/>
      <c r="T57" s="292"/>
      <c r="U57" s="1267"/>
      <c r="V57" s="236"/>
      <c r="W57" s="236"/>
      <c r="X57" s="261"/>
      <c r="Y57" s="261"/>
      <c r="Z57" s="261"/>
      <c r="AA57" s="261"/>
      <c r="AB57" s="1331" t="str">
        <f>AC55&amp;"-"&amp;AE55</f>
        <v>-</v>
      </c>
      <c r="AC57" s="2190"/>
      <c r="AD57" s="2047"/>
      <c r="AE57" s="2190"/>
      <c r="AF57" s="2047"/>
      <c r="AG57" s="1307"/>
      <c r="AH57" s="261"/>
      <c r="AI57" s="261"/>
      <c r="AJ57" s="261"/>
      <c r="AK57" s="264" t="str">
        <f>AL55&amp;"-"&amp;AN55</f>
        <v>-</v>
      </c>
      <c r="AL57" s="2190"/>
      <c r="AM57" s="2047"/>
      <c r="AN57" s="2190"/>
      <c r="AO57" s="2047"/>
      <c r="AP57" s="1274"/>
      <c r="AQ57" s="2182"/>
      <c r="AS57" s="435"/>
      <c r="AT57" s="435" t="str">
        <f t="shared" si="2"/>
        <v/>
      </c>
      <c r="AU57" s="435"/>
      <c r="AV57" s="435"/>
      <c r="AW57" s="1080">
        <v>0</v>
      </c>
    </row>
    <row r="58" spans="1:49" ht="11.45" customHeight="1">
      <c r="A58" s="1192" t="s">
        <v>175</v>
      </c>
      <c r="B58" s="1192" t="s">
        <v>176</v>
      </c>
      <c r="C58" s="1192" t="s">
        <v>177</v>
      </c>
      <c r="D58" s="1192" t="s">
        <v>178</v>
      </c>
      <c r="E58" s="2211"/>
      <c r="F58" s="2211"/>
      <c r="G58" s="2211"/>
      <c r="H58" s="2211"/>
      <c r="I58" s="2038"/>
      <c r="J58" s="2038"/>
      <c r="K58" s="2066"/>
      <c r="L58" s="1192"/>
      <c r="M58" s="1235"/>
      <c r="Q58" s="2185"/>
      <c r="R58" s="2185"/>
      <c r="S58" s="1256"/>
      <c r="T58" s="291"/>
      <c r="U58" s="1203"/>
      <c r="V58" s="224" t="s">
        <v>453</v>
      </c>
      <c r="W58" s="302"/>
      <c r="X58" s="302"/>
      <c r="Y58" s="302"/>
      <c r="Z58" s="302"/>
      <c r="AA58" s="302"/>
      <c r="AB58" s="302"/>
      <c r="AC58" s="2190"/>
      <c r="AD58" s="2047"/>
      <c r="AE58" s="2190"/>
      <c r="AF58" s="2047"/>
      <c r="AG58" s="302"/>
      <c r="AH58" s="302"/>
      <c r="AI58" s="302"/>
      <c r="AJ58" s="302"/>
      <c r="AK58" s="302"/>
      <c r="AL58" s="2190"/>
      <c r="AM58" s="2047"/>
      <c r="AN58" s="2190"/>
      <c r="AO58" s="2047"/>
      <c r="AP58" s="260"/>
      <c r="AQ58" s="2182"/>
      <c r="AS58" s="435"/>
      <c r="AT58" s="435" t="str">
        <f t="shared" si="2"/>
        <v>Добавить наименование поставщика</v>
      </c>
      <c r="AU58" s="435"/>
      <c r="AV58" s="435"/>
      <c r="AW58" s="1080">
        <v>11</v>
      </c>
    </row>
    <row r="59" spans="1:49" ht="11.45" customHeight="1">
      <c r="A59" s="1192" t="s">
        <v>175</v>
      </c>
      <c r="B59" s="1192" t="s">
        <v>176</v>
      </c>
      <c r="C59" s="1192" t="s">
        <v>177</v>
      </c>
      <c r="D59" s="1192" t="s">
        <v>178</v>
      </c>
      <c r="E59" s="2211"/>
      <c r="F59" s="2211"/>
      <c r="G59" s="2211"/>
      <c r="H59" s="2211"/>
      <c r="I59" s="2038"/>
      <c r="J59" s="2066"/>
      <c r="K59" s="1192"/>
      <c r="L59" s="1192"/>
      <c r="M59" s="1235"/>
      <c r="Q59" s="2185"/>
      <c r="R59" s="2185"/>
      <c r="S59" s="1256"/>
      <c r="T59" s="291"/>
      <c r="U59" s="1203"/>
      <c r="V59" s="223" t="s">
        <v>410</v>
      </c>
      <c r="W59" s="302"/>
      <c r="X59" s="302"/>
      <c r="Y59" s="302"/>
      <c r="Z59" s="302"/>
      <c r="AA59" s="302"/>
      <c r="AB59" s="302"/>
      <c r="AC59" s="1333"/>
      <c r="AD59" s="1333"/>
      <c r="AE59" s="1333"/>
      <c r="AF59" s="1333"/>
      <c r="AG59" s="302"/>
      <c r="AH59" s="302"/>
      <c r="AI59" s="302"/>
      <c r="AJ59" s="302"/>
      <c r="AK59" s="302"/>
      <c r="AL59" s="302"/>
      <c r="AM59" s="302"/>
      <c r="AN59" s="302"/>
      <c r="AO59" s="302"/>
      <c r="AP59" s="260"/>
      <c r="AQ59" s="2183"/>
      <c r="AS59" s="435"/>
      <c r="AT59" s="435" t="str">
        <f t="shared" si="2"/>
        <v>Добавить вид теплоносителя (параметры теплоносителя)</v>
      </c>
      <c r="AU59" s="435"/>
      <c r="AV59" s="435"/>
      <c r="AW59" s="1080">
        <v>11</v>
      </c>
    </row>
    <row r="60" spans="1:49" ht="11.45" customHeight="1">
      <c r="A60" s="1192" t="s">
        <v>175</v>
      </c>
      <c r="B60" s="1192" t="s">
        <v>176</v>
      </c>
      <c r="C60" s="1192" t="s">
        <v>177</v>
      </c>
      <c r="D60" s="1192" t="s">
        <v>178</v>
      </c>
      <c r="E60" s="2211"/>
      <c r="F60" s="2211"/>
      <c r="G60" s="2211"/>
      <c r="H60" s="2211"/>
      <c r="I60" s="2066"/>
      <c r="J60" s="1192"/>
      <c r="K60" s="1192"/>
      <c r="L60" s="1192"/>
      <c r="M60" s="1235"/>
      <c r="Q60" s="2185"/>
      <c r="R60" s="1256"/>
      <c r="S60" s="1256"/>
      <c r="T60" s="291"/>
      <c r="U60" s="1203"/>
      <c r="V60" s="300" t="s">
        <v>411</v>
      </c>
      <c r="W60" s="302"/>
      <c r="X60" s="302"/>
      <c r="Y60" s="302"/>
      <c r="Z60" s="302"/>
      <c r="AA60" s="302"/>
      <c r="AB60" s="302"/>
      <c r="AC60" s="302"/>
      <c r="AD60" s="302"/>
      <c r="AE60" s="302"/>
      <c r="AF60" s="301"/>
      <c r="AG60" s="302"/>
      <c r="AH60" s="302"/>
      <c r="AI60" s="302"/>
      <c r="AJ60" s="302"/>
      <c r="AK60" s="302"/>
      <c r="AL60" s="302"/>
      <c r="AM60" s="302"/>
      <c r="AN60" s="302"/>
      <c r="AO60" s="301"/>
      <c r="AP60" s="302"/>
      <c r="AQ60" s="239"/>
      <c r="AS60" s="435"/>
      <c r="AT60" s="435" t="str">
        <f t="shared" si="2"/>
        <v>Добавить группу потребителей</v>
      </c>
      <c r="AU60" s="435"/>
      <c r="AV60" s="435"/>
      <c r="AW60" s="1080">
        <v>11</v>
      </c>
    </row>
    <row r="61" spans="1:49" ht="0" hidden="1" customHeight="1">
      <c r="A61" s="1192" t="s">
        <v>175</v>
      </c>
      <c r="B61" s="1192" t="s">
        <v>176</v>
      </c>
      <c r="C61" s="1192" t="s">
        <v>177</v>
      </c>
      <c r="D61" s="1192" t="s">
        <v>178</v>
      </c>
      <c r="E61" s="2211"/>
      <c r="F61" s="2211"/>
      <c r="G61" s="2211"/>
      <c r="H61" s="2210"/>
      <c r="I61" s="1192"/>
      <c r="J61" s="1192"/>
      <c r="K61" s="1192"/>
      <c r="L61" s="1192"/>
      <c r="M61" s="1235"/>
      <c r="N61" s="623"/>
      <c r="O61" s="623"/>
      <c r="P61" s="444"/>
      <c r="Q61" s="295"/>
      <c r="R61" s="310"/>
      <c r="S61" s="290"/>
      <c r="T61" s="295"/>
      <c r="U61" s="1311"/>
      <c r="V61" s="1312"/>
      <c r="W61" s="1313"/>
      <c r="X61" s="1313"/>
      <c r="Y61" s="1313"/>
      <c r="Z61" s="1313"/>
      <c r="AA61" s="1313"/>
      <c r="AB61" s="1313"/>
      <c r="AC61" s="1313"/>
      <c r="AD61" s="1313"/>
      <c r="AE61" s="1313"/>
      <c r="AF61" s="1313"/>
      <c r="AG61" s="1313"/>
      <c r="AH61" s="1313"/>
      <c r="AI61" s="1313"/>
      <c r="AJ61" s="1313"/>
      <c r="AK61" s="1313"/>
      <c r="AL61" s="1313"/>
      <c r="AM61" s="1313"/>
      <c r="AN61" s="1313"/>
      <c r="AO61" s="1313"/>
      <c r="AP61" s="1313"/>
      <c r="AQ61" s="1314"/>
      <c r="AS61" s="435"/>
      <c r="AT61" s="435" t="str">
        <f t="shared" si="2"/>
        <v/>
      </c>
      <c r="AU61" s="435"/>
      <c r="AV61" s="435"/>
      <c r="AW61" s="1080">
        <v>0</v>
      </c>
    </row>
    <row r="62" spans="1:49" s="1567" customFormat="1" ht="0" hidden="1" customHeight="1">
      <c r="A62" s="1300" t="s">
        <v>175</v>
      </c>
      <c r="B62" s="1300" t="s">
        <v>176</v>
      </c>
      <c r="C62" s="1300" t="s">
        <v>177</v>
      </c>
      <c r="D62" s="1299"/>
      <c r="E62" s="2211"/>
      <c r="F62" s="2211"/>
      <c r="G62" s="2210"/>
      <c r="H62" s="1299"/>
      <c r="I62" s="1299"/>
      <c r="J62" s="1299"/>
      <c r="K62" s="1299"/>
      <c r="L62" s="1299"/>
      <c r="M62" s="1302"/>
      <c r="N62" s="1303"/>
      <c r="O62" s="1303"/>
      <c r="P62" s="286"/>
      <c r="Q62" s="1241"/>
      <c r="R62" s="1242"/>
      <c r="S62" s="1241"/>
      <c r="T62" s="1241"/>
      <c r="U62" s="1247"/>
      <c r="V62" s="1250" t="s">
        <v>413</v>
      </c>
      <c r="W62" s="1249"/>
      <c r="X62" s="1249"/>
      <c r="Y62" s="1249"/>
      <c r="Z62" s="1249"/>
      <c r="AA62" s="1249"/>
      <c r="AB62" s="1249"/>
      <c r="AC62" s="1249"/>
      <c r="AD62" s="1249"/>
      <c r="AE62" s="1249"/>
      <c r="AF62" s="1249"/>
      <c r="AG62" s="1249"/>
      <c r="AH62" s="1249"/>
      <c r="AI62" s="1249"/>
      <c r="AJ62" s="1249"/>
      <c r="AK62" s="1249"/>
      <c r="AL62" s="1249"/>
      <c r="AM62" s="1249"/>
      <c r="AN62" s="1249"/>
      <c r="AO62" s="1249"/>
      <c r="AP62" s="1249"/>
      <c r="AQ62" s="1249"/>
      <c r="AS62" s="718"/>
      <c r="AT62" s="718" t="str">
        <f t="shared" si="2"/>
        <v>Добавить источник для дифференциации</v>
      </c>
      <c r="AU62" s="718"/>
      <c r="AV62" s="718"/>
      <c r="AW62" s="453">
        <v>0</v>
      </c>
    </row>
    <row r="63" spans="1:49" s="1567" customFormat="1" ht="0" hidden="1" customHeight="1">
      <c r="A63" s="1300" t="s">
        <v>175</v>
      </c>
      <c r="B63" s="1300" t="s">
        <v>176</v>
      </c>
      <c r="C63" s="1299"/>
      <c r="D63" s="1299"/>
      <c r="E63" s="2211"/>
      <c r="F63" s="2210"/>
      <c r="G63" s="1299"/>
      <c r="H63" s="1299"/>
      <c r="I63" s="1299"/>
      <c r="J63" s="1299"/>
      <c r="K63" s="1299"/>
      <c r="L63" s="1299"/>
      <c r="M63" s="1302"/>
      <c r="N63" s="1304"/>
      <c r="O63" s="1304"/>
      <c r="P63" s="286"/>
      <c r="Q63" s="1241"/>
      <c r="R63" s="1242"/>
      <c r="S63" s="1241"/>
      <c r="T63" s="1241"/>
      <c r="U63" s="1247"/>
      <c r="V63" s="1250" t="s">
        <v>414</v>
      </c>
      <c r="W63" s="1249"/>
      <c r="X63" s="1249"/>
      <c r="Y63" s="1249"/>
      <c r="Z63" s="1249"/>
      <c r="AA63" s="1249"/>
      <c r="AB63" s="1249"/>
      <c r="AC63" s="1249"/>
      <c r="AD63" s="1249"/>
      <c r="AE63" s="1249"/>
      <c r="AF63" s="1249"/>
      <c r="AG63" s="1249"/>
      <c r="AH63" s="1249"/>
      <c r="AI63" s="1249"/>
      <c r="AJ63" s="1249"/>
      <c r="AK63" s="1249"/>
      <c r="AL63" s="1249"/>
      <c r="AM63" s="1249"/>
      <c r="AN63" s="1249"/>
      <c r="AO63" s="1249"/>
      <c r="AP63" s="1249"/>
      <c r="AQ63" s="1249"/>
      <c r="AS63" s="718"/>
      <c r="AT63" s="718" t="str">
        <f t="shared" si="2"/>
        <v>Добавить централизованную систему для дифференциации</v>
      </c>
      <c r="AU63" s="718"/>
      <c r="AV63" s="718"/>
      <c r="AW63" s="453">
        <v>0</v>
      </c>
    </row>
    <row r="64" spans="1:49" s="1567" customFormat="1" ht="0" hidden="1" customHeight="1">
      <c r="A64" s="1300" t="s">
        <v>175</v>
      </c>
      <c r="B64" s="1300"/>
      <c r="C64" s="1300"/>
      <c r="D64" s="1300"/>
      <c r="E64" s="2210"/>
      <c r="F64" s="1300"/>
      <c r="G64" s="1300"/>
      <c r="H64" s="1300"/>
      <c r="I64" s="1300"/>
      <c r="J64" s="1300"/>
      <c r="K64" s="1300"/>
      <c r="L64" s="1300"/>
      <c r="M64" s="1306"/>
      <c r="N64" s="1304"/>
      <c r="O64" s="1304"/>
      <c r="P64" s="286"/>
      <c r="Q64" s="315"/>
      <c r="R64" s="1269"/>
      <c r="S64" s="315"/>
      <c r="T64" s="315"/>
      <c r="U64" s="1247"/>
      <c r="V64" s="1250" t="s">
        <v>415</v>
      </c>
      <c r="W64" s="1249"/>
      <c r="X64" s="1249"/>
      <c r="Y64" s="1249"/>
      <c r="Z64" s="1249"/>
      <c r="AA64" s="1249"/>
      <c r="AB64" s="1249"/>
      <c r="AC64" s="1249"/>
      <c r="AD64" s="1249"/>
      <c r="AE64" s="1249"/>
      <c r="AF64" s="1249"/>
      <c r="AG64" s="1249"/>
      <c r="AH64" s="1249"/>
      <c r="AI64" s="1249"/>
      <c r="AJ64" s="1249"/>
      <c r="AK64" s="1249"/>
      <c r="AL64" s="1249"/>
      <c r="AM64" s="1249"/>
      <c r="AN64" s="1249"/>
      <c r="AO64" s="1249"/>
      <c r="AP64" s="1249"/>
      <c r="AQ64" s="1249"/>
      <c r="AS64" s="435"/>
      <c r="AT64" s="435" t="str">
        <f t="shared" si="2"/>
        <v>Добавить территорию для дифференциации</v>
      </c>
      <c r="AU64" s="435"/>
      <c r="AV64" s="435"/>
      <c r="AW64" s="446">
        <v>0</v>
      </c>
    </row>
    <row r="65" spans="1:49" s="1567" customFormat="1" ht="4.1500000000000004" customHeight="1">
      <c r="A65" s="1299"/>
      <c r="B65" s="1299"/>
      <c r="C65" s="1299"/>
      <c r="D65" s="1299"/>
      <c r="E65" s="1300"/>
      <c r="F65" s="1299"/>
      <c r="G65" s="1299"/>
      <c r="H65" s="1299"/>
      <c r="I65" s="1299"/>
      <c r="J65" s="1299"/>
      <c r="K65" s="1299"/>
      <c r="L65" s="1299"/>
      <c r="M65" s="1302"/>
      <c r="N65" s="1304"/>
      <c r="O65" s="1304"/>
      <c r="P65" s="286"/>
      <c r="Q65" s="1241"/>
      <c r="R65" s="1242"/>
      <c r="S65" s="1241"/>
      <c r="T65" s="1241"/>
      <c r="U65" s="1247"/>
      <c r="V65" s="1250" t="s">
        <v>447</v>
      </c>
      <c r="W65" s="1249"/>
      <c r="X65" s="1249"/>
      <c r="Y65" s="1249"/>
      <c r="Z65" s="1249"/>
      <c r="AA65" s="1249"/>
      <c r="AB65" s="1249"/>
      <c r="AC65" s="1249"/>
      <c r="AD65" s="1249"/>
      <c r="AE65" s="1249"/>
      <c r="AF65" s="1249"/>
      <c r="AG65" s="1249"/>
      <c r="AH65" s="1249"/>
      <c r="AI65" s="1249"/>
      <c r="AJ65" s="1249"/>
      <c r="AK65" s="1249"/>
      <c r="AL65" s="1249"/>
      <c r="AM65" s="1249"/>
      <c r="AN65" s="1249"/>
      <c r="AO65" s="1249"/>
      <c r="AP65" s="1249"/>
      <c r="AQ65" s="1249"/>
      <c r="AS65" s="718"/>
      <c r="AT65" s="718" t="str">
        <f t="shared" si="2"/>
        <v>Добавить наименование тарифа</v>
      </c>
      <c r="AU65" s="718"/>
      <c r="AV65" s="718"/>
      <c r="AW65" s="453">
        <v>4</v>
      </c>
    </row>
    <row r="66" spans="1:49" ht="11.45" customHeight="1">
      <c r="N66" s="1080"/>
      <c r="O66" s="1080"/>
      <c r="P66" s="444"/>
      <c r="Q66" s="1080"/>
      <c r="R66" s="1080"/>
      <c r="S66" s="1080"/>
      <c r="T66" s="1080"/>
      <c r="U66" s="1080"/>
      <c r="AR66" s="1080"/>
      <c r="AS66" s="1080"/>
      <c r="AT66" s="1080"/>
      <c r="AU66" s="1080"/>
      <c r="AV66" s="1080"/>
      <c r="AW66" s="1080">
        <v>11</v>
      </c>
    </row>
    <row r="67" spans="1:49" ht="35.65" customHeight="1">
      <c r="P67" s="444"/>
      <c r="U67" s="1178"/>
      <c r="V67" s="2206"/>
      <c r="W67" s="2206"/>
      <c r="X67" s="2206"/>
      <c r="Y67" s="2206"/>
      <c r="Z67" s="2206"/>
      <c r="AA67" s="2206"/>
      <c r="AB67" s="2206"/>
      <c r="AC67" s="2206"/>
      <c r="AD67" s="2206"/>
      <c r="AE67" s="2206"/>
      <c r="AF67" s="2206"/>
      <c r="AG67" s="2206"/>
      <c r="AH67" s="2206"/>
      <c r="AI67" s="2206"/>
      <c r="AJ67" s="2206"/>
      <c r="AK67" s="2206"/>
      <c r="AL67" s="2206"/>
      <c r="AM67" s="2206"/>
      <c r="AN67" s="2206"/>
      <c r="AO67" s="2206"/>
      <c r="AP67" s="2206"/>
      <c r="AQ67" s="2206"/>
      <c r="AW67" s="1080">
        <v>34</v>
      </c>
    </row>
    <row r="68" spans="1:49" ht="21" customHeight="1">
      <c r="P68" s="444"/>
      <c r="V68" s="2206"/>
      <c r="W68" s="2206"/>
      <c r="X68" s="2206"/>
      <c r="Y68" s="2206"/>
      <c r="Z68" s="2206"/>
      <c r="AA68" s="2206"/>
      <c r="AB68" s="2206"/>
      <c r="AC68" s="2206"/>
      <c r="AD68" s="2206"/>
      <c r="AE68" s="2206"/>
      <c r="AF68" s="2206"/>
      <c r="AG68" s="2206"/>
      <c r="AH68" s="2206"/>
      <c r="AI68" s="2206"/>
      <c r="AJ68" s="2206"/>
      <c r="AK68" s="2206"/>
      <c r="AL68" s="2206"/>
      <c r="AM68" s="2206"/>
      <c r="AN68" s="2206"/>
      <c r="AO68" s="2206"/>
      <c r="AP68" s="2206"/>
      <c r="AQ68" s="2206"/>
      <c r="AW68" s="1080">
        <v>20</v>
      </c>
    </row>
    <row r="69" spans="1:49" ht="14.65" customHeight="1">
      <c r="P69" s="444"/>
      <c r="AW69" s="1080">
        <v>14</v>
      </c>
    </row>
    <row r="70" spans="1:49" ht="28.5" customHeight="1">
      <c r="P70" s="444"/>
      <c r="V70" s="2206"/>
      <c r="W70" s="2206"/>
      <c r="X70" s="2206"/>
      <c r="Y70" s="2206"/>
      <c r="Z70" s="2206"/>
      <c r="AA70" s="2206"/>
      <c r="AB70" s="2206"/>
      <c r="AC70" s="2206"/>
      <c r="AD70" s="2206"/>
      <c r="AE70" s="2206"/>
      <c r="AF70" s="2206"/>
      <c r="AG70" s="2206"/>
      <c r="AH70" s="2206"/>
      <c r="AI70" s="2206"/>
      <c r="AJ70" s="2206"/>
      <c r="AK70" s="2206"/>
      <c r="AL70" s="2206"/>
      <c r="AM70" s="2206"/>
      <c r="AN70" s="2206"/>
      <c r="AO70" s="2206"/>
      <c r="AP70" s="2206"/>
      <c r="AQ70" s="2206"/>
      <c r="AW70" s="1080">
        <v>27</v>
      </c>
    </row>
    <row r="71" spans="1:49" ht="18.75" customHeight="1">
      <c r="P71" s="444"/>
      <c r="V71" s="2206"/>
      <c r="W71" s="2206"/>
      <c r="X71" s="2206"/>
      <c r="Y71" s="2206"/>
      <c r="Z71" s="2206"/>
      <c r="AA71" s="2206"/>
      <c r="AB71" s="2206"/>
      <c r="AC71" s="2206"/>
      <c r="AD71" s="2206"/>
      <c r="AE71" s="2206"/>
      <c r="AF71" s="2206"/>
      <c r="AG71" s="2206"/>
      <c r="AH71" s="2206"/>
      <c r="AI71" s="2206"/>
      <c r="AJ71" s="2206"/>
      <c r="AK71" s="2206"/>
      <c r="AL71" s="2206"/>
      <c r="AM71" s="2206"/>
      <c r="AN71" s="2206"/>
      <c r="AO71" s="2206"/>
      <c r="AP71" s="2206"/>
      <c r="AQ71" s="2206"/>
      <c r="AW71" s="1080">
        <v>18</v>
      </c>
    </row>
    <row r="72" spans="1:49" ht="22.5" hidden="1" customHeight="1">
      <c r="A72" s="1080" t="s">
        <v>82</v>
      </c>
      <c r="B72" s="1080">
        <v>0</v>
      </c>
      <c r="C72" s="1080">
        <v>0</v>
      </c>
      <c r="D72" s="1080">
        <v>0</v>
      </c>
      <c r="E72" s="1080">
        <v>0</v>
      </c>
      <c r="F72" s="1080">
        <v>0</v>
      </c>
      <c r="G72" s="1080">
        <v>0</v>
      </c>
      <c r="H72" s="1080">
        <v>0</v>
      </c>
      <c r="I72" s="1080">
        <v>0</v>
      </c>
      <c r="J72" s="1080">
        <v>0</v>
      </c>
      <c r="K72" s="1080">
        <v>0</v>
      </c>
      <c r="L72" s="1080">
        <v>0</v>
      </c>
      <c r="M72" s="1252">
        <v>0</v>
      </c>
      <c r="N72" s="1253">
        <v>0</v>
      </c>
      <c r="O72" s="1253">
        <v>0</v>
      </c>
      <c r="P72" s="1253">
        <v>0</v>
      </c>
      <c r="Q72" s="1253">
        <v>0</v>
      </c>
      <c r="R72" s="280">
        <v>3</v>
      </c>
      <c r="S72" s="280">
        <v>3</v>
      </c>
      <c r="T72" s="280">
        <v>3</v>
      </c>
      <c r="U72" s="516">
        <v>12</v>
      </c>
      <c r="V72" s="1080">
        <v>31</v>
      </c>
      <c r="W72" s="1080">
        <v>0</v>
      </c>
      <c r="X72" s="1080">
        <v>0</v>
      </c>
      <c r="Y72" s="1080">
        <v>0</v>
      </c>
      <c r="Z72" s="1080">
        <v>0</v>
      </c>
      <c r="AA72" s="1080">
        <v>0</v>
      </c>
      <c r="AB72" s="1080">
        <v>0</v>
      </c>
      <c r="AC72" s="1080">
        <v>0</v>
      </c>
      <c r="AD72" s="1080">
        <v>0</v>
      </c>
      <c r="AE72" s="1080">
        <v>0</v>
      </c>
      <c r="AF72" s="1080">
        <v>0</v>
      </c>
      <c r="AG72" s="1080">
        <v>21</v>
      </c>
      <c r="AH72" s="1080">
        <v>21</v>
      </c>
      <c r="AI72" s="1080">
        <v>21</v>
      </c>
      <c r="AJ72" s="1080">
        <v>21</v>
      </c>
      <c r="AK72" s="1080">
        <v>21</v>
      </c>
      <c r="AL72" s="1080">
        <v>11</v>
      </c>
      <c r="AM72" s="1080">
        <v>3</v>
      </c>
      <c r="AN72" s="1080">
        <v>11</v>
      </c>
      <c r="AO72" s="1080">
        <v>8</v>
      </c>
      <c r="AP72" s="1080">
        <v>4</v>
      </c>
      <c r="AQ72" s="1080">
        <v>115</v>
      </c>
      <c r="AR72" s="446">
        <v>10</v>
      </c>
      <c r="AS72" s="446">
        <v>10</v>
      </c>
      <c r="AT72" s="446">
        <v>10</v>
      </c>
      <c r="AU72" s="446">
        <v>10</v>
      </c>
      <c r="AV72" s="446">
        <v>10</v>
      </c>
      <c r="AW72" s="1080">
        <v>23</v>
      </c>
    </row>
  </sheetData>
  <sheetProtection formatColumns="0" formatRows="0" insertRows="0" deleteColumns="0" deleteRows="0" sort="0" autoFilter="0"/>
  <mergeCells count="122">
    <mergeCell ref="V71:AQ71"/>
    <mergeCell ref="U39:V39"/>
    <mergeCell ref="X39:AE39"/>
    <mergeCell ref="AG39:AN39"/>
    <mergeCell ref="U38:V38"/>
    <mergeCell ref="X38:AE38"/>
    <mergeCell ref="AG38:AN38"/>
    <mergeCell ref="AL55:AL58"/>
    <mergeCell ref="AM55:AM58"/>
    <mergeCell ref="AN55:AN58"/>
    <mergeCell ref="AO55:AO58"/>
    <mergeCell ref="V70:AQ70"/>
    <mergeCell ref="AQ42:AQ47"/>
    <mergeCell ref="AQ56:AQ59"/>
    <mergeCell ref="V67:AQ67"/>
    <mergeCell ref="V68:AQ68"/>
    <mergeCell ref="Y44:AB44"/>
    <mergeCell ref="Y45:Y47"/>
    <mergeCell ref="Z45:AB45"/>
    <mergeCell ref="AA46:AB46"/>
    <mergeCell ref="Z46:Z47"/>
    <mergeCell ref="AC46:AC47"/>
    <mergeCell ref="AD46:AE47"/>
    <mergeCell ref="AC44:AE45"/>
    <mergeCell ref="AH44:AK44"/>
    <mergeCell ref="AL44:AN45"/>
    <mergeCell ref="AH45:AH47"/>
    <mergeCell ref="X53:AF53"/>
    <mergeCell ref="AG53:AP53"/>
    <mergeCell ref="AI45:AK45"/>
    <mergeCell ref="AI46:AI47"/>
    <mergeCell ref="AJ46:AK46"/>
    <mergeCell ref="AL46:AL47"/>
    <mergeCell ref="AM46:AN47"/>
    <mergeCell ref="AP43:AP47"/>
    <mergeCell ref="X44:X47"/>
    <mergeCell ref="AG44:AG47"/>
    <mergeCell ref="AC55:AC58"/>
    <mergeCell ref="AE55:AE58"/>
    <mergeCell ref="AD55:AD58"/>
    <mergeCell ref="E49:E64"/>
    <mergeCell ref="X49:AF49"/>
    <mergeCell ref="AG49:AP49"/>
    <mergeCell ref="F50:F63"/>
    <mergeCell ref="X50:AF50"/>
    <mergeCell ref="AG50:AP50"/>
    <mergeCell ref="G51:G62"/>
    <mergeCell ref="X51:AF51"/>
    <mergeCell ref="AG51:AP51"/>
    <mergeCell ref="H52:H61"/>
    <mergeCell ref="X52:AF52"/>
    <mergeCell ref="AG52:AP52"/>
    <mergeCell ref="I53:I60"/>
    <mergeCell ref="Q53:Q60"/>
    <mergeCell ref="L56:L57"/>
    <mergeCell ref="AF55:AF58"/>
    <mergeCell ref="U36:V36"/>
    <mergeCell ref="X36:AE36"/>
    <mergeCell ref="AG36:AN36"/>
    <mergeCell ref="X33:AE33"/>
    <mergeCell ref="AG33:AN33"/>
    <mergeCell ref="U34:V34"/>
    <mergeCell ref="X34:AE34"/>
    <mergeCell ref="AG34:AN34"/>
    <mergeCell ref="J54:J59"/>
    <mergeCell ref="R54:R59"/>
    <mergeCell ref="X54:AF54"/>
    <mergeCell ref="AG54:AP54"/>
    <mergeCell ref="K55:K58"/>
    <mergeCell ref="AD48:AE48"/>
    <mergeCell ref="AM48:AN48"/>
    <mergeCell ref="X41:AF41"/>
    <mergeCell ref="AG41:AO41"/>
    <mergeCell ref="U42:AP42"/>
    <mergeCell ref="U43:U47"/>
    <mergeCell ref="V43:V47"/>
    <mergeCell ref="X43:AE43"/>
    <mergeCell ref="AF43:AF47"/>
    <mergeCell ref="AG43:AN43"/>
    <mergeCell ref="AO43:AO47"/>
    <mergeCell ref="AQ9:AQ12"/>
    <mergeCell ref="J7:J12"/>
    <mergeCell ref="R7:R12"/>
    <mergeCell ref="X7:AF7"/>
    <mergeCell ref="AG7:AP7"/>
    <mergeCell ref="S8:S11"/>
    <mergeCell ref="U35:V35"/>
    <mergeCell ref="X35:AE35"/>
    <mergeCell ref="AG35:AN35"/>
    <mergeCell ref="K8:K11"/>
    <mergeCell ref="L9:L10"/>
    <mergeCell ref="AC8:AC11"/>
    <mergeCell ref="AE8:AE11"/>
    <mergeCell ref="AD8:AD11"/>
    <mergeCell ref="AF8:AF11"/>
    <mergeCell ref="AL8:AL11"/>
    <mergeCell ref="AM8:AM11"/>
    <mergeCell ref="AN8:AN11"/>
    <mergeCell ref="AO8:AO11"/>
    <mergeCell ref="U30:AN30"/>
    <mergeCell ref="U31:AN31"/>
    <mergeCell ref="U33:V33"/>
    <mergeCell ref="AL19:AL22"/>
    <mergeCell ref="AM19:AM22"/>
    <mergeCell ref="AN19:AN22"/>
    <mergeCell ref="AO19:AO22"/>
    <mergeCell ref="E2:E17"/>
    <mergeCell ref="X2:AF2"/>
    <mergeCell ref="AG2:AP2"/>
    <mergeCell ref="F3:F16"/>
    <mergeCell ref="X3:AF3"/>
    <mergeCell ref="AG3:AP3"/>
    <mergeCell ref="G4:G15"/>
    <mergeCell ref="X4:AF4"/>
    <mergeCell ref="AG4:AP4"/>
    <mergeCell ref="H5:H14"/>
    <mergeCell ref="X5:AF5"/>
    <mergeCell ref="AG5:AP5"/>
    <mergeCell ref="I6:I13"/>
    <mergeCell ref="Q6:Q13"/>
    <mergeCell ref="X6:AF6"/>
    <mergeCell ref="AG6:AP6"/>
  </mergeCells>
  <dataValidations count="8">
    <dataValidation allowBlank="1" showInputMessage="1" showErrorMessage="1" prompt="Для выбора выполните двойной щелчок левой клавиши мыши по соответствующей ячейке." sqref="AD65592 AD131128 AD196664 AD262200 AD327736 AD393272 AD458808 AD524344 AD589880 AD655416 AD720952 AD786488 AD852024 AD917560 AD983096 AF131128 AF458808 AF196664 AF262200 AF327736 AF393272 AF524344 AF589880 AF655416 AF720952 AF786488 AF852024 AF917560 AF983096 AF65592 AM65592 AM131128 AM196664 AM262200 AM327736 AM393272 AM458808 AM524344 AM589880 AM655416 AM720952 AM786488 AM852024 AM917560 AM983096 AO393272 AO327736 AO524344 AO55 AO589880 AO655416 AO19:AO21 AO720952 AO786488 AO852024 AO917560 AO983096 AO65592 AO131128 AO458808 AF55 AO196664 AF8 AD8 AM55 AM19:AM21 AO262200 AD55 AO8 AM8"/>
    <dataValidation allowBlank="1" promptTitle="checkPeriodRange" sqref="AB65593 AB131129 AB196665 AB262201 AB327737 AB393273 AB458809 AB524345 AB589881 AB655417 AB720953 AB786489 AB852025 AB917561 AB983097 AB10:AB11 AK65593 AK131129 AK196665 AK262201 AK327737 AK393273 AK458809 AK524345 AK589881 AK655417 AK720953 AK786489 AK852025 AK917561 AK983097 AK10:AK11 AK57 AK22 AB57"/>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AC65592 AC131128 AC196664 AC262200 AC327736 AC393272 AC458808 AC524344 AC589880 AC655416 AC720952 AC786488 AC852024 AC917560 AC983096 AE65592 AE131128 AE196664 AE262200 AE327736 AE393272 AE458808 AE524344 AE589880 AE655416 AE720952 AE786488 AE852024 AE917560 AE983096 AN55 AL65592 AL131128 AL196664 AL262200 AL327736 AL393272 AL458808 AL524344 AL589880 AL655416 AL720952 AL786488 AL852024 AL917560 AL983096 AN65592 AN131128 AN196664 AN262200 AN327736 AN393272 AN458808 AN524344 AN589880 AN655416 AN720952 AN786488 AN852024 AN917560 AN983096 AC55 AE55 AL55 AE8 AC8 AL19:AL21 AN19:AN21 AN8 AL8"/>
    <dataValidation type="textLength" operator="lessThanOrEqual" allowBlank="1" showInputMessage="1" showErrorMessage="1" errorTitle="Ошибка" error="Допускается ввод не более 900 символов!" sqref="AQ65586:AQ65593 AQ131122:AQ131129 AQ196658:AQ196665 AQ262194:AQ262201 AQ327730:AQ327737 AQ393266:AQ393273 AQ458802:AQ458809 AQ524338:AQ524345 AQ589874:AQ589881 AQ655410:AQ655417 AQ720946:AQ720953 AQ786482:AQ786489 AQ852018:AQ852025 AQ917554:AQ917561 AQ983090:AQ983097">
      <formula1>900</formula1>
    </dataValidation>
    <dataValidation allowBlank="1" sqref="U131130:AQ131136 U196666:AQ196672 U262202:AQ262208 U327738:AQ327744 U393274:AQ393280 U458810:AQ458816 U524346:AQ524352 U589882:AQ589888 U655418:AQ655424 U720954:AQ720960 U786490:AQ786496 U852026:AQ852032 U917562:AQ917568 U983098:AQ983104 U65594:AQ65600"/>
    <dataValidation type="list" allowBlank="1" showInputMessage="1" errorTitle="Ошибка" error="Выберите значение из списка" prompt="Выберите значение из списка" sqref="X983095:AP983095 X65591:AP65591 X131127:AP131127 X196663:AP196663 X262199:AP262199 X327735:AP327735 X393271:AP393271 X458807:AP458807 X524343:AP524343 X589879:AP589879 X655415:AP655415 X720951:AP720951 X786487:AP786487 X852023:AP852023 X917559:AP917559">
      <formula1>kind_of_cons</formula1>
    </dataValidation>
    <dataValidation type="list" allowBlank="1" showInputMessage="1" showErrorMessage="1" errorTitle="Ошибка" error="Выберите значение из списка" sqref="X983094:Z983094 X65590:Z65590 X131126:Z131126 X196662:Z196662 X262198:Z262198 X327734:Z327734 X393270:Z393270 X458806:Z458806 X524342:Z524342 X589878:Z589878 X655414:Z655414 X720950:Z720950 X786486:Z786486 X852022:Z852022 X917558:Z917558 AG983094:AI983094 AG65590:AI65590 AG131126:AI131126 AG196662:AI196662 AG262198:AI262198 AG327734:AI327734 AG393270:AI393270 AG458806:AI458806 AG524342:AI524342 AG589878:AI589878 AG655414:AI655414 AG720950:AI720950 AG786486:AI786486 AG852022:AI852022 AG917558:AI917558">
      <formula1>kind_of_scheme_in</formula1>
    </dataValidation>
    <dataValidation type="list" allowBlank="1" showInputMessage="1" showErrorMessage="1" errorTitle="Ошибка" error="Выберите значение из списка" sqref="V65592 V131128 V196664 V262200 V327736 V393272 V458808 V524344 V589880 V655416 V720952 V786488 V852024 V917560 V983096">
      <formula1>kind_of_heat_transfer</formula1>
    </dataValidation>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6" tint="0.39997558519241921"/>
  </sheetPr>
  <dimension ref="A1:BA70"/>
  <sheetViews>
    <sheetView showGridLines="0" zoomScale="90" workbookViewId="0">
      <pane xSplit="27" ySplit="44" topLeftCell="AB45" activePane="bottomRight" state="frozen"/>
      <selection pane="topRight" activeCell="AB1" sqref="AB1"/>
      <selection pane="bottomLeft" activeCell="A45" sqref="A45"/>
      <selection pane="bottomRight"/>
    </sheetView>
  </sheetViews>
  <sheetFormatPr defaultColWidth="10.5703125" defaultRowHeight="14.25" customHeight="1"/>
  <cols>
    <col min="1" max="1" width="10.5703125" style="1291" hidden="1"/>
    <col min="2" max="2" width="11" style="1291" hidden="1" customWidth="1"/>
    <col min="3" max="3" width="10.5703125" style="1291" hidden="1"/>
    <col min="4" max="4" width="11.85546875" style="1291" hidden="1" customWidth="1"/>
    <col min="5" max="5" width="10" style="1291" hidden="1" customWidth="1"/>
    <col min="6" max="6" width="8.7109375" style="1291" hidden="1" customWidth="1"/>
    <col min="7" max="7" width="7.5703125" style="1291" hidden="1" customWidth="1"/>
    <col min="8" max="8" width="11.42578125" style="1291" hidden="1" customWidth="1"/>
    <col min="9" max="9" width="12" style="1291" hidden="1" customWidth="1"/>
    <col min="10" max="10" width="9.85546875" style="1291" hidden="1" customWidth="1"/>
    <col min="11" max="11" width="11.42578125" style="1291" hidden="1" customWidth="1"/>
    <col min="12" max="12" width="19.140625" style="2002" hidden="1" customWidth="1"/>
    <col min="13" max="14" width="12.28515625" style="1701" hidden="1" customWidth="1"/>
    <col min="15" max="15" width="23.42578125" style="1701" hidden="1" customWidth="1"/>
    <col min="16" max="16" width="3" style="1701" customWidth="1"/>
    <col min="17" max="17" width="3" style="1296" customWidth="1"/>
    <col min="18" max="18" width="3" style="280" customWidth="1"/>
    <col min="19" max="19" width="12" style="2001" customWidth="1"/>
    <col min="20" max="20" width="31" style="1560" customWidth="1"/>
    <col min="21" max="21" width="0.140625" style="1560" customWidth="1"/>
    <col min="22" max="23" width="21.7109375" style="1560" hidden="1" customWidth="1"/>
    <col min="24" max="24" width="11.7109375" style="1560" hidden="1" customWidth="1"/>
    <col min="25" max="25" width="3.7109375" style="1560" hidden="1" customWidth="1"/>
    <col min="26" max="26" width="11.7109375" style="1560" hidden="1" customWidth="1"/>
    <col min="27" max="27" width="8.5703125" style="1560" hidden="1" customWidth="1"/>
    <col min="28" max="28" width="5.42578125" style="1560" customWidth="1"/>
    <col min="29" max="30" width="3" style="1560" customWidth="1"/>
    <col min="31" max="31" width="24" style="1560" customWidth="1"/>
    <col min="32" max="32" width="3.7109375" style="1560" customWidth="1"/>
    <col min="33" max="34" width="3" style="1560" customWidth="1"/>
    <col min="35" max="35" width="24" style="1560" customWidth="1"/>
    <col min="36" max="36" width="3.7109375" style="1560" customWidth="1"/>
    <col min="37" max="38" width="3" style="1560" customWidth="1"/>
    <col min="39" max="39" width="18" style="1560" customWidth="1"/>
    <col min="40" max="41" width="21" style="1560" customWidth="1"/>
    <col min="42" max="42" width="11" style="1560" customWidth="1"/>
    <col min="43" max="43" width="3.7109375" style="1560" customWidth="1"/>
    <col min="44" max="44" width="11" style="1560" customWidth="1"/>
    <col min="45" max="45" width="8.5703125" style="1560" hidden="1" customWidth="1"/>
    <col min="46" max="46" width="4" style="1560" customWidth="1"/>
    <col min="47" max="47" width="115" style="1560" customWidth="1"/>
    <col min="48" max="52" width="10" style="1567" customWidth="1"/>
    <col min="53" max="53" width="10.5703125" style="1560" hidden="1"/>
  </cols>
  <sheetData>
    <row r="1" spans="1:53" ht="22.5" hidden="1" customHeight="1">
      <c r="W1" s="263"/>
      <c r="X1" s="263"/>
      <c r="AO1" s="263"/>
      <c r="AP1" s="263"/>
      <c r="BA1" s="1080" t="s">
        <v>14</v>
      </c>
    </row>
    <row r="2" spans="1:53" ht="21" hidden="1" customHeight="1">
      <c r="A2" s="1288"/>
      <c r="B2" s="1288"/>
      <c r="C2" s="1288"/>
      <c r="D2" s="1288"/>
      <c r="E2" s="2186">
        <v>1</v>
      </c>
      <c r="F2" s="1288"/>
      <c r="G2" s="1288"/>
      <c r="H2" s="1288"/>
      <c r="I2" s="1288"/>
      <c r="J2" s="1288"/>
      <c r="K2" s="1288"/>
      <c r="L2" s="1289"/>
      <c r="M2" s="1290"/>
      <c r="N2" s="1290"/>
      <c r="O2" s="1290"/>
      <c r="P2" s="1334"/>
      <c r="Q2" s="802"/>
      <c r="R2" s="290"/>
      <c r="S2" s="1261" t="e">
        <f>INDEX(PT_DIFFERENTIATION_NUM_NTAR,MATCH(A2,PT_DIFFERENTIATION_NTAR_ID,0))</f>
        <v>#N/A</v>
      </c>
      <c r="T2" s="234" t="s">
        <v>124</v>
      </c>
      <c r="U2" s="236"/>
      <c r="V2" s="2173"/>
      <c r="W2" s="2173"/>
      <c r="X2" s="2173"/>
      <c r="Y2" s="2173"/>
      <c r="Z2" s="2173"/>
      <c r="AA2" s="2174"/>
      <c r="AB2" s="2172" t="e">
        <f>INDEX(PT_DIFFERENTIATION_NTAR,MATCH(A2,PT_DIFFERENTIATION_NTAR_ID,0))</f>
        <v>#N/A</v>
      </c>
      <c r="AC2" s="2173"/>
      <c r="AD2" s="2173"/>
      <c r="AE2" s="2173"/>
      <c r="AF2" s="2173"/>
      <c r="AG2" s="2173"/>
      <c r="AH2" s="2173"/>
      <c r="AI2" s="2173"/>
      <c r="AJ2" s="2173"/>
      <c r="AK2" s="2173"/>
      <c r="AL2" s="2173"/>
      <c r="AM2" s="2173"/>
      <c r="AN2" s="2173"/>
      <c r="AO2" s="2173"/>
      <c r="AP2" s="2173"/>
      <c r="AQ2" s="2173"/>
      <c r="AR2" s="2173"/>
      <c r="AS2" s="2173"/>
      <c r="AT2" s="2174"/>
      <c r="AU2" s="1183" t="s">
        <v>395</v>
      </c>
      <c r="AW2" s="435"/>
      <c r="AX2" s="435" t="str">
        <f t="shared" ref="AX2:AX8" si="0">IF(T2="","",T2)</f>
        <v>Наименование тарифа</v>
      </c>
      <c r="AY2" s="435"/>
      <c r="AZ2" s="435"/>
      <c r="BA2" s="1080">
        <v>0</v>
      </c>
    </row>
    <row r="3" spans="1:53" ht="21" hidden="1" customHeight="1">
      <c r="A3" s="1288"/>
      <c r="B3" s="1288"/>
      <c r="C3" s="1288"/>
      <c r="D3" s="1288"/>
      <c r="E3" s="2187"/>
      <c r="F3" s="2186">
        <v>1</v>
      </c>
      <c r="G3" s="1288"/>
      <c r="H3" s="1288"/>
      <c r="I3" s="1288"/>
      <c r="J3" s="1288"/>
      <c r="K3" s="1288"/>
      <c r="L3" s="1289"/>
      <c r="M3" s="1290"/>
      <c r="N3" s="1290"/>
      <c r="O3" s="1290"/>
      <c r="P3" s="1335"/>
      <c r="Q3" s="1336"/>
      <c r="R3" s="288"/>
      <c r="S3" s="1261" t="e">
        <f>INDEX(PT_DIFFERENTIATION_NUM_TER,MATCH(B3,PT_DIFFERENTIATION_TER_ID,0))</f>
        <v>#N/A</v>
      </c>
      <c r="T3" s="244" t="s">
        <v>396</v>
      </c>
      <c r="U3" s="236"/>
      <c r="V3" s="2173"/>
      <c r="W3" s="2173"/>
      <c r="X3" s="2173"/>
      <c r="Y3" s="2173"/>
      <c r="Z3" s="2173"/>
      <c r="AA3" s="2174"/>
      <c r="AB3" s="2172" t="e">
        <f>INDEX(PT_DIFFERENTIATION_TER,MATCH(B3,PT_DIFFERENTIATION_TER_ID,0))</f>
        <v>#N/A</v>
      </c>
      <c r="AC3" s="2173"/>
      <c r="AD3" s="2173"/>
      <c r="AE3" s="2173"/>
      <c r="AF3" s="2173"/>
      <c r="AG3" s="2173"/>
      <c r="AH3" s="2173"/>
      <c r="AI3" s="2173"/>
      <c r="AJ3" s="2173"/>
      <c r="AK3" s="2173"/>
      <c r="AL3" s="2173"/>
      <c r="AM3" s="2173"/>
      <c r="AN3" s="2173"/>
      <c r="AO3" s="2173"/>
      <c r="AP3" s="2173"/>
      <c r="AQ3" s="2173"/>
      <c r="AR3" s="2173"/>
      <c r="AS3" s="2173"/>
      <c r="AT3" s="2174"/>
      <c r="AU3" s="1183" t="s">
        <v>397</v>
      </c>
      <c r="AW3" s="435"/>
      <c r="AX3" s="435" t="str">
        <f t="shared" si="0"/>
        <v>Территория действия тарифа</v>
      </c>
      <c r="AY3" s="435"/>
      <c r="AZ3" s="435"/>
      <c r="BA3" s="1080">
        <v>0</v>
      </c>
    </row>
    <row r="4" spans="1:53" ht="22.5" hidden="1" customHeight="1">
      <c r="A4" s="1288"/>
      <c r="B4" s="1288"/>
      <c r="C4" s="1288"/>
      <c r="D4" s="1288"/>
      <c r="E4" s="2187"/>
      <c r="F4" s="2187"/>
      <c r="G4" s="2186">
        <v>1</v>
      </c>
      <c r="H4" s="1288"/>
      <c r="I4" s="1288"/>
      <c r="J4" s="1288"/>
      <c r="K4" s="1288"/>
      <c r="L4" s="1289"/>
      <c r="M4" s="1290"/>
      <c r="N4" s="1290"/>
      <c r="O4" s="1290"/>
      <c r="P4" s="1337"/>
      <c r="Q4" s="1336"/>
      <c r="R4" s="288"/>
      <c r="S4" s="1261" t="e">
        <f>INDEX(PT_DIFFERENTIATION_NUM_CS,MATCH(C4,PT_DIFFERENTIATION_CS_ID,0))</f>
        <v>#N/A</v>
      </c>
      <c r="T4" s="245" t="s">
        <v>398</v>
      </c>
      <c r="U4" s="236"/>
      <c r="V4" s="2173"/>
      <c r="W4" s="2173"/>
      <c r="X4" s="2173"/>
      <c r="Y4" s="2173"/>
      <c r="Z4" s="2173"/>
      <c r="AA4" s="2174"/>
      <c r="AB4" s="2172" t="e">
        <f>INDEX(PT_DIFFERENTIATION_CS,MATCH(C4,PT_DIFFERENTIATION_CS_ID,0))</f>
        <v>#N/A</v>
      </c>
      <c r="AC4" s="2173"/>
      <c r="AD4" s="2173"/>
      <c r="AE4" s="2173"/>
      <c r="AF4" s="2173"/>
      <c r="AG4" s="2173"/>
      <c r="AH4" s="2173"/>
      <c r="AI4" s="2173"/>
      <c r="AJ4" s="2173"/>
      <c r="AK4" s="2173"/>
      <c r="AL4" s="2173"/>
      <c r="AM4" s="2173"/>
      <c r="AN4" s="2173"/>
      <c r="AO4" s="2173"/>
      <c r="AP4" s="2173"/>
      <c r="AQ4" s="2173"/>
      <c r="AR4" s="2173"/>
      <c r="AS4" s="2173"/>
      <c r="AT4" s="2174"/>
      <c r="AU4" s="1183" t="s">
        <v>399</v>
      </c>
      <c r="AW4" s="435"/>
      <c r="AX4" s="435" t="str">
        <f t="shared" si="0"/>
        <v xml:space="preserve">Наименование системы теплоснабжения </v>
      </c>
      <c r="AY4" s="435"/>
      <c r="AZ4" s="435"/>
      <c r="BA4" s="1080">
        <v>0</v>
      </c>
    </row>
    <row r="5" spans="1:53" ht="21" hidden="1" customHeight="1">
      <c r="A5" s="1288"/>
      <c r="B5" s="1288"/>
      <c r="C5" s="1288"/>
      <c r="D5" s="1288"/>
      <c r="E5" s="2187"/>
      <c r="F5" s="2187"/>
      <c r="G5" s="2187"/>
      <c r="H5" s="2186">
        <v>1</v>
      </c>
      <c r="I5" s="1288"/>
      <c r="J5" s="1288"/>
      <c r="K5" s="1288"/>
      <c r="L5" s="1289"/>
      <c r="M5" s="1290"/>
      <c r="N5" s="1290"/>
      <c r="O5" s="1290"/>
      <c r="P5" s="1337"/>
      <c r="Q5" s="1336"/>
      <c r="R5" s="288"/>
      <c r="S5" s="1261" t="e">
        <f>INDEX(PT_DIFFERENTIATION_NUM_IST_TE,MATCH(D5,PT_DIFFERENTIATION_IST_TE_ID,0))</f>
        <v>#N/A</v>
      </c>
      <c r="T5" s="246" t="s">
        <v>400</v>
      </c>
      <c r="U5" s="236"/>
      <c r="V5" s="2173"/>
      <c r="W5" s="2173"/>
      <c r="X5" s="2173"/>
      <c r="Y5" s="2173"/>
      <c r="Z5" s="2173"/>
      <c r="AA5" s="2174"/>
      <c r="AB5" s="2172" t="e">
        <f>INDEX(PT_DIFFERENTIATION_IST_TE,MATCH(D5,PT_DIFFERENTIATION_IST_TE_ID,0))</f>
        <v>#N/A</v>
      </c>
      <c r="AC5" s="2173"/>
      <c r="AD5" s="2173"/>
      <c r="AE5" s="2173"/>
      <c r="AF5" s="2173"/>
      <c r="AG5" s="2173"/>
      <c r="AH5" s="2173"/>
      <c r="AI5" s="2173"/>
      <c r="AJ5" s="2173"/>
      <c r="AK5" s="2173"/>
      <c r="AL5" s="2173"/>
      <c r="AM5" s="2173"/>
      <c r="AN5" s="2173"/>
      <c r="AO5" s="2173"/>
      <c r="AP5" s="2173"/>
      <c r="AQ5" s="2173"/>
      <c r="AR5" s="2173"/>
      <c r="AS5" s="2173"/>
      <c r="AT5" s="2174"/>
      <c r="AU5" s="1183" t="s">
        <v>401</v>
      </c>
      <c r="AW5" s="435"/>
      <c r="AX5" s="435" t="str">
        <f t="shared" si="0"/>
        <v xml:space="preserve">Источник тепловой энергии  </v>
      </c>
      <c r="AY5" s="435"/>
      <c r="AZ5" s="435"/>
      <c r="BA5" s="1080">
        <v>0</v>
      </c>
    </row>
    <row r="6" spans="1:53" s="1567" customFormat="1" ht="0.75" hidden="1" customHeight="1">
      <c r="A6" s="1268"/>
      <c r="B6" s="1268"/>
      <c r="C6" s="1268"/>
      <c r="D6" s="1268"/>
      <c r="E6" s="2187"/>
      <c r="F6" s="2187"/>
      <c r="G6" s="2187"/>
      <c r="H6" s="2187"/>
      <c r="I6" s="2184" t="e">
        <f>S5&amp;".1"</f>
        <v>#N/A</v>
      </c>
      <c r="J6" s="1268"/>
      <c r="K6" s="1268"/>
      <c r="L6" s="1271" t="s">
        <v>402</v>
      </c>
      <c r="M6" s="445"/>
      <c r="N6" s="445"/>
      <c r="O6" s="445"/>
      <c r="P6" s="2185">
        <v>1</v>
      </c>
      <c r="Q6" s="1256"/>
      <c r="R6" s="291"/>
      <c r="S6" s="970"/>
      <c r="T6" s="1308"/>
      <c r="U6" s="1309"/>
      <c r="V6" s="2216"/>
      <c r="W6" s="2216"/>
      <c r="X6" s="2216"/>
      <c r="Y6" s="2216"/>
      <c r="Z6" s="2216"/>
      <c r="AA6" s="2217"/>
      <c r="AB6" s="2215"/>
      <c r="AC6" s="2216"/>
      <c r="AD6" s="2216"/>
      <c r="AE6" s="2216"/>
      <c r="AF6" s="2216"/>
      <c r="AG6" s="2216"/>
      <c r="AH6" s="2216"/>
      <c r="AI6" s="2216"/>
      <c r="AJ6" s="2216"/>
      <c r="AK6" s="2216"/>
      <c r="AL6" s="2216"/>
      <c r="AM6" s="2216"/>
      <c r="AN6" s="2216"/>
      <c r="AO6" s="2216"/>
      <c r="AP6" s="2216"/>
      <c r="AQ6" s="2216"/>
      <c r="AR6" s="2216"/>
      <c r="AS6" s="2216"/>
      <c r="AT6" s="2217"/>
      <c r="AU6" s="1310"/>
      <c r="AW6" s="435"/>
      <c r="AX6" s="435" t="str">
        <f t="shared" si="0"/>
        <v/>
      </c>
      <c r="AY6" s="435"/>
      <c r="AZ6" s="435"/>
      <c r="BA6" s="446">
        <v>0</v>
      </c>
    </row>
    <row r="7" spans="1:53" s="1567" customFormat="1" ht="0.75" hidden="1" customHeight="1">
      <c r="A7" s="1268"/>
      <c r="B7" s="1268"/>
      <c r="C7" s="1268"/>
      <c r="D7" s="1268"/>
      <c r="E7" s="2187"/>
      <c r="F7" s="2187"/>
      <c r="G7" s="2187"/>
      <c r="H7" s="2187"/>
      <c r="I7" s="2207"/>
      <c r="J7" s="2184" t="e">
        <f>S5&amp;".1"</f>
        <v>#N/A</v>
      </c>
      <c r="K7" s="1268"/>
      <c r="L7" s="1271"/>
      <c r="M7" s="445"/>
      <c r="N7" s="445"/>
      <c r="O7" s="445"/>
      <c r="P7" s="2185"/>
      <c r="Q7" s="2185">
        <v>1</v>
      </c>
      <c r="R7" s="292"/>
      <c r="S7" s="970"/>
      <c r="T7" s="1324"/>
      <c r="U7" s="1309"/>
      <c r="V7" s="2216"/>
      <c r="W7" s="2216"/>
      <c r="X7" s="2216"/>
      <c r="Y7" s="2216"/>
      <c r="Z7" s="2216"/>
      <c r="AA7" s="2217"/>
      <c r="AB7" s="2215"/>
      <c r="AC7" s="2216"/>
      <c r="AD7" s="2216"/>
      <c r="AE7" s="2216"/>
      <c r="AF7" s="2216"/>
      <c r="AG7" s="2216"/>
      <c r="AH7" s="2216"/>
      <c r="AI7" s="2216"/>
      <c r="AJ7" s="2216"/>
      <c r="AK7" s="2216"/>
      <c r="AL7" s="2216"/>
      <c r="AM7" s="2216"/>
      <c r="AN7" s="2216"/>
      <c r="AO7" s="2216"/>
      <c r="AP7" s="2216"/>
      <c r="AQ7" s="2216"/>
      <c r="AR7" s="2216"/>
      <c r="AS7" s="2216"/>
      <c r="AT7" s="2217"/>
      <c r="AU7" s="1310"/>
      <c r="AW7" s="435"/>
      <c r="AX7" s="435" t="str">
        <f t="shared" si="0"/>
        <v/>
      </c>
      <c r="AY7" s="435"/>
      <c r="AZ7" s="435"/>
      <c r="BA7" s="446">
        <v>0</v>
      </c>
    </row>
    <row r="8" spans="1:53" ht="21" hidden="1" customHeight="1">
      <c r="A8" s="1288"/>
      <c r="B8" s="1288"/>
      <c r="C8" s="1288"/>
      <c r="D8" s="1288"/>
      <c r="E8" s="2187"/>
      <c r="F8" s="2187"/>
      <c r="G8" s="2187"/>
      <c r="H8" s="2187"/>
      <c r="I8" s="2207"/>
      <c r="J8" s="2207"/>
      <c r="K8" s="2184" t="e">
        <f>S5&amp;".1"</f>
        <v>#N/A</v>
      </c>
      <c r="L8" s="1289"/>
      <c r="P8" s="2185"/>
      <c r="Q8" s="2185"/>
      <c r="R8" s="2250">
        <v>1</v>
      </c>
      <c r="S8" s="2244" t="e">
        <f>$K8</f>
        <v>#N/A</v>
      </c>
      <c r="T8" s="2247"/>
      <c r="U8" s="236"/>
      <c r="V8" s="686"/>
      <c r="W8" s="1182"/>
      <c r="X8" s="2189"/>
      <c r="Y8" s="2047" t="s">
        <v>66</v>
      </c>
      <c r="Z8" s="2189"/>
      <c r="AA8" s="2047" t="s">
        <v>66</v>
      </c>
      <c r="AB8" s="2047" t="s">
        <v>19</v>
      </c>
      <c r="AC8" s="2229"/>
      <c r="AD8" s="2141">
        <v>1</v>
      </c>
      <c r="AE8" s="2230"/>
      <c r="AF8" s="2047" t="s">
        <v>19</v>
      </c>
      <c r="AG8" s="2229"/>
      <c r="AH8" s="2141">
        <v>1</v>
      </c>
      <c r="AI8" s="2230"/>
      <c r="AJ8" s="2047" t="s">
        <v>19</v>
      </c>
      <c r="AK8" s="247"/>
      <c r="AL8" s="1262">
        <v>1</v>
      </c>
      <c r="AM8" s="1323"/>
      <c r="AN8" s="686"/>
      <c r="AO8" s="1182"/>
      <c r="AP8" s="1659"/>
      <c r="AQ8" s="1384" t="s">
        <v>66</v>
      </c>
      <c r="AR8" s="1659"/>
      <c r="AS8" s="1384" t="s">
        <v>66</v>
      </c>
      <c r="AT8" s="1273"/>
      <c r="AU8" s="2181" t="s">
        <v>463</v>
      </c>
      <c r="AV8" s="446" t="e">
        <f ca="1">STRCHECKDATE(V11:AT11)</f>
        <v>#NAME?</v>
      </c>
      <c r="AW8" s="435"/>
      <c r="AX8" s="435" t="str">
        <f t="shared" si="0"/>
        <v/>
      </c>
      <c r="AY8" s="435"/>
      <c r="AZ8" s="435"/>
      <c r="BA8" s="1080">
        <v>0</v>
      </c>
    </row>
    <row r="9" spans="1:53" ht="11.25" hidden="1" customHeight="1">
      <c r="A9" s="1288"/>
      <c r="B9" s="1288"/>
      <c r="C9" s="1288"/>
      <c r="D9" s="1288"/>
      <c r="E9" s="2187"/>
      <c r="F9" s="2187"/>
      <c r="G9" s="2187"/>
      <c r="H9" s="2187"/>
      <c r="I9" s="2207"/>
      <c r="J9" s="2207"/>
      <c r="K9" s="2184"/>
      <c r="L9" s="1289"/>
      <c r="P9" s="2185"/>
      <c r="Q9" s="2185"/>
      <c r="R9" s="2250"/>
      <c r="S9" s="2245"/>
      <c r="T9" s="2248"/>
      <c r="U9" s="236"/>
      <c r="V9" s="1318"/>
      <c r="W9" s="1322"/>
      <c r="X9" s="2189"/>
      <c r="Y9" s="2047"/>
      <c r="Z9" s="2189"/>
      <c r="AA9" s="2047"/>
      <c r="AB9" s="2047"/>
      <c r="AC9" s="2229"/>
      <c r="AD9" s="2141"/>
      <c r="AE9" s="2230"/>
      <c r="AF9" s="2047"/>
      <c r="AG9" s="2229"/>
      <c r="AH9" s="2141"/>
      <c r="AI9" s="2230"/>
      <c r="AJ9" s="2047"/>
      <c r="AK9" s="252"/>
      <c r="AL9" s="351"/>
      <c r="AM9" s="350" t="s">
        <v>464</v>
      </c>
      <c r="AN9" s="1318"/>
      <c r="AO9" s="1421"/>
      <c r="AP9" s="1318"/>
      <c r="AQ9" s="1318"/>
      <c r="AR9" s="1318"/>
      <c r="AS9" s="1318"/>
      <c r="AT9" s="1315"/>
      <c r="AU9" s="2182"/>
      <c r="AW9" s="435"/>
      <c r="AX9" s="435"/>
      <c r="AY9" s="435"/>
      <c r="AZ9" s="435"/>
      <c r="BA9" s="1080">
        <v>0</v>
      </c>
    </row>
    <row r="10" spans="1:53" ht="11.25" hidden="1" customHeight="1">
      <c r="A10" s="1288"/>
      <c r="B10" s="1288"/>
      <c r="C10" s="1288"/>
      <c r="D10" s="1288"/>
      <c r="E10" s="2187"/>
      <c r="F10" s="2187"/>
      <c r="G10" s="2187"/>
      <c r="H10" s="2187"/>
      <c r="I10" s="2207"/>
      <c r="J10" s="2207"/>
      <c r="K10" s="2184"/>
      <c r="L10" s="1289"/>
      <c r="P10" s="2185"/>
      <c r="Q10" s="2185"/>
      <c r="R10" s="2250"/>
      <c r="S10" s="2245"/>
      <c r="T10" s="2248"/>
      <c r="U10" s="236"/>
      <c r="V10" s="1318"/>
      <c r="W10" s="1322"/>
      <c r="X10" s="2189"/>
      <c r="Y10" s="2047"/>
      <c r="Z10" s="2189"/>
      <c r="AA10" s="2047"/>
      <c r="AB10" s="2047"/>
      <c r="AC10" s="2229"/>
      <c r="AD10" s="2141"/>
      <c r="AE10" s="2230"/>
      <c r="AF10" s="2047"/>
      <c r="AG10" s="230"/>
      <c r="AH10" s="350"/>
      <c r="AI10" s="350" t="s">
        <v>465</v>
      </c>
      <c r="AJ10" s="1318"/>
      <c r="AK10" s="1318"/>
      <c r="AL10" s="1318"/>
      <c r="AM10" s="1318"/>
      <c r="AN10" s="1318"/>
      <c r="AO10" s="1421"/>
      <c r="AP10" s="1318"/>
      <c r="AQ10" s="1318"/>
      <c r="AR10" s="1318"/>
      <c r="AS10" s="1318"/>
      <c r="AT10" s="1315"/>
      <c r="AU10" s="2182"/>
      <c r="AW10" s="435"/>
      <c r="AX10" s="435"/>
      <c r="AY10" s="435"/>
      <c r="AZ10" s="435"/>
      <c r="BA10" s="1080">
        <v>0</v>
      </c>
    </row>
    <row r="11" spans="1:53" ht="11.25" hidden="1" customHeight="1">
      <c r="A11" s="1288"/>
      <c r="B11" s="1288"/>
      <c r="C11" s="1288"/>
      <c r="D11" s="1288"/>
      <c r="E11" s="2187"/>
      <c r="F11" s="2187"/>
      <c r="G11" s="2187"/>
      <c r="H11" s="2187"/>
      <c r="I11" s="2207"/>
      <c r="J11" s="2207"/>
      <c r="K11" s="2184"/>
      <c r="L11" s="1289"/>
      <c r="P11" s="2185"/>
      <c r="Q11" s="2185"/>
      <c r="R11" s="2250"/>
      <c r="S11" s="2246"/>
      <c r="T11" s="2249"/>
      <c r="U11" s="236"/>
      <c r="V11" s="1318"/>
      <c r="W11" s="1321" t="str">
        <f>X8&amp;"-"&amp;Z8</f>
        <v>-</v>
      </c>
      <c r="X11" s="2190"/>
      <c r="Y11" s="2047"/>
      <c r="Z11" s="2190"/>
      <c r="AA11" s="2047"/>
      <c r="AB11" s="2047"/>
      <c r="AC11" s="248"/>
      <c r="AD11" s="250"/>
      <c r="AE11" s="350" t="s">
        <v>466</v>
      </c>
      <c r="AF11" s="1318"/>
      <c r="AG11" s="1318"/>
      <c r="AH11" s="1318"/>
      <c r="AI11" s="1318"/>
      <c r="AJ11" s="1318"/>
      <c r="AK11" s="1318"/>
      <c r="AL11" s="1318"/>
      <c r="AM11" s="1318"/>
      <c r="AN11" s="1318"/>
      <c r="AO11" s="1319" t="str">
        <f>AP8&amp;"-"&amp;AR8</f>
        <v>-</v>
      </c>
      <c r="AP11" s="1318"/>
      <c r="AQ11" s="1318"/>
      <c r="AR11" s="1318"/>
      <c r="AS11" s="1318"/>
      <c r="AT11" s="1274"/>
      <c r="AU11" s="2182"/>
      <c r="AW11" s="435"/>
      <c r="AX11" s="435" t="str">
        <f t="shared" ref="AX11:AX17" si="1">IF(T11="","",T11)</f>
        <v/>
      </c>
      <c r="AY11" s="435"/>
      <c r="AZ11" s="435"/>
      <c r="BA11" s="1080">
        <v>0</v>
      </c>
    </row>
    <row r="12" spans="1:53" ht="11.25" hidden="1" customHeight="1">
      <c r="A12" s="1288"/>
      <c r="B12" s="1288"/>
      <c r="C12" s="1288"/>
      <c r="D12" s="1288"/>
      <c r="E12" s="2187"/>
      <c r="F12" s="2187"/>
      <c r="G12" s="2187"/>
      <c r="H12" s="2187"/>
      <c r="I12" s="2207"/>
      <c r="J12" s="2184"/>
      <c r="K12" s="1288"/>
      <c r="L12" s="1289"/>
      <c r="P12" s="2185"/>
      <c r="Q12" s="2185"/>
      <c r="R12" s="291"/>
      <c r="S12" s="1203"/>
      <c r="T12" s="223" t="s">
        <v>467</v>
      </c>
      <c r="U12" s="302"/>
      <c r="V12" s="302"/>
      <c r="W12" s="302"/>
      <c r="X12" s="302"/>
      <c r="Y12" s="302"/>
      <c r="Z12" s="302"/>
      <c r="AA12" s="302"/>
      <c r="AB12" s="302"/>
      <c r="AC12" s="302"/>
      <c r="AD12" s="302"/>
      <c r="AE12" s="302"/>
      <c r="AF12" s="302"/>
      <c r="AG12" s="302"/>
      <c r="AH12" s="302"/>
      <c r="AI12" s="302"/>
      <c r="AJ12" s="302"/>
      <c r="AK12" s="302"/>
      <c r="AL12" s="302"/>
      <c r="AM12" s="302"/>
      <c r="AN12" s="302"/>
      <c r="AO12" s="302"/>
      <c r="AP12" s="302"/>
      <c r="AQ12" s="302"/>
      <c r="AR12" s="302"/>
      <c r="AS12" s="302"/>
      <c r="AT12" s="260"/>
      <c r="AU12" s="2183"/>
      <c r="AW12" s="435"/>
      <c r="AX12" s="435" t="str">
        <f t="shared" si="1"/>
        <v>Добавить строку</v>
      </c>
      <c r="AY12" s="435"/>
      <c r="AZ12" s="435"/>
      <c r="BA12" s="1080">
        <v>0</v>
      </c>
    </row>
    <row r="13" spans="1:53" s="1567" customFormat="1" ht="0.75" hidden="1" customHeight="1">
      <c r="A13" s="1268"/>
      <c r="B13" s="1268"/>
      <c r="C13" s="1268"/>
      <c r="D13" s="1268"/>
      <c r="E13" s="2187"/>
      <c r="F13" s="2187"/>
      <c r="G13" s="2187"/>
      <c r="H13" s="2187"/>
      <c r="I13" s="2184"/>
      <c r="J13" s="1268"/>
      <c r="K13" s="1268"/>
      <c r="L13" s="1271"/>
      <c r="M13" s="445"/>
      <c r="N13" s="445"/>
      <c r="O13" s="445"/>
      <c r="P13" s="2185"/>
      <c r="Q13" s="1256"/>
      <c r="R13" s="291"/>
      <c r="S13" s="1311"/>
      <c r="T13" s="1312"/>
      <c r="U13" s="1313"/>
      <c r="V13" s="1313"/>
      <c r="W13" s="1313"/>
      <c r="X13" s="1313"/>
      <c r="Y13" s="1313"/>
      <c r="Z13" s="1313"/>
      <c r="AA13" s="1313"/>
      <c r="AB13" s="1313"/>
      <c r="AC13" s="1313"/>
      <c r="AD13" s="1313"/>
      <c r="AE13" s="1313"/>
      <c r="AF13" s="1313"/>
      <c r="AG13" s="1313"/>
      <c r="AH13" s="1313"/>
      <c r="AI13" s="1313"/>
      <c r="AJ13" s="1313"/>
      <c r="AK13" s="1313"/>
      <c r="AL13" s="1313"/>
      <c r="AM13" s="1313"/>
      <c r="AN13" s="1313"/>
      <c r="AO13" s="1313"/>
      <c r="AP13" s="1313"/>
      <c r="AQ13" s="1313"/>
      <c r="AR13" s="1313"/>
      <c r="AS13" s="1313"/>
      <c r="AT13" s="1313"/>
      <c r="AU13" s="1314"/>
      <c r="AW13" s="435"/>
      <c r="AX13" s="435" t="str">
        <f t="shared" si="1"/>
        <v/>
      </c>
      <c r="AY13" s="435"/>
      <c r="AZ13" s="435"/>
      <c r="BA13" s="446">
        <v>0</v>
      </c>
    </row>
    <row r="14" spans="1:53" s="1567" customFormat="1" ht="0.75" hidden="1" customHeight="1">
      <c r="A14" s="1268"/>
      <c r="B14" s="1268"/>
      <c r="C14" s="1268"/>
      <c r="D14" s="1268"/>
      <c r="E14" s="2187"/>
      <c r="F14" s="2187"/>
      <c r="G14" s="2187"/>
      <c r="H14" s="2186"/>
      <c r="I14" s="1268"/>
      <c r="J14" s="1268"/>
      <c r="K14" s="1268"/>
      <c r="L14" s="1271"/>
      <c r="M14" s="1240"/>
      <c r="N14" s="1240"/>
      <c r="O14" s="453"/>
      <c r="P14" s="315"/>
      <c r="Q14" s="1269"/>
      <c r="R14" s="1326"/>
      <c r="S14" s="1311"/>
      <c r="T14" s="1312"/>
      <c r="U14" s="1313"/>
      <c r="V14" s="1313"/>
      <c r="W14" s="1313"/>
      <c r="X14" s="1313"/>
      <c r="Y14" s="1313"/>
      <c r="Z14" s="1313"/>
      <c r="AA14" s="1313"/>
      <c r="AB14" s="1313"/>
      <c r="AC14" s="1313"/>
      <c r="AD14" s="1313"/>
      <c r="AE14" s="1313"/>
      <c r="AF14" s="1313"/>
      <c r="AG14" s="1313"/>
      <c r="AH14" s="1313"/>
      <c r="AI14" s="1313"/>
      <c r="AJ14" s="1313"/>
      <c r="AK14" s="1313"/>
      <c r="AL14" s="1313"/>
      <c r="AM14" s="1313"/>
      <c r="AN14" s="1313"/>
      <c r="AO14" s="1313"/>
      <c r="AP14" s="1313"/>
      <c r="AQ14" s="1313"/>
      <c r="AR14" s="1313"/>
      <c r="AS14" s="1313"/>
      <c r="AT14" s="1313"/>
      <c r="AU14" s="1314"/>
      <c r="AW14" s="435"/>
      <c r="AX14" s="435" t="str">
        <f t="shared" si="1"/>
        <v/>
      </c>
      <c r="AY14" s="435"/>
      <c r="AZ14" s="435"/>
      <c r="BA14" s="446">
        <v>0</v>
      </c>
    </row>
    <row r="15" spans="1:53" s="1567" customFormat="1" ht="0.75" hidden="1" customHeight="1">
      <c r="A15" s="1268"/>
      <c r="B15" s="1268"/>
      <c r="C15" s="1268"/>
      <c r="D15" s="1239"/>
      <c r="E15" s="2187"/>
      <c r="F15" s="2187"/>
      <c r="G15" s="2186"/>
      <c r="H15" s="1239"/>
      <c r="I15" s="1239"/>
      <c r="J15" s="1239"/>
      <c r="K15" s="1239"/>
      <c r="L15" s="1264"/>
      <c r="M15" s="1240"/>
      <c r="N15" s="1240"/>
      <c r="P15" s="1241"/>
      <c r="Q15" s="1242"/>
      <c r="R15" s="1241"/>
      <c r="S15" s="1247"/>
      <c r="T15" s="1250" t="s">
        <v>413</v>
      </c>
      <c r="U15" s="1249"/>
      <c r="V15" s="1249"/>
      <c r="W15" s="1249"/>
      <c r="X15" s="1249"/>
      <c r="Y15" s="1249"/>
      <c r="Z15" s="1249"/>
      <c r="AA15" s="1249"/>
      <c r="AB15" s="1249"/>
      <c r="AC15" s="1249"/>
      <c r="AD15" s="1249"/>
      <c r="AE15" s="1249"/>
      <c r="AF15" s="1249"/>
      <c r="AG15" s="1249"/>
      <c r="AH15" s="1249"/>
      <c r="AI15" s="1249"/>
      <c r="AJ15" s="1249"/>
      <c r="AK15" s="1249"/>
      <c r="AL15" s="1249"/>
      <c r="AM15" s="1249"/>
      <c r="AN15" s="1249"/>
      <c r="AO15" s="1249"/>
      <c r="AP15" s="1249"/>
      <c r="AQ15" s="1249"/>
      <c r="AR15" s="1249"/>
      <c r="AS15" s="1249"/>
      <c r="AT15" s="1249"/>
      <c r="AU15" s="1249"/>
      <c r="AW15" s="718"/>
      <c r="AX15" s="718" t="str">
        <f t="shared" si="1"/>
        <v>Добавить источник для дифференциации</v>
      </c>
      <c r="AY15" s="718"/>
      <c r="AZ15" s="718"/>
      <c r="BA15" s="453">
        <v>0</v>
      </c>
    </row>
    <row r="16" spans="1:53" s="1567" customFormat="1" ht="0.75" hidden="1" customHeight="1">
      <c r="A16" s="1268"/>
      <c r="B16" s="1268"/>
      <c r="C16" s="1239"/>
      <c r="D16" s="1239"/>
      <c r="E16" s="2187"/>
      <c r="F16" s="2186"/>
      <c r="G16" s="1239"/>
      <c r="H16" s="1239"/>
      <c r="I16" s="1239"/>
      <c r="J16" s="1239"/>
      <c r="K16" s="1239"/>
      <c r="L16" s="1264"/>
      <c r="M16" s="1246"/>
      <c r="N16" s="1246"/>
      <c r="P16" s="1241"/>
      <c r="Q16" s="1242"/>
      <c r="R16" s="1241"/>
      <c r="S16" s="1247"/>
      <c r="T16" s="1250" t="s">
        <v>414</v>
      </c>
      <c r="U16" s="1249"/>
      <c r="V16" s="1249"/>
      <c r="W16" s="1249"/>
      <c r="X16" s="1249"/>
      <c r="Y16" s="1249"/>
      <c r="Z16" s="1249"/>
      <c r="AA16" s="1249"/>
      <c r="AB16" s="1249"/>
      <c r="AC16" s="1249"/>
      <c r="AD16" s="1249"/>
      <c r="AE16" s="1249"/>
      <c r="AF16" s="1249"/>
      <c r="AG16" s="1249"/>
      <c r="AH16" s="1249"/>
      <c r="AI16" s="1249"/>
      <c r="AJ16" s="1249"/>
      <c r="AK16" s="1249"/>
      <c r="AL16" s="1249"/>
      <c r="AM16" s="1249"/>
      <c r="AN16" s="1249"/>
      <c r="AO16" s="1249"/>
      <c r="AP16" s="1249"/>
      <c r="AQ16" s="1249"/>
      <c r="AR16" s="1249"/>
      <c r="AS16" s="1249"/>
      <c r="AT16" s="1249"/>
      <c r="AU16" s="1249"/>
      <c r="AW16" s="718"/>
      <c r="AX16" s="718" t="str">
        <f t="shared" si="1"/>
        <v>Добавить централизованную систему для дифференциации</v>
      </c>
      <c r="AY16" s="718"/>
      <c r="AZ16" s="718"/>
      <c r="BA16" s="453">
        <v>0</v>
      </c>
    </row>
    <row r="17" spans="1:53" s="1567" customFormat="1" ht="0.75" hidden="1" customHeight="1">
      <c r="A17" s="1268"/>
      <c r="B17" s="1268"/>
      <c r="C17" s="1268"/>
      <c r="D17" s="1268"/>
      <c r="E17" s="2186"/>
      <c r="F17" s="1268"/>
      <c r="G17" s="1268"/>
      <c r="H17" s="1268"/>
      <c r="I17" s="1268"/>
      <c r="J17" s="1268"/>
      <c r="K17" s="1268"/>
      <c r="L17" s="1271"/>
      <c r="M17" s="1246"/>
      <c r="N17" s="1246"/>
      <c r="O17" s="453"/>
      <c r="P17" s="315"/>
      <c r="Q17" s="1269"/>
      <c r="R17" s="315"/>
      <c r="S17" s="1247"/>
      <c r="T17" s="1250" t="s">
        <v>415</v>
      </c>
      <c r="U17" s="1249"/>
      <c r="V17" s="1249"/>
      <c r="W17" s="1249"/>
      <c r="X17" s="1249"/>
      <c r="Y17" s="1249"/>
      <c r="Z17" s="1249"/>
      <c r="AA17" s="1249"/>
      <c r="AB17" s="1249"/>
      <c r="AC17" s="1249"/>
      <c r="AD17" s="1249"/>
      <c r="AE17" s="1249"/>
      <c r="AF17" s="1249"/>
      <c r="AG17" s="1249"/>
      <c r="AH17" s="1249"/>
      <c r="AI17" s="1249"/>
      <c r="AJ17" s="1249"/>
      <c r="AK17" s="1249"/>
      <c r="AL17" s="1249"/>
      <c r="AM17" s="1249"/>
      <c r="AN17" s="1249"/>
      <c r="AO17" s="1249"/>
      <c r="AP17" s="1249"/>
      <c r="AQ17" s="1249"/>
      <c r="AR17" s="1249"/>
      <c r="AS17" s="1249"/>
      <c r="AT17" s="1249"/>
      <c r="AU17" s="1249"/>
      <c r="AW17" s="435"/>
      <c r="AX17" s="435" t="str">
        <f t="shared" si="1"/>
        <v>Добавить территорию для дифференциации</v>
      </c>
      <c r="AY17" s="435"/>
      <c r="AZ17" s="435"/>
      <c r="BA17" s="446">
        <v>0</v>
      </c>
    </row>
    <row r="18" spans="1:53" ht="14.25" hidden="1" customHeight="1">
      <c r="AA18" s="263"/>
      <c r="AS18" s="263"/>
      <c r="BA18" s="1080">
        <v>0</v>
      </c>
    </row>
    <row r="19" spans="1:53" ht="14.25" hidden="1" customHeight="1">
      <c r="AB19" s="1249" t="s">
        <v>19</v>
      </c>
      <c r="AC19" s="1426"/>
      <c r="AD19" s="483">
        <v>1</v>
      </c>
      <c r="AE19" s="1427"/>
      <c r="AF19" s="1249" t="s">
        <v>19</v>
      </c>
      <c r="AG19" s="1426"/>
      <c r="AH19" s="483">
        <v>1</v>
      </c>
      <c r="AI19" s="1427"/>
      <c r="AJ19" s="1249" t="s">
        <v>19</v>
      </c>
      <c r="AK19" s="1428"/>
      <c r="AL19" s="483">
        <v>1</v>
      </c>
      <c r="AM19" s="1431"/>
      <c r="AN19" s="1328"/>
      <c r="AO19" s="1329"/>
      <c r="AP19" s="1661"/>
      <c r="AQ19" s="1385" t="s">
        <v>66</v>
      </c>
      <c r="AR19" s="1661"/>
      <c r="AS19" s="1385" t="s">
        <v>66</v>
      </c>
      <c r="BA19" s="1080">
        <v>0</v>
      </c>
    </row>
    <row r="20" spans="1:53" ht="14.25" hidden="1" customHeight="1">
      <c r="AV20" s="431"/>
      <c r="AW20" s="431"/>
      <c r="AX20" s="431"/>
      <c r="AY20" s="431"/>
      <c r="AZ20" s="431"/>
      <c r="BA20" s="1080">
        <v>0</v>
      </c>
    </row>
    <row r="21" spans="1:53" ht="14.25" hidden="1" customHeight="1">
      <c r="O21" s="1292" t="s">
        <v>416</v>
      </c>
      <c r="X21" s="1270"/>
      <c r="Z21" s="1270"/>
      <c r="AA21" s="263"/>
      <c r="AP21" s="1270"/>
      <c r="AR21" s="1270"/>
      <c r="AS21" s="263"/>
      <c r="AV21" s="431"/>
      <c r="AW21" s="431"/>
      <c r="AX21" s="431"/>
      <c r="AY21" s="431"/>
      <c r="AZ21" s="431"/>
      <c r="BA21" s="1080">
        <v>0</v>
      </c>
    </row>
    <row r="22" spans="1:53" ht="14.25" hidden="1" customHeight="1">
      <c r="AA22" s="263"/>
      <c r="AS22" s="263"/>
      <c r="AV22" s="431"/>
      <c r="AW22" s="431"/>
      <c r="AX22" s="431"/>
      <c r="AY22" s="431"/>
      <c r="AZ22" s="431"/>
      <c r="BA22" s="1080">
        <v>0</v>
      </c>
    </row>
    <row r="23" spans="1:53" s="1434" customFormat="1" ht="14.25" hidden="1" customHeight="1">
      <c r="M23" s="1433"/>
      <c r="N23" s="1433"/>
      <c r="O23" s="1434" t="s">
        <v>417</v>
      </c>
      <c r="P23" s="1433"/>
      <c r="Q23" s="1435"/>
      <c r="R23" s="1435"/>
      <c r="Y23" s="1432" t="s">
        <v>419</v>
      </c>
      <c r="AA23" s="1432" t="s">
        <v>420</v>
      </c>
      <c r="AB23" s="1432" t="s">
        <v>468</v>
      </c>
      <c r="AE23" s="1432" t="s">
        <v>469</v>
      </c>
      <c r="AF23" s="1432" t="s">
        <v>468</v>
      </c>
      <c r="AI23" s="1432" t="s">
        <v>470</v>
      </c>
      <c r="AJ23" s="1432" t="s">
        <v>468</v>
      </c>
      <c r="AM23" s="1432" t="s">
        <v>471</v>
      </c>
      <c r="AQ23" s="1432" t="s">
        <v>419</v>
      </c>
      <c r="AS23" s="1432" t="s">
        <v>420</v>
      </c>
      <c r="AV23" s="1436"/>
      <c r="AW23" s="1436"/>
      <c r="AX23" s="1436"/>
      <c r="AY23" s="1436"/>
      <c r="AZ23" s="1436"/>
      <c r="BA23" s="1432">
        <v>0</v>
      </c>
    </row>
    <row r="24" spans="1:53" ht="14.25" hidden="1" customHeight="1">
      <c r="O24" s="1289"/>
      <c r="AV24" s="431"/>
      <c r="AW24" s="431"/>
      <c r="AX24" s="431"/>
      <c r="AY24" s="431"/>
      <c r="AZ24" s="431"/>
      <c r="BA24" s="1080">
        <v>0</v>
      </c>
    </row>
    <row r="25" spans="1:53" ht="14.25" hidden="1" customHeight="1">
      <c r="O25" s="1289"/>
      <c r="AV25" s="431"/>
      <c r="AW25" s="431"/>
      <c r="AX25" s="431"/>
      <c r="AY25" s="431"/>
      <c r="AZ25" s="431"/>
      <c r="BA25" s="1080">
        <v>0</v>
      </c>
    </row>
    <row r="26" spans="1:53" ht="14.65" customHeight="1">
      <c r="Q26" s="227"/>
      <c r="R26" s="311"/>
      <c r="S26" s="1200"/>
      <c r="T26" s="298"/>
      <c r="U26" s="298"/>
      <c r="V26" s="444"/>
      <c r="W26" s="444"/>
      <c r="X26" s="444"/>
      <c r="Y26" s="444"/>
      <c r="Z26" s="444"/>
      <c r="AA26" s="444"/>
      <c r="AB26" s="444"/>
      <c r="AC26" s="444"/>
      <c r="AD26" s="444"/>
      <c r="AE26" s="444"/>
      <c r="AF26" s="444"/>
      <c r="AG26" s="444"/>
      <c r="AH26" s="444"/>
      <c r="AI26" s="444"/>
      <c r="AJ26" s="444"/>
      <c r="AK26" s="444"/>
      <c r="AL26" s="444"/>
      <c r="AM26" s="444"/>
      <c r="AN26" s="444"/>
      <c r="AO26" s="444"/>
      <c r="AP26" s="444"/>
      <c r="AQ26" s="444"/>
      <c r="AR26" s="444"/>
      <c r="AS26" s="444"/>
      <c r="BA26" s="1080">
        <v>14</v>
      </c>
    </row>
    <row r="27" spans="1:53" ht="27.4" customHeight="1">
      <c r="Q27" s="227"/>
      <c r="R27" s="311"/>
      <c r="S27" s="2170" t="str">
        <f>IF(TEMPLATE_GROUP="P",PT_P_FORM_HEAT_7_NAME_FORM,PT_R_FORM_HEAT_24_NAME_FORM)</f>
        <v>Форма 22. Информация о предложении регулируемой организации о расчетной величине платы за подключение (технологическое присоединение) к системе теплоснабжения, о расчетной величине платы за подключение (технологическое присоединение) к системе теплоснабжения, применяемой в случае, установленном частью 9 статьи 23 4 Федерального закона от 27 июля 2010 г. N 190-ФЗ "О теплоснабжении"</v>
      </c>
      <c r="T27" s="2170"/>
      <c r="U27" s="2170"/>
      <c r="V27" s="2170"/>
      <c r="W27" s="2170"/>
      <c r="X27" s="2170"/>
      <c r="Y27" s="2170"/>
      <c r="Z27" s="2170"/>
      <c r="AA27" s="2170"/>
      <c r="AB27" s="2170"/>
      <c r="AC27" s="2170"/>
      <c r="AD27" s="2170"/>
      <c r="AE27" s="2170"/>
      <c r="AF27" s="2170"/>
      <c r="AG27" s="2170"/>
      <c r="AH27" s="2170"/>
      <c r="AI27" s="2170"/>
      <c r="AJ27" s="2170"/>
      <c r="AK27" s="2170"/>
      <c r="AL27" s="2170"/>
      <c r="AM27" s="2170"/>
      <c r="AN27" s="2170"/>
      <c r="AO27" s="2170"/>
      <c r="AP27" s="2170"/>
      <c r="AQ27" s="2170"/>
      <c r="AR27" s="2170"/>
      <c r="AS27" s="1168"/>
      <c r="BA27" s="1080">
        <v>26</v>
      </c>
    </row>
    <row r="28" spans="1:53" ht="14.65" customHeight="1">
      <c r="Q28" s="227"/>
      <c r="R28" s="311"/>
      <c r="S28" s="2115" t="str">
        <f>IF(org=0,"Не определено",org)</f>
        <v>ООО "ЗЕНИТ ЭНЕРГО"</v>
      </c>
      <c r="T28" s="2115"/>
      <c r="U28" s="2115"/>
      <c r="V28" s="2115"/>
      <c r="W28" s="2115"/>
      <c r="X28" s="2115"/>
      <c r="Y28" s="2115"/>
      <c r="Z28" s="2115"/>
      <c r="AA28" s="2115"/>
      <c r="AB28" s="2115"/>
      <c r="AC28" s="2115"/>
      <c r="AD28" s="2115"/>
      <c r="AE28" s="2115"/>
      <c r="AF28" s="2115"/>
      <c r="AG28" s="2115"/>
      <c r="AH28" s="2115"/>
      <c r="AI28" s="2115"/>
      <c r="AJ28" s="2115"/>
      <c r="AK28" s="2115"/>
      <c r="AL28" s="2115"/>
      <c r="AM28" s="2115"/>
      <c r="AN28" s="2115"/>
      <c r="AO28" s="2115"/>
      <c r="AP28" s="2115"/>
      <c r="AQ28" s="2115"/>
      <c r="AR28" s="2115"/>
      <c r="AS28" s="1168"/>
      <c r="BA28" s="1080">
        <v>14</v>
      </c>
    </row>
    <row r="29" spans="1:53" ht="14.25" hidden="1" customHeight="1">
      <c r="Q29" s="227"/>
      <c r="R29" s="311"/>
      <c r="S29" s="1200"/>
      <c r="T29" s="298"/>
      <c r="U29" s="298"/>
      <c r="V29" s="258"/>
      <c r="W29" s="258"/>
      <c r="X29" s="258"/>
      <c r="Y29" s="258"/>
      <c r="Z29" s="258"/>
      <c r="AA29" s="258"/>
      <c r="AB29" s="258"/>
      <c r="AC29" s="258"/>
      <c r="AD29" s="258"/>
      <c r="AE29" s="258"/>
      <c r="AF29" s="258"/>
      <c r="AG29" s="258"/>
      <c r="AH29" s="258"/>
      <c r="AI29" s="258"/>
      <c r="AJ29" s="258"/>
      <c r="AK29" s="258"/>
      <c r="AL29" s="258"/>
      <c r="AM29" s="258"/>
      <c r="AN29" s="258"/>
      <c r="AO29" s="258"/>
      <c r="AP29" s="258"/>
      <c r="AQ29" s="258"/>
      <c r="AR29" s="258"/>
      <c r="AS29" s="258"/>
      <c r="AT29" s="444"/>
      <c r="BA29" s="1080">
        <v>0</v>
      </c>
    </row>
    <row r="30" spans="1:53" s="1777" customFormat="1" ht="25.5" hidden="1" customHeight="1">
      <c r="A30" s="1293"/>
      <c r="B30" s="1293"/>
      <c r="C30" s="1293"/>
      <c r="D30" s="1293"/>
      <c r="E30" s="1293"/>
      <c r="F30" s="1293"/>
      <c r="G30" s="1293"/>
      <c r="H30" s="1293"/>
      <c r="I30" s="1293"/>
      <c r="J30" s="1293"/>
      <c r="K30" s="1293"/>
      <c r="L30" s="1294"/>
      <c r="M30" s="1293"/>
      <c r="N30" s="1293"/>
      <c r="O30" s="1293"/>
      <c r="P30" s="1293"/>
      <c r="Q30" s="1293"/>
      <c r="S30" s="2178" t="s">
        <v>42</v>
      </c>
      <c r="T30" s="2178"/>
      <c r="U30" s="1297"/>
      <c r="V30" s="2179" t="str">
        <f>IF(TITLE_NAME_OR_PR_CHANGE="",IF(TITLE_NAME_OR_PR="","",TITLE_NAME_OR_PR),TITLE_NAME_OR_PR_CHANGE)</f>
        <v/>
      </c>
      <c r="W30" s="2179"/>
      <c r="X30" s="2179"/>
      <c r="Y30" s="2179"/>
      <c r="Z30" s="2179"/>
      <c r="AA30" s="262"/>
      <c r="AB30" s="2179" t="str">
        <f>IF(TITLE_NAME_OR_PR_CHANGE="",IF(TITLE_NAME_OR_PR="","",TITLE_NAME_OR_PR),TITLE_NAME_OR_PR_CHANGE)</f>
        <v/>
      </c>
      <c r="AC30" s="2179"/>
      <c r="AD30" s="2179"/>
      <c r="AE30" s="2179"/>
      <c r="AF30" s="2179"/>
      <c r="AG30" s="2179"/>
      <c r="AH30" s="2179"/>
      <c r="AI30" s="2179"/>
      <c r="AJ30" s="2179"/>
      <c r="AK30" s="2179"/>
      <c r="AL30" s="2179"/>
      <c r="AM30" s="2179"/>
      <c r="AN30" s="2179"/>
      <c r="AO30" s="2179"/>
      <c r="AP30" s="2179"/>
      <c r="AQ30" s="2179"/>
      <c r="AR30" s="2179"/>
      <c r="AS30" s="262"/>
      <c r="AT30" s="262"/>
      <c r="AU30" s="216"/>
      <c r="AV30" s="303"/>
      <c r="AW30" s="303"/>
      <c r="AX30" s="303"/>
      <c r="AY30" s="303"/>
      <c r="AZ30" s="303"/>
      <c r="BA30" s="353">
        <v>0</v>
      </c>
    </row>
    <row r="31" spans="1:53" s="1777" customFormat="1" ht="18.75" hidden="1" customHeight="1">
      <c r="A31" s="1293"/>
      <c r="B31" s="1293"/>
      <c r="C31" s="1293"/>
      <c r="D31" s="1293"/>
      <c r="E31" s="1293"/>
      <c r="F31" s="1293"/>
      <c r="G31" s="1293"/>
      <c r="H31" s="1293"/>
      <c r="I31" s="1293"/>
      <c r="J31" s="1293"/>
      <c r="K31" s="1293"/>
      <c r="L31" s="1294"/>
      <c r="M31" s="1293"/>
      <c r="N31" s="1293"/>
      <c r="O31" s="1293"/>
      <c r="P31" s="1293"/>
      <c r="Q31" s="1293"/>
      <c r="S31" s="2178" t="s">
        <v>422</v>
      </c>
      <c r="T31" s="2178"/>
      <c r="U31" s="1297"/>
      <c r="V31" s="2188" t="str">
        <f>IF(TITLE_DATE_PR_CHANGE="",IF(TITLE_DATE_PR="","",TITLE_DATE_PR),TITLE_DATE_PR_CHANGE)</f>
        <v/>
      </c>
      <c r="W31" s="2188"/>
      <c r="X31" s="2188"/>
      <c r="Y31" s="2188"/>
      <c r="Z31" s="2188"/>
      <c r="AA31" s="262"/>
      <c r="AB31" s="2188" t="str">
        <f>IF(TITLE_DATE_PR_CHANGE="",IF(TITLE_DATE_PR="","",TITLE_DATE_PR),TITLE_DATE_PR_CHANGE)</f>
        <v/>
      </c>
      <c r="AC31" s="2188"/>
      <c r="AD31" s="2188"/>
      <c r="AE31" s="2188"/>
      <c r="AF31" s="2188"/>
      <c r="AG31" s="2188"/>
      <c r="AH31" s="2188"/>
      <c r="AI31" s="2188"/>
      <c r="AJ31" s="2188"/>
      <c r="AK31" s="2188"/>
      <c r="AL31" s="2188"/>
      <c r="AM31" s="2188"/>
      <c r="AN31" s="2188"/>
      <c r="AO31" s="2188"/>
      <c r="AP31" s="2188"/>
      <c r="AQ31" s="2188"/>
      <c r="AR31" s="2188"/>
      <c r="AS31" s="262"/>
      <c r="AT31" s="262"/>
      <c r="AU31" s="216"/>
      <c r="AV31" s="303"/>
      <c r="AW31" s="303"/>
      <c r="AX31" s="303"/>
      <c r="AY31" s="303"/>
      <c r="AZ31" s="303"/>
      <c r="BA31" s="353">
        <v>0</v>
      </c>
    </row>
    <row r="32" spans="1:53" s="1777" customFormat="1" ht="18.75" hidden="1" customHeight="1">
      <c r="A32" s="1293"/>
      <c r="B32" s="1293"/>
      <c r="C32" s="1293"/>
      <c r="D32" s="1293"/>
      <c r="E32" s="1293"/>
      <c r="F32" s="1293"/>
      <c r="G32" s="1293"/>
      <c r="H32" s="1293"/>
      <c r="I32" s="1293"/>
      <c r="J32" s="1293"/>
      <c r="K32" s="1293"/>
      <c r="L32" s="1294"/>
      <c r="M32" s="1293"/>
      <c r="N32" s="1293"/>
      <c r="O32" s="1293"/>
      <c r="P32" s="1293"/>
      <c r="Q32" s="1293"/>
      <c r="S32" s="2178" t="s">
        <v>423</v>
      </c>
      <c r="T32" s="2178"/>
      <c r="U32" s="1297"/>
      <c r="V32" s="2179" t="str">
        <f>IF(TITLE_NUMBER_PR_CHANGE="",IF(TITLE_NUMBER_PR="","",TITLE_NUMBER_PR),TITLE_NUMBER_PR_CHANGE)</f>
        <v/>
      </c>
      <c r="W32" s="2179"/>
      <c r="X32" s="2179"/>
      <c r="Y32" s="2179"/>
      <c r="Z32" s="2179"/>
      <c r="AA32" s="262"/>
      <c r="AB32" s="2179" t="str">
        <f>IF(TITLE_NUMBER_PR_CHANGE="",IF(TITLE_NUMBER_PR="","",TITLE_NUMBER_PR),TITLE_NUMBER_PR_CHANGE)</f>
        <v/>
      </c>
      <c r="AC32" s="2179"/>
      <c r="AD32" s="2179"/>
      <c r="AE32" s="2179"/>
      <c r="AF32" s="2179"/>
      <c r="AG32" s="2179"/>
      <c r="AH32" s="2179"/>
      <c r="AI32" s="2179"/>
      <c r="AJ32" s="2179"/>
      <c r="AK32" s="2179"/>
      <c r="AL32" s="2179"/>
      <c r="AM32" s="2179"/>
      <c r="AN32" s="2179"/>
      <c r="AO32" s="2179"/>
      <c r="AP32" s="2179"/>
      <c r="AQ32" s="2179"/>
      <c r="AR32" s="2179"/>
      <c r="AS32" s="262"/>
      <c r="AT32" s="262"/>
      <c r="AU32" s="216"/>
      <c r="AV32" s="303"/>
      <c r="AW32" s="303"/>
      <c r="AX32" s="303"/>
      <c r="AY32" s="303"/>
      <c r="AZ32" s="303"/>
      <c r="BA32" s="353">
        <v>0</v>
      </c>
    </row>
    <row r="33" spans="1:53" s="1777" customFormat="1" ht="18.75" hidden="1" customHeight="1">
      <c r="A33" s="1293"/>
      <c r="B33" s="1293"/>
      <c r="C33" s="1293"/>
      <c r="D33" s="1293"/>
      <c r="E33" s="1293"/>
      <c r="F33" s="1293"/>
      <c r="G33" s="1293"/>
      <c r="H33" s="1293"/>
      <c r="I33" s="1293"/>
      <c r="J33" s="1293"/>
      <c r="K33" s="1293"/>
      <c r="L33" s="1294"/>
      <c r="M33" s="1293"/>
      <c r="N33" s="1293"/>
      <c r="O33" s="1293"/>
      <c r="P33" s="1293"/>
      <c r="Q33" s="1293"/>
      <c r="S33" s="2178" t="s">
        <v>43</v>
      </c>
      <c r="T33" s="2178"/>
      <c r="U33" s="1297"/>
      <c r="V33" s="2179" t="str">
        <f>IF(TITLE_IST_PUB_CHANGE="",IF(TITLE_IST_PUB="","",TITLE_IST_PUB),TITLE_IST_PUB_CHANGE)</f>
        <v/>
      </c>
      <c r="W33" s="2179"/>
      <c r="X33" s="2179"/>
      <c r="Y33" s="2179"/>
      <c r="Z33" s="2179"/>
      <c r="AA33" s="262"/>
      <c r="AB33" s="2179" t="str">
        <f>IF(TITLE_IST_PUB_CHANGE="",IF(TITLE_IST_PUB="","",TITLE_IST_PUB),TITLE_IST_PUB_CHANGE)</f>
        <v/>
      </c>
      <c r="AC33" s="2179"/>
      <c r="AD33" s="2179"/>
      <c r="AE33" s="2179"/>
      <c r="AF33" s="2179"/>
      <c r="AG33" s="2179"/>
      <c r="AH33" s="2179"/>
      <c r="AI33" s="2179"/>
      <c r="AJ33" s="2179"/>
      <c r="AK33" s="2179"/>
      <c r="AL33" s="2179"/>
      <c r="AM33" s="2179"/>
      <c r="AN33" s="2179"/>
      <c r="AO33" s="2179"/>
      <c r="AP33" s="2179"/>
      <c r="AQ33" s="2179"/>
      <c r="AR33" s="2179"/>
      <c r="AS33" s="262"/>
      <c r="AT33" s="262"/>
      <c r="AU33" s="216"/>
      <c r="AV33" s="303"/>
      <c r="AW33" s="303"/>
      <c r="AX33" s="303"/>
      <c r="AY33" s="303"/>
      <c r="AZ33" s="303"/>
      <c r="BA33" s="353">
        <v>0</v>
      </c>
    </row>
    <row r="34" spans="1:53" ht="14.25" hidden="1" customHeight="1">
      <c r="Q34" s="227"/>
      <c r="R34" s="311"/>
      <c r="S34" s="1200"/>
      <c r="T34" s="298"/>
      <c r="U34" s="298"/>
      <c r="V34" s="258"/>
      <c r="W34" s="258"/>
      <c r="X34" s="258"/>
      <c r="Y34" s="258"/>
      <c r="Z34" s="258"/>
      <c r="AA34" s="258"/>
      <c r="AB34" s="258"/>
      <c r="AC34" s="258"/>
      <c r="AD34" s="258"/>
      <c r="AE34" s="258"/>
      <c r="AF34" s="258"/>
      <c r="AG34" s="258"/>
      <c r="AH34" s="258"/>
      <c r="AI34" s="258"/>
      <c r="AJ34" s="258"/>
      <c r="AK34" s="258"/>
      <c r="AL34" s="258"/>
      <c r="AM34" s="258"/>
      <c r="AN34" s="258"/>
      <c r="AO34" s="258"/>
      <c r="AP34" s="258"/>
      <c r="AQ34" s="258"/>
      <c r="AR34" s="258"/>
      <c r="AS34" s="258"/>
      <c r="AT34" s="444"/>
      <c r="BA34" s="1080">
        <v>0</v>
      </c>
    </row>
    <row r="35" spans="1:53" s="1777" customFormat="1" ht="18.75" hidden="1" customHeight="1">
      <c r="A35" s="1293"/>
      <c r="B35" s="1293"/>
      <c r="C35" s="1293"/>
      <c r="D35" s="1293"/>
      <c r="E35" s="1293"/>
      <c r="F35" s="1293"/>
      <c r="G35" s="1293"/>
      <c r="H35" s="1293"/>
      <c r="I35" s="1293"/>
      <c r="J35" s="1293"/>
      <c r="K35" s="1293"/>
      <c r="L35" s="1294"/>
      <c r="M35" s="1293"/>
      <c r="N35" s="1293"/>
      <c r="O35" s="1293"/>
      <c r="P35" s="1293"/>
      <c r="Q35" s="1293"/>
      <c r="S35" s="2178" t="s">
        <v>422</v>
      </c>
      <c r="T35" s="2178"/>
      <c r="U35" s="1297"/>
      <c r="V35" s="2188" t="str">
        <f>IF(TITLE_DATE_PR_CHANGE="",IF(TITLE_DATE_PR="","",TITLE_DATE_PR),TITLE_DATE_PR_CHANGE)</f>
        <v/>
      </c>
      <c r="W35" s="2188"/>
      <c r="X35" s="2188"/>
      <c r="Y35" s="2188"/>
      <c r="Z35" s="2188"/>
      <c r="AA35" s="262"/>
      <c r="AB35" s="2188" t="str">
        <f>IF(TITLE_DATE_PR_CHANGE="",IF(TITLE_DATE_PR="","",TITLE_DATE_PR),TITLE_DATE_PR_CHANGE)</f>
        <v/>
      </c>
      <c r="AC35" s="2188"/>
      <c r="AD35" s="2188"/>
      <c r="AE35" s="2188"/>
      <c r="AF35" s="2188"/>
      <c r="AG35" s="2188"/>
      <c r="AH35" s="2188"/>
      <c r="AI35" s="2188"/>
      <c r="AJ35" s="2188"/>
      <c r="AK35" s="2188"/>
      <c r="AL35" s="2188"/>
      <c r="AM35" s="2188"/>
      <c r="AN35" s="2188"/>
      <c r="AO35" s="2188"/>
      <c r="AP35" s="2188"/>
      <c r="AQ35" s="2188"/>
      <c r="AR35" s="2188"/>
      <c r="AS35" s="262"/>
      <c r="AT35" s="262"/>
      <c r="AU35" s="216"/>
      <c r="AV35" s="303"/>
      <c r="AW35" s="303"/>
      <c r="AX35" s="303"/>
      <c r="AY35" s="303"/>
      <c r="AZ35" s="303"/>
      <c r="BA35" s="353">
        <v>0</v>
      </c>
    </row>
    <row r="36" spans="1:53" s="1777" customFormat="1" ht="18" hidden="1" customHeight="1">
      <c r="A36" s="1293"/>
      <c r="B36" s="1293"/>
      <c r="C36" s="1293"/>
      <c r="D36" s="1293"/>
      <c r="E36" s="1293"/>
      <c r="F36" s="1293"/>
      <c r="G36" s="1293"/>
      <c r="H36" s="1293"/>
      <c r="I36" s="1293"/>
      <c r="J36" s="1293"/>
      <c r="K36" s="1293"/>
      <c r="L36" s="1294"/>
      <c r="M36" s="1293"/>
      <c r="N36" s="1293"/>
      <c r="O36" s="1293"/>
      <c r="P36" s="1293"/>
      <c r="Q36" s="1293"/>
      <c r="S36" s="2178" t="s">
        <v>423</v>
      </c>
      <c r="T36" s="2178"/>
      <c r="U36" s="1297"/>
      <c r="V36" s="2179" t="str">
        <f>IF(TITLE_NUMBER_PR_CHANGE="",IF(TITLE_NUMBER_PR="","",TITLE_NUMBER_PR),TITLE_NUMBER_PR_CHANGE)</f>
        <v/>
      </c>
      <c r="W36" s="2179"/>
      <c r="X36" s="2179"/>
      <c r="Y36" s="2179"/>
      <c r="Z36" s="2179"/>
      <c r="AA36" s="262"/>
      <c r="AB36" s="2179" t="str">
        <f>IF(TITLE_NUMBER_PR_CHANGE="",IF(TITLE_NUMBER_PR="","",TITLE_NUMBER_PR),TITLE_NUMBER_PR_CHANGE)</f>
        <v/>
      </c>
      <c r="AC36" s="2179"/>
      <c r="AD36" s="2179"/>
      <c r="AE36" s="2179"/>
      <c r="AF36" s="2179"/>
      <c r="AG36" s="2179"/>
      <c r="AH36" s="2179"/>
      <c r="AI36" s="2179"/>
      <c r="AJ36" s="2179"/>
      <c r="AK36" s="2179"/>
      <c r="AL36" s="2179"/>
      <c r="AM36" s="2179"/>
      <c r="AN36" s="2179"/>
      <c r="AO36" s="2179"/>
      <c r="AP36" s="2179"/>
      <c r="AQ36" s="2179"/>
      <c r="AR36" s="2179"/>
      <c r="AS36" s="262"/>
      <c r="AT36" s="262"/>
      <c r="AU36" s="216"/>
      <c r="AV36" s="303"/>
      <c r="AW36" s="303"/>
      <c r="AX36" s="303"/>
      <c r="AY36" s="303"/>
      <c r="AZ36" s="303"/>
      <c r="BA36" s="353">
        <v>0</v>
      </c>
    </row>
    <row r="37" spans="1:53" s="1777" customFormat="1" ht="1.1499999999999999" customHeight="1">
      <c r="A37" s="1293"/>
      <c r="B37" s="1293"/>
      <c r="C37" s="1293"/>
      <c r="D37" s="1293"/>
      <c r="E37" s="1293"/>
      <c r="F37" s="1293"/>
      <c r="G37" s="1293"/>
      <c r="H37" s="1293"/>
      <c r="I37" s="1293"/>
      <c r="J37" s="1293"/>
      <c r="K37" s="1293"/>
      <c r="L37" s="1294"/>
      <c r="M37" s="1293"/>
      <c r="N37" s="1293"/>
      <c r="O37" s="1293"/>
      <c r="P37" s="1293"/>
      <c r="Q37" s="1293"/>
      <c r="S37" s="259"/>
      <c r="T37" s="259"/>
      <c r="U37" s="1265"/>
      <c r="V37" s="262"/>
      <c r="W37" s="262"/>
      <c r="X37" s="262"/>
      <c r="Y37" s="262"/>
      <c r="Z37" s="262"/>
      <c r="AA37" s="214" t="s">
        <v>426</v>
      </c>
      <c r="AB37" s="262"/>
      <c r="AC37" s="262"/>
      <c r="AD37" s="262"/>
      <c r="AE37" s="262"/>
      <c r="AF37" s="262"/>
      <c r="AG37" s="262"/>
      <c r="AH37" s="262"/>
      <c r="AI37" s="262"/>
      <c r="AJ37" s="262"/>
      <c r="AK37" s="262"/>
      <c r="AL37" s="262"/>
      <c r="AM37" s="262"/>
      <c r="AN37" s="262"/>
      <c r="AO37" s="262"/>
      <c r="AP37" s="262"/>
      <c r="AQ37" s="262"/>
      <c r="AR37" s="262"/>
      <c r="AS37" s="214" t="s">
        <v>426</v>
      </c>
      <c r="AV37" s="303"/>
      <c r="AW37" s="303"/>
      <c r="AX37" s="303"/>
      <c r="AY37" s="303"/>
      <c r="AZ37" s="303"/>
      <c r="BA37" s="353">
        <v>1</v>
      </c>
    </row>
    <row r="38" spans="1:53" ht="14.65" customHeight="1">
      <c r="Q38" s="227"/>
      <c r="R38" s="311"/>
      <c r="S38" s="1200"/>
      <c r="T38" s="298"/>
      <c r="U38" s="1169"/>
      <c r="V38" s="2180"/>
      <c r="W38" s="2180"/>
      <c r="X38" s="2180"/>
      <c r="Y38" s="2180"/>
      <c r="Z38" s="2180"/>
      <c r="AA38" s="2180"/>
      <c r="AB38" s="2180"/>
      <c r="AC38" s="2180"/>
      <c r="AD38" s="2180"/>
      <c r="AE38" s="2180"/>
      <c r="AF38" s="2180"/>
      <c r="AG38" s="2180"/>
      <c r="AH38" s="2180"/>
      <c r="AI38" s="2180"/>
      <c r="AJ38" s="2180"/>
      <c r="AK38" s="2180"/>
      <c r="AL38" s="2180"/>
      <c r="AM38" s="2180"/>
      <c r="AN38" s="2180"/>
      <c r="AO38" s="2180"/>
      <c r="AP38" s="2180"/>
      <c r="AQ38" s="2180"/>
      <c r="AR38" s="2180"/>
      <c r="AS38" s="2180"/>
      <c r="BA38" s="1080">
        <v>14</v>
      </c>
    </row>
    <row r="39" spans="1:53" ht="14.65" customHeight="1">
      <c r="Q39" s="227"/>
      <c r="R39" s="311"/>
      <c r="S39" s="2066" t="s">
        <v>299</v>
      </c>
      <c r="T39" s="2066"/>
      <c r="U39" s="2066"/>
      <c r="V39" s="2066"/>
      <c r="W39" s="2066"/>
      <c r="X39" s="2066"/>
      <c r="Y39" s="2066"/>
      <c r="Z39" s="2066"/>
      <c r="AA39" s="2066"/>
      <c r="AB39" s="2114"/>
      <c r="AC39" s="2114"/>
      <c r="AD39" s="2114"/>
      <c r="AE39" s="2114"/>
      <c r="AF39" s="2066"/>
      <c r="AG39" s="2066"/>
      <c r="AH39" s="2066"/>
      <c r="AI39" s="2066"/>
      <c r="AJ39" s="2066"/>
      <c r="AK39" s="2066"/>
      <c r="AL39" s="2066"/>
      <c r="AM39" s="2066"/>
      <c r="AN39" s="2066"/>
      <c r="AO39" s="2066"/>
      <c r="AP39" s="2066"/>
      <c r="AQ39" s="2066"/>
      <c r="AR39" s="2066"/>
      <c r="AS39" s="2066"/>
      <c r="AT39" s="2066"/>
      <c r="AU39" s="2066" t="s">
        <v>300</v>
      </c>
      <c r="BA39" s="1080">
        <v>14</v>
      </c>
    </row>
    <row r="40" spans="1:53" ht="14.65" customHeight="1">
      <c r="Q40" s="227"/>
      <c r="R40" s="311"/>
      <c r="S40" s="2194" t="s">
        <v>88</v>
      </c>
      <c r="T40" s="2145" t="s">
        <v>472</v>
      </c>
      <c r="U40" s="237"/>
      <c r="V40" s="2196"/>
      <c r="W40" s="2196"/>
      <c r="X40" s="2196"/>
      <c r="Y40" s="2196"/>
      <c r="Z40" s="2197"/>
      <c r="AA40" s="2239" t="s">
        <v>429</v>
      </c>
      <c r="AB40" s="2231" t="s">
        <v>473</v>
      </c>
      <c r="AC40" s="2212"/>
      <c r="AD40" s="2212"/>
      <c r="AE40" s="2232"/>
      <c r="AF40" s="2212" t="s">
        <v>474</v>
      </c>
      <c r="AG40" s="2212"/>
      <c r="AH40" s="2212"/>
      <c r="AI40" s="2232"/>
      <c r="AJ40" s="2231" t="s">
        <v>475</v>
      </c>
      <c r="AK40" s="2212"/>
      <c r="AL40" s="2212"/>
      <c r="AM40" s="2232"/>
      <c r="AN40" s="2231" t="s">
        <v>428</v>
      </c>
      <c r="AO40" s="2212"/>
      <c r="AP40" s="2196"/>
      <c r="AQ40" s="2196"/>
      <c r="AR40" s="2197"/>
      <c r="AS40" s="2198" t="s">
        <v>429</v>
      </c>
      <c r="AT40" s="2201" t="s">
        <v>431</v>
      </c>
      <c r="AU40" s="2066"/>
      <c r="BA40" s="1080">
        <v>14</v>
      </c>
    </row>
    <row r="41" spans="1:53" ht="35.65" customHeight="1">
      <c r="Q41" s="227"/>
      <c r="R41" s="311"/>
      <c r="S41" s="2194"/>
      <c r="T41" s="2145"/>
      <c r="U41" s="959"/>
      <c r="V41" s="2066" t="s">
        <v>476</v>
      </c>
      <c r="W41" s="2066"/>
      <c r="X41" s="2131" t="s">
        <v>435</v>
      </c>
      <c r="Y41" s="2226"/>
      <c r="Z41" s="2132"/>
      <c r="AA41" s="2240"/>
      <c r="AB41" s="2233"/>
      <c r="AC41" s="2234"/>
      <c r="AD41" s="2234"/>
      <c r="AE41" s="2235"/>
      <c r="AF41" s="2234"/>
      <c r="AG41" s="2234"/>
      <c r="AH41" s="2234"/>
      <c r="AI41" s="2235"/>
      <c r="AJ41" s="2233"/>
      <c r="AK41" s="2234"/>
      <c r="AL41" s="2234"/>
      <c r="AM41" s="2234"/>
      <c r="AN41" s="2066" t="s">
        <v>476</v>
      </c>
      <c r="AO41" s="2066"/>
      <c r="AP41" s="2226" t="s">
        <v>435</v>
      </c>
      <c r="AQ41" s="2226"/>
      <c r="AR41" s="2132"/>
      <c r="AS41" s="2199"/>
      <c r="AT41" s="2202"/>
      <c r="AU41" s="2066"/>
      <c r="BA41" s="1080">
        <v>34</v>
      </c>
    </row>
    <row r="42" spans="1:53" ht="14.65" customHeight="1">
      <c r="Q42" s="227"/>
      <c r="R42" s="311"/>
      <c r="S42" s="2194"/>
      <c r="T42" s="2145"/>
      <c r="U42" s="959"/>
      <c r="V42" s="2243" t="str">
        <f>IF($AN$42&lt;&gt;"",$AN$42,"")</f>
        <v/>
      </c>
      <c r="W42" s="2243"/>
      <c r="X42" s="2136"/>
      <c r="Y42" s="2227"/>
      <c r="Z42" s="2137"/>
      <c r="AA42" s="2240"/>
      <c r="AB42" s="2233"/>
      <c r="AC42" s="2234"/>
      <c r="AD42" s="2234"/>
      <c r="AE42" s="2235"/>
      <c r="AF42" s="2234"/>
      <c r="AG42" s="2234"/>
      <c r="AH42" s="2234"/>
      <c r="AI42" s="2235"/>
      <c r="AJ42" s="2233"/>
      <c r="AK42" s="2234"/>
      <c r="AL42" s="2234"/>
      <c r="AM42" s="2234"/>
      <c r="AN42" s="2242"/>
      <c r="AO42" s="2242"/>
      <c r="AP42" s="2227"/>
      <c r="AQ42" s="2227"/>
      <c r="AR42" s="2137"/>
      <c r="AS42" s="2199"/>
      <c r="AT42" s="2202"/>
      <c r="AU42" s="2066"/>
      <c r="BA42" s="1080">
        <v>14</v>
      </c>
    </row>
    <row r="43" spans="1:53" ht="14.65" customHeight="1">
      <c r="A43" s="1295"/>
      <c r="B43" s="1295" t="s">
        <v>136</v>
      </c>
      <c r="C43" s="1295" t="s">
        <v>137</v>
      </c>
      <c r="D43" s="1295" t="s">
        <v>138</v>
      </c>
      <c r="E43" s="1289" t="s">
        <v>436</v>
      </c>
      <c r="F43" s="1289" t="s">
        <v>437</v>
      </c>
      <c r="G43" s="1289" t="s">
        <v>438</v>
      </c>
      <c r="H43" s="1289" t="s">
        <v>439</v>
      </c>
      <c r="I43" s="1289" t="s">
        <v>440</v>
      </c>
      <c r="J43" s="1289" t="s">
        <v>441</v>
      </c>
      <c r="K43" s="1289" t="s">
        <v>442</v>
      </c>
      <c r="L43" s="1289" t="s">
        <v>417</v>
      </c>
      <c r="Q43" s="227"/>
      <c r="R43" s="311"/>
      <c r="S43" s="2194"/>
      <c r="T43" s="2145"/>
      <c r="U43" s="238"/>
      <c r="V43" s="1255" t="s">
        <v>477</v>
      </c>
      <c r="W43" s="1255" t="s">
        <v>478</v>
      </c>
      <c r="X43" s="1263" t="s">
        <v>445</v>
      </c>
      <c r="Y43" s="2154" t="s">
        <v>446</v>
      </c>
      <c r="Z43" s="2156"/>
      <c r="AA43" s="2241"/>
      <c r="AB43" s="2236"/>
      <c r="AC43" s="2237"/>
      <c r="AD43" s="2237"/>
      <c r="AE43" s="2238"/>
      <c r="AF43" s="2237"/>
      <c r="AG43" s="2237"/>
      <c r="AH43" s="2237"/>
      <c r="AI43" s="2238"/>
      <c r="AJ43" s="2236"/>
      <c r="AK43" s="2237"/>
      <c r="AL43" s="2237"/>
      <c r="AM43" s="2238"/>
      <c r="AN43" s="1784" t="s">
        <v>477</v>
      </c>
      <c r="AO43" s="1784" t="s">
        <v>478</v>
      </c>
      <c r="AP43" s="1263" t="s">
        <v>445</v>
      </c>
      <c r="AQ43" s="2154" t="s">
        <v>446</v>
      </c>
      <c r="AR43" s="2156"/>
      <c r="AS43" s="2200"/>
      <c r="AT43" s="2203"/>
      <c r="AU43" s="2066"/>
      <c r="BA43" s="1080">
        <v>14</v>
      </c>
    </row>
    <row r="44" spans="1:53" s="1566" customFormat="1" ht="11.25" hidden="1" customHeight="1">
      <c r="A44" s="1295"/>
      <c r="B44" s="1295"/>
      <c r="C44" s="1295"/>
      <c r="D44" s="1295"/>
      <c r="E44" s="1295"/>
      <c r="F44" s="1295"/>
      <c r="G44" s="1295"/>
      <c r="H44" s="1295"/>
      <c r="I44" s="1295"/>
      <c r="J44" s="1295"/>
      <c r="K44" s="1295"/>
      <c r="L44" s="1289"/>
      <c r="M44" s="1287"/>
      <c r="N44" s="1287"/>
      <c r="O44" s="1287"/>
      <c r="P44" s="445"/>
      <c r="Q44" s="1179"/>
      <c r="R44" s="1179">
        <v>1</v>
      </c>
      <c r="S44" s="1202" t="s">
        <v>109</v>
      </c>
      <c r="T44" s="1180" t="s">
        <v>110</v>
      </c>
      <c r="U44" s="1170" t="str">
        <f ca="1">OFFSET(U44,0,-1)</f>
        <v>2</v>
      </c>
      <c r="V44" s="1260">
        <f ca="1">OFFSET(V44,0,-1)+1</f>
        <v>3</v>
      </c>
      <c r="W44" s="1260">
        <f ca="1">OFFSET(W44,0,-1)+1</f>
        <v>4</v>
      </c>
      <c r="X44" s="1260">
        <f ca="1">OFFSET(X44,0,-1)+1</f>
        <v>5</v>
      </c>
      <c r="Y44" s="2193">
        <f ca="1">OFFSET(Y44,0,-1)+1</f>
        <v>6</v>
      </c>
      <c r="Z44" s="2193"/>
      <c r="AA44" s="1260">
        <f ca="1">OFFSET(AA44,0,-2)+1</f>
        <v>7</v>
      </c>
      <c r="AB44" s="1266">
        <f ca="1">OFFSET(AB44,0,-1)+1</f>
        <v>8</v>
      </c>
      <c r="AC44" s="1266"/>
      <c r="AD44" s="1266"/>
      <c r="AE44" s="1266"/>
      <c r="AF44" s="1260"/>
      <c r="AG44" s="1260"/>
      <c r="AH44" s="1260"/>
      <c r="AI44" s="1260"/>
      <c r="AJ44" s="1260"/>
      <c r="AK44" s="1260"/>
      <c r="AL44" s="1260"/>
      <c r="AM44" s="1260"/>
      <c r="AN44" s="1260">
        <f ca="1">OFFSET(AN44,0,-1)+1</f>
        <v>1</v>
      </c>
      <c r="AO44" s="1260">
        <f ca="1">OFFSET(AO44,0,-1)+1</f>
        <v>2</v>
      </c>
      <c r="AP44" s="1260">
        <f ca="1">OFFSET(AP44,0,-1)+1</f>
        <v>3</v>
      </c>
      <c r="AQ44" s="2193">
        <f ca="1">OFFSET(AQ44,0,-1)+1</f>
        <v>4</v>
      </c>
      <c r="AR44" s="2193"/>
      <c r="AS44" s="1260">
        <f ca="1">OFFSET(AS44,0,-2)+1</f>
        <v>5</v>
      </c>
      <c r="AT44" s="1170">
        <f ca="1">OFFSET(AT44,0,-1)</f>
        <v>5</v>
      </c>
      <c r="AU44" s="1260">
        <f ca="1">OFFSET(AU44,0,-1)+1</f>
        <v>6</v>
      </c>
      <c r="AV44" s="446"/>
      <c r="AW44" s="446"/>
      <c r="AX44" s="446"/>
      <c r="AY44" s="446"/>
      <c r="AZ44" s="446"/>
      <c r="BA44" s="431">
        <v>0</v>
      </c>
    </row>
    <row r="45" spans="1:53" ht="107.25" customHeight="1">
      <c r="A45" s="1288" t="s">
        <v>199</v>
      </c>
      <c r="B45" s="1288"/>
      <c r="C45" s="1288"/>
      <c r="D45" s="1288"/>
      <c r="E45" s="2186">
        <v>1</v>
      </c>
      <c r="F45" s="1288"/>
      <c r="G45" s="1288"/>
      <c r="H45" s="1288"/>
      <c r="I45" s="1288"/>
      <c r="J45" s="1288"/>
      <c r="K45" s="1288"/>
      <c r="L45" s="1289"/>
      <c r="M45" s="1290"/>
      <c r="N45" s="1290"/>
      <c r="O45" s="1290"/>
      <c r="P45" s="1334"/>
      <c r="Q45" s="802"/>
      <c r="R45" s="290"/>
      <c r="S45" s="1261">
        <f>INDEX(PT_DIFFERENTIATION_NUM_NTAR,MATCH(A45,PT_DIFFERENTIATION_NTAR_ID,0))</f>
        <v>0</v>
      </c>
      <c r="T45" s="234" t="s">
        <v>124</v>
      </c>
      <c r="U45" s="236"/>
      <c r="V45" s="2173"/>
      <c r="W45" s="2173"/>
      <c r="X45" s="2173"/>
      <c r="Y45" s="2173"/>
      <c r="Z45" s="2173"/>
      <c r="AA45" s="2174"/>
      <c r="AB45" s="2172" t="str">
        <f>INDEX(PT_DIFFERENTIATION_NTAR,MATCH(A45,PT_DIFFERENTIATION_NTAR_ID,0))</f>
        <v/>
      </c>
      <c r="AC45" s="2173"/>
      <c r="AD45" s="2173"/>
      <c r="AE45" s="2173"/>
      <c r="AF45" s="2173"/>
      <c r="AG45" s="2173"/>
      <c r="AH45" s="2173"/>
      <c r="AI45" s="2173"/>
      <c r="AJ45" s="2173"/>
      <c r="AK45" s="2173"/>
      <c r="AL45" s="2173"/>
      <c r="AM45" s="2173"/>
      <c r="AN45" s="2173"/>
      <c r="AO45" s="2173"/>
      <c r="AP45" s="2173"/>
      <c r="AQ45" s="2173"/>
      <c r="AR45" s="2173"/>
      <c r="AS45" s="2173"/>
      <c r="AT45" s="2174"/>
      <c r="AU45" s="1183" t="str">
        <f>IF(TEMPLATE_GROUP="P","По данной форме раскрывается в том числе информация о тарифах на товары (услуги) в сфере теплоснабжения в случаях, указанных в частях 12 1 - 12 4 статьи 10 Федерального закона от 27 июля 2010 г."&amp;" N 190-ФЗ ""О теплоснабжении"", теплоснабжающей организации, теплосетевой организации в ценовых зонах теплоснабжения. "&amp;"Указывается наименование тарифа в случае утверждения нескольких тарифов. В случае наличия нескольких тарифов информация по ним указывается в отдельных строках.
"&amp;"Указываются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об установлении "&amp;"цены (тарифа), источник официального опубликования решения об установлении цены (тарифа) в сфере теплоснабжения.","По данной форме раскрывается в том числе информация о плате за подключение (технологическое присоединение) к системе теплоснабжения, применяемой в случае, установленном частью 9 статьи"&amp;" 23 4 Федерального закона от 27 июля 2010 г. N 190-ФЗ ""О теплоснабжении"".
"&amp;"По данной форме раскрывается в том числе информация о тарифах на товары (услуги) в сфере теплоснабжения в случаях, указанных частях 12 1 - 12 4 статьи 10 от 27 июля 2010 г. N 190-ФЗ"&amp;" Федерального закона ""О теплоснабжении"", теплоснабжающей организации, теплосетевой организации в ценовых зонах теплоснабжения.
"&amp;"В отношении платы за подключение в расчете на единицу мощности тепловой энергии величина платы указывается в тыс.руб./Гкал/ч; в отношении платы за подключение в индивидуальном"&amp;" порядке - в тыс.руб.; в отношении льготного размера платы за подключение - в руб.
"&amp;"Указывается наименование тарифа в случае расчета нескольких тарифов. 
"&amp;"В случае наличия нескольких тарифов информация по ним указывается в отдельных строках.")</f>
        <v>По данной форме раскрывается в том числе информация о плате за подключение (технологическое присоединение) к системе теплоснабжения, применяемой в случае, установленном частью 9 статьи 23 4 Федерального закона от 27 июля 2010 г. N 190-ФЗ "О теплоснабжении".
По данной форме раскрывается в том числе информация о тарифах на товары (услуги) в сфере теплоснабжения в случаях, указанных частях 12 1 - 12 4 статьи 10 от 27 июля 2010 г. N 190-ФЗ Федерального закона "О теплоснабжении", теплоснабжающей организации, теплосетевой организации в ценовых зонах теплоснабжения.
В отношении платы за подключение в расчете на единицу мощности тепловой энергии величина платы указывается в тыс.руб./Гкал/ч; в отношении платы за подключение в индивидуальном порядке - в тыс.руб.; в отношении льготного размера платы за подключение - в руб.
Указывается наименование тарифа в случае расчета нескольких тарифов. 
В случае наличия нескольких тарифов информация по ним указывается в отдельных строках.</v>
      </c>
      <c r="AW45" s="435"/>
      <c r="AX45" s="435" t="str">
        <f t="shared" ref="AX45:AX51" si="2">IF(T45="","",T45)</f>
        <v>Наименование тарифа</v>
      </c>
      <c r="AY45" s="435"/>
      <c r="AZ45" s="435"/>
      <c r="BA45" s="1080">
        <v>102</v>
      </c>
    </row>
    <row r="46" spans="1:53" ht="21.95" customHeight="1">
      <c r="A46" s="1288" t="s">
        <v>199</v>
      </c>
      <c r="B46" s="1288" t="s">
        <v>200</v>
      </c>
      <c r="C46" s="1288"/>
      <c r="D46" s="1288"/>
      <c r="E46" s="2187"/>
      <c r="F46" s="2186">
        <v>1</v>
      </c>
      <c r="G46" s="1288"/>
      <c r="H46" s="1288"/>
      <c r="I46" s="1288"/>
      <c r="J46" s="1288"/>
      <c r="K46" s="1288"/>
      <c r="L46" s="1289"/>
      <c r="M46" s="1290"/>
      <c r="N46" s="1290"/>
      <c r="O46" s="1290"/>
      <c r="P46" s="1335"/>
      <c r="Q46" s="1336"/>
      <c r="R46" s="288"/>
      <c r="S46" s="1261" t="str">
        <f>INDEX(PT_DIFFERENTIATION_NUM_TER,MATCH(B46,PT_DIFFERENTIATION_TER_ID,0))</f>
        <v>.</v>
      </c>
      <c r="T46" s="244" t="s">
        <v>396</v>
      </c>
      <c r="U46" s="236"/>
      <c r="V46" s="2173"/>
      <c r="W46" s="2173"/>
      <c r="X46" s="2173"/>
      <c r="Y46" s="2173"/>
      <c r="Z46" s="2173"/>
      <c r="AA46" s="2174"/>
      <c r="AB46" s="2172" t="str">
        <f>INDEX(PT_DIFFERENTIATION_TER,MATCH(B46,PT_DIFFERENTIATION_TER_ID,0))</f>
        <v/>
      </c>
      <c r="AC46" s="2173"/>
      <c r="AD46" s="2173"/>
      <c r="AE46" s="2173"/>
      <c r="AF46" s="2173"/>
      <c r="AG46" s="2173"/>
      <c r="AH46" s="2173"/>
      <c r="AI46" s="2173"/>
      <c r="AJ46" s="2173"/>
      <c r="AK46" s="2173"/>
      <c r="AL46" s="2173"/>
      <c r="AM46" s="2173"/>
      <c r="AN46" s="2173"/>
      <c r="AO46" s="2173"/>
      <c r="AP46" s="2173"/>
      <c r="AQ46" s="2173"/>
      <c r="AR46" s="2173"/>
      <c r="AS46" s="2173"/>
      <c r="AT46" s="2174"/>
      <c r="AU46" s="1183" t="s">
        <v>397</v>
      </c>
      <c r="AW46" s="435"/>
      <c r="AX46" s="435" t="str">
        <f t="shared" si="2"/>
        <v>Территория действия тарифа</v>
      </c>
      <c r="AY46" s="435"/>
      <c r="AZ46" s="435"/>
      <c r="BA46" s="1080">
        <v>21</v>
      </c>
    </row>
    <row r="47" spans="1:53" ht="24" customHeight="1">
      <c r="A47" s="1288" t="s">
        <v>199</v>
      </c>
      <c r="B47" s="1288" t="s">
        <v>200</v>
      </c>
      <c r="C47" s="1288" t="s">
        <v>201</v>
      </c>
      <c r="D47" s="1288"/>
      <c r="E47" s="2187"/>
      <c r="F47" s="2187"/>
      <c r="G47" s="2186">
        <v>1</v>
      </c>
      <c r="H47" s="1288"/>
      <c r="I47" s="1288"/>
      <c r="J47" s="1288"/>
      <c r="K47" s="1288"/>
      <c r="L47" s="1289"/>
      <c r="M47" s="1290"/>
      <c r="N47" s="1290"/>
      <c r="O47" s="1290"/>
      <c r="P47" s="1337"/>
      <c r="Q47" s="1336"/>
      <c r="R47" s="288"/>
      <c r="S47" s="1261" t="str">
        <f>INDEX(PT_DIFFERENTIATION_NUM_CS,MATCH(C47,PT_DIFFERENTIATION_CS_ID,0))</f>
        <v>..</v>
      </c>
      <c r="T47" s="245" t="s">
        <v>398</v>
      </c>
      <c r="U47" s="236"/>
      <c r="V47" s="2173"/>
      <c r="W47" s="2173"/>
      <c r="X47" s="2173"/>
      <c r="Y47" s="2173"/>
      <c r="Z47" s="2173"/>
      <c r="AA47" s="2174"/>
      <c r="AB47" s="2172" t="str">
        <f>INDEX(PT_DIFFERENTIATION_CS,MATCH(C47,PT_DIFFERENTIATION_CS_ID,0))</f>
        <v/>
      </c>
      <c r="AC47" s="2173"/>
      <c r="AD47" s="2173"/>
      <c r="AE47" s="2173"/>
      <c r="AF47" s="2173"/>
      <c r="AG47" s="2173"/>
      <c r="AH47" s="2173"/>
      <c r="AI47" s="2173"/>
      <c r="AJ47" s="2173"/>
      <c r="AK47" s="2173"/>
      <c r="AL47" s="2173"/>
      <c r="AM47" s="2173"/>
      <c r="AN47" s="2173"/>
      <c r="AO47" s="2173"/>
      <c r="AP47" s="2173"/>
      <c r="AQ47" s="2173"/>
      <c r="AR47" s="2173"/>
      <c r="AS47" s="2173"/>
      <c r="AT47" s="2174"/>
      <c r="AU47" s="1183" t="s">
        <v>399</v>
      </c>
      <c r="AW47" s="435"/>
      <c r="AX47" s="435" t="str">
        <f t="shared" si="2"/>
        <v xml:space="preserve">Наименование системы теплоснабжения </v>
      </c>
      <c r="AY47" s="435"/>
      <c r="AZ47" s="435"/>
      <c r="BA47" s="1080">
        <v>23</v>
      </c>
    </row>
    <row r="48" spans="1:53" ht="21" customHeight="1">
      <c r="A48" s="1288" t="s">
        <v>199</v>
      </c>
      <c r="B48" s="1288" t="s">
        <v>200</v>
      </c>
      <c r="C48" s="1288" t="s">
        <v>201</v>
      </c>
      <c r="D48" s="1288" t="s">
        <v>202</v>
      </c>
      <c r="E48" s="2187"/>
      <c r="F48" s="2187"/>
      <c r="G48" s="2187"/>
      <c r="H48" s="2186">
        <v>1</v>
      </c>
      <c r="I48" s="1288"/>
      <c r="J48" s="1288"/>
      <c r="K48" s="1288"/>
      <c r="L48" s="1289"/>
      <c r="M48" s="1290"/>
      <c r="N48" s="1290"/>
      <c r="O48" s="1290"/>
      <c r="P48" s="1337"/>
      <c r="Q48" s="1336"/>
      <c r="R48" s="288"/>
      <c r="S48" s="1261" t="str">
        <f>INDEX(PT_DIFFERENTIATION_NUM_IST_TE,MATCH(D48,PT_DIFFERENTIATION_IST_TE_ID,0))</f>
        <v>...</v>
      </c>
      <c r="T48" s="246" t="s">
        <v>400</v>
      </c>
      <c r="U48" s="236"/>
      <c r="V48" s="2173"/>
      <c r="W48" s="2173"/>
      <c r="X48" s="2173"/>
      <c r="Y48" s="2173"/>
      <c r="Z48" s="2173"/>
      <c r="AA48" s="2174"/>
      <c r="AB48" s="2172" t="str">
        <f>INDEX(PT_DIFFERENTIATION_IST_TE,MATCH(D48,PT_DIFFERENTIATION_IST_TE_ID,0))</f>
        <v/>
      </c>
      <c r="AC48" s="2173"/>
      <c r="AD48" s="2173"/>
      <c r="AE48" s="2173"/>
      <c r="AF48" s="2173"/>
      <c r="AG48" s="2173"/>
      <c r="AH48" s="2173"/>
      <c r="AI48" s="2173"/>
      <c r="AJ48" s="2173"/>
      <c r="AK48" s="2173"/>
      <c r="AL48" s="2173"/>
      <c r="AM48" s="2173"/>
      <c r="AN48" s="2173"/>
      <c r="AO48" s="2173"/>
      <c r="AP48" s="2173"/>
      <c r="AQ48" s="2173"/>
      <c r="AR48" s="2173"/>
      <c r="AS48" s="2173"/>
      <c r="AT48" s="2174"/>
      <c r="AU48" s="1183" t="s">
        <v>401</v>
      </c>
      <c r="AW48" s="435"/>
      <c r="AX48" s="435" t="str">
        <f t="shared" si="2"/>
        <v xml:space="preserve">Источник тепловой энергии  </v>
      </c>
      <c r="AY48" s="435"/>
      <c r="AZ48" s="435"/>
      <c r="BA48" s="1080">
        <v>20</v>
      </c>
    </row>
    <row r="49" spans="1:53" s="1567" customFormat="1" ht="1.1499999999999999" customHeight="1">
      <c r="A49" s="1268" t="s">
        <v>199</v>
      </c>
      <c r="B49" s="1268" t="s">
        <v>200</v>
      </c>
      <c r="C49" s="1268" t="s">
        <v>201</v>
      </c>
      <c r="D49" s="1268" t="s">
        <v>202</v>
      </c>
      <c r="E49" s="2187"/>
      <c r="F49" s="2187"/>
      <c r="G49" s="2187"/>
      <c r="H49" s="2187"/>
      <c r="I49" s="2184" t="str">
        <f>S48&amp;".1"</f>
        <v>....1</v>
      </c>
      <c r="J49" s="1268"/>
      <c r="K49" s="1268"/>
      <c r="L49" s="1271" t="s">
        <v>402</v>
      </c>
      <c r="M49" s="445"/>
      <c r="N49" s="445"/>
      <c r="O49" s="445"/>
      <c r="P49" s="2185">
        <v>1</v>
      </c>
      <c r="Q49" s="1256"/>
      <c r="R49" s="291"/>
      <c r="S49" s="970"/>
      <c r="T49" s="1308"/>
      <c r="U49" s="1309"/>
      <c r="V49" s="2216"/>
      <c r="W49" s="2216"/>
      <c r="X49" s="2216"/>
      <c r="Y49" s="2216"/>
      <c r="Z49" s="2216"/>
      <c r="AA49" s="2217"/>
      <c r="AB49" s="2215"/>
      <c r="AC49" s="2216"/>
      <c r="AD49" s="2216"/>
      <c r="AE49" s="2216"/>
      <c r="AF49" s="2216"/>
      <c r="AG49" s="2216"/>
      <c r="AH49" s="2216"/>
      <c r="AI49" s="2216"/>
      <c r="AJ49" s="2216"/>
      <c r="AK49" s="2216"/>
      <c r="AL49" s="2216"/>
      <c r="AM49" s="2216"/>
      <c r="AN49" s="2216"/>
      <c r="AO49" s="2216"/>
      <c r="AP49" s="2216"/>
      <c r="AQ49" s="2216"/>
      <c r="AR49" s="2216"/>
      <c r="AS49" s="2216"/>
      <c r="AT49" s="2217"/>
      <c r="AU49" s="1310"/>
      <c r="AW49" s="435"/>
      <c r="AX49" s="435" t="str">
        <f t="shared" si="2"/>
        <v/>
      </c>
      <c r="AY49" s="435"/>
      <c r="AZ49" s="435"/>
      <c r="BA49" s="446">
        <v>1</v>
      </c>
    </row>
    <row r="50" spans="1:53" s="1567" customFormat="1" ht="1.1499999999999999" customHeight="1">
      <c r="A50" s="1268" t="s">
        <v>199</v>
      </c>
      <c r="B50" s="1268" t="s">
        <v>200</v>
      </c>
      <c r="C50" s="1268" t="s">
        <v>201</v>
      </c>
      <c r="D50" s="1268" t="s">
        <v>202</v>
      </c>
      <c r="E50" s="2187"/>
      <c r="F50" s="2187"/>
      <c r="G50" s="2187"/>
      <c r="H50" s="2187"/>
      <c r="I50" s="2207"/>
      <c r="J50" s="2184" t="str">
        <f>S48&amp;".1"</f>
        <v>....1</v>
      </c>
      <c r="K50" s="1268"/>
      <c r="L50" s="1271"/>
      <c r="M50" s="445"/>
      <c r="N50" s="445"/>
      <c r="O50" s="445"/>
      <c r="P50" s="2185"/>
      <c r="Q50" s="2185">
        <v>1</v>
      </c>
      <c r="R50" s="292"/>
      <c r="S50" s="970"/>
      <c r="T50" s="1324"/>
      <c r="U50" s="1309"/>
      <c r="V50" s="2216"/>
      <c r="W50" s="2216"/>
      <c r="X50" s="2216"/>
      <c r="Y50" s="2216"/>
      <c r="Z50" s="2216"/>
      <c r="AA50" s="2217"/>
      <c r="AB50" s="2215"/>
      <c r="AC50" s="2216"/>
      <c r="AD50" s="2216"/>
      <c r="AE50" s="2216"/>
      <c r="AF50" s="2216"/>
      <c r="AG50" s="2216"/>
      <c r="AH50" s="2216"/>
      <c r="AI50" s="2216"/>
      <c r="AJ50" s="2216"/>
      <c r="AK50" s="2216"/>
      <c r="AL50" s="2216"/>
      <c r="AM50" s="2216"/>
      <c r="AN50" s="2216"/>
      <c r="AO50" s="2216"/>
      <c r="AP50" s="2216"/>
      <c r="AQ50" s="2216"/>
      <c r="AR50" s="2216"/>
      <c r="AS50" s="2216"/>
      <c r="AT50" s="2217"/>
      <c r="AU50" s="1310"/>
      <c r="AW50" s="435"/>
      <c r="AX50" s="435" t="str">
        <f t="shared" si="2"/>
        <v/>
      </c>
      <c r="AY50" s="435"/>
      <c r="AZ50" s="435"/>
      <c r="BA50" s="446">
        <v>1</v>
      </c>
    </row>
    <row r="51" spans="1:53" ht="21.95" customHeight="1">
      <c r="A51" s="1288" t="s">
        <v>199</v>
      </c>
      <c r="B51" s="1288" t="s">
        <v>200</v>
      </c>
      <c r="C51" s="1288" t="s">
        <v>201</v>
      </c>
      <c r="D51" s="1288" t="s">
        <v>202</v>
      </c>
      <c r="E51" s="2187"/>
      <c r="F51" s="2187"/>
      <c r="G51" s="2187"/>
      <c r="H51" s="2187"/>
      <c r="I51" s="2207"/>
      <c r="J51" s="2207"/>
      <c r="K51" s="2184" t="str">
        <f>S48&amp;".1"</f>
        <v>....1</v>
      </c>
      <c r="L51" s="1289"/>
      <c r="P51" s="2185"/>
      <c r="Q51" s="2185"/>
      <c r="R51" s="292">
        <v>1</v>
      </c>
      <c r="S51" s="2244" t="str">
        <f>$K51</f>
        <v>....1</v>
      </c>
      <c r="T51" s="2247"/>
      <c r="U51" s="236"/>
      <c r="V51" s="686"/>
      <c r="W51" s="1182"/>
      <c r="X51" s="1659"/>
      <c r="Y51" s="1384" t="s">
        <v>66</v>
      </c>
      <c r="Z51" s="1659"/>
      <c r="AA51" s="1384" t="s">
        <v>66</v>
      </c>
      <c r="AB51" s="2047" t="s">
        <v>19</v>
      </c>
      <c r="AC51" s="2229"/>
      <c r="AD51" s="2141">
        <v>1</v>
      </c>
      <c r="AE51" s="2251" t="s">
        <v>22</v>
      </c>
      <c r="AF51" s="2047" t="s">
        <v>19</v>
      </c>
      <c r="AG51" s="2229"/>
      <c r="AH51" s="2141">
        <v>1</v>
      </c>
      <c r="AI51" s="2251" t="s">
        <v>22</v>
      </c>
      <c r="AJ51" s="2047" t="s">
        <v>19</v>
      </c>
      <c r="AK51" s="247"/>
      <c r="AL51" s="1262">
        <v>1</v>
      </c>
      <c r="AM51" s="1327"/>
      <c r="AN51" s="686"/>
      <c r="AO51" s="1182"/>
      <c r="AP51" s="1659"/>
      <c r="AQ51" s="1384" t="s">
        <v>66</v>
      </c>
      <c r="AR51" s="1659"/>
      <c r="AS51" s="1384" t="s">
        <v>66</v>
      </c>
      <c r="AT51" s="1273"/>
      <c r="AU51" s="2181" t="s">
        <v>479</v>
      </c>
      <c r="AV51" s="446" t="e">
        <f ca="1">STRCHECKDATE(V54:AT54)</f>
        <v>#NAME?</v>
      </c>
      <c r="AW51" s="435"/>
      <c r="AX51" s="435" t="str">
        <f t="shared" si="2"/>
        <v/>
      </c>
      <c r="AY51" s="435"/>
      <c r="AZ51" s="435"/>
      <c r="BA51" s="1080">
        <v>21</v>
      </c>
    </row>
    <row r="52" spans="1:53" ht="11.45" customHeight="1">
      <c r="A52" s="1288" t="s">
        <v>199</v>
      </c>
      <c r="B52" s="1288"/>
      <c r="C52" s="1288"/>
      <c r="D52" s="1288"/>
      <c r="E52" s="2187"/>
      <c r="F52" s="2187"/>
      <c r="G52" s="2187"/>
      <c r="H52" s="2187"/>
      <c r="I52" s="2207"/>
      <c r="J52" s="2207"/>
      <c r="K52" s="2184"/>
      <c r="L52" s="1289"/>
      <c r="P52" s="2185"/>
      <c r="Q52" s="2185"/>
      <c r="R52" s="292"/>
      <c r="S52" s="2245"/>
      <c r="T52" s="2248"/>
      <c r="U52" s="236"/>
      <c r="V52" s="1318"/>
      <c r="W52" s="1421"/>
      <c r="X52" s="1318"/>
      <c r="Y52" s="1318"/>
      <c r="Z52" s="1318"/>
      <c r="AA52" s="1318"/>
      <c r="AB52" s="2047"/>
      <c r="AC52" s="2229"/>
      <c r="AD52" s="2141"/>
      <c r="AE52" s="2251"/>
      <c r="AF52" s="2047"/>
      <c r="AG52" s="2229"/>
      <c r="AH52" s="2141"/>
      <c r="AI52" s="2251"/>
      <c r="AJ52" s="2047"/>
      <c r="AK52" s="252"/>
      <c r="AL52" s="351"/>
      <c r="AM52" s="350" t="s">
        <v>464</v>
      </c>
      <c r="AN52" s="1318"/>
      <c r="AO52" s="1421"/>
      <c r="AP52" s="1318"/>
      <c r="AQ52" s="1318"/>
      <c r="AR52" s="1318"/>
      <c r="AS52" s="1318"/>
      <c r="AT52" s="1315"/>
      <c r="AU52" s="2182"/>
      <c r="AW52" s="435"/>
      <c r="AX52" s="435"/>
      <c r="AY52" s="435"/>
      <c r="AZ52" s="435"/>
      <c r="BA52" s="1080">
        <v>11</v>
      </c>
    </row>
    <row r="53" spans="1:53" ht="11.45" customHeight="1">
      <c r="A53" s="1288" t="s">
        <v>199</v>
      </c>
      <c r="B53" s="1288"/>
      <c r="C53" s="1288"/>
      <c r="D53" s="1288"/>
      <c r="E53" s="2187"/>
      <c r="F53" s="2187"/>
      <c r="G53" s="2187"/>
      <c r="H53" s="2187"/>
      <c r="I53" s="2207"/>
      <c r="J53" s="2207"/>
      <c r="K53" s="2184"/>
      <c r="L53" s="1289"/>
      <c r="P53" s="2185"/>
      <c r="Q53" s="2185"/>
      <c r="R53" s="292"/>
      <c r="S53" s="2245"/>
      <c r="T53" s="2248"/>
      <c r="U53" s="236"/>
      <c r="V53" s="1318"/>
      <c r="W53" s="1421"/>
      <c r="X53" s="1318"/>
      <c r="Y53" s="1318"/>
      <c r="Z53" s="1318"/>
      <c r="AA53" s="1318"/>
      <c r="AB53" s="2047"/>
      <c r="AC53" s="2229"/>
      <c r="AD53" s="2141"/>
      <c r="AE53" s="2251"/>
      <c r="AF53" s="2047"/>
      <c r="AG53" s="230"/>
      <c r="AH53" s="350"/>
      <c r="AI53" s="350" t="s">
        <v>465</v>
      </c>
      <c r="AJ53" s="1318"/>
      <c r="AK53" s="1318"/>
      <c r="AL53" s="1318"/>
      <c r="AM53" s="1318"/>
      <c r="AN53" s="1318"/>
      <c r="AO53" s="1421"/>
      <c r="AP53" s="1318"/>
      <c r="AQ53" s="1318"/>
      <c r="AR53" s="1318"/>
      <c r="AS53" s="1318"/>
      <c r="AT53" s="1315"/>
      <c r="AU53" s="2182"/>
      <c r="AW53" s="435"/>
      <c r="AX53" s="435"/>
      <c r="AY53" s="435"/>
      <c r="AZ53" s="435"/>
      <c r="BA53" s="1080">
        <v>11</v>
      </c>
    </row>
    <row r="54" spans="1:53" ht="11.45" customHeight="1">
      <c r="A54" s="1288" t="s">
        <v>199</v>
      </c>
      <c r="B54" s="1288" t="s">
        <v>200</v>
      </c>
      <c r="C54" s="1288" t="s">
        <v>201</v>
      </c>
      <c r="D54" s="1288" t="s">
        <v>202</v>
      </c>
      <c r="E54" s="2187"/>
      <c r="F54" s="2187"/>
      <c r="G54" s="2187"/>
      <c r="H54" s="2187"/>
      <c r="I54" s="2207"/>
      <c r="J54" s="2207"/>
      <c r="K54" s="2184"/>
      <c r="L54" s="1289"/>
      <c r="P54" s="2185"/>
      <c r="Q54" s="2185"/>
      <c r="R54" s="292"/>
      <c r="S54" s="2246"/>
      <c r="T54" s="2249"/>
      <c r="U54" s="236"/>
      <c r="V54" s="1318"/>
      <c r="W54" s="1319" t="str">
        <f>X51&amp;"-"&amp;Z51</f>
        <v>-</v>
      </c>
      <c r="X54" s="1318"/>
      <c r="Y54" s="1318"/>
      <c r="Z54" s="1318"/>
      <c r="AA54" s="1318"/>
      <c r="AB54" s="2047"/>
      <c r="AC54" s="248"/>
      <c r="AD54" s="250"/>
      <c r="AE54" s="350" t="s">
        <v>466</v>
      </c>
      <c r="AF54" s="1318"/>
      <c r="AG54" s="1318"/>
      <c r="AH54" s="1318"/>
      <c r="AI54" s="1318"/>
      <c r="AJ54" s="1318"/>
      <c r="AK54" s="1318"/>
      <c r="AL54" s="1318"/>
      <c r="AM54" s="1318"/>
      <c r="AN54" s="1318"/>
      <c r="AO54" s="1319" t="str">
        <f>AP51&amp;"-"&amp;AR51</f>
        <v>-</v>
      </c>
      <c r="AP54" s="1318"/>
      <c r="AQ54" s="1318"/>
      <c r="AR54" s="1318"/>
      <c r="AS54" s="1318"/>
      <c r="AT54" s="1274"/>
      <c r="AU54" s="2182"/>
      <c r="AW54" s="435"/>
      <c r="AX54" s="435" t="str">
        <f t="shared" ref="AX54:AX62" si="3">IF(T54="","",T54)</f>
        <v/>
      </c>
      <c r="AY54" s="435"/>
      <c r="AZ54" s="435"/>
      <c r="BA54" s="1080">
        <v>11</v>
      </c>
    </row>
    <row r="55" spans="1:53" ht="11.45" customHeight="1">
      <c r="A55" s="1288" t="s">
        <v>199</v>
      </c>
      <c r="B55" s="1288" t="s">
        <v>200</v>
      </c>
      <c r="C55" s="1288" t="s">
        <v>201</v>
      </c>
      <c r="D55" s="1288" t="s">
        <v>202</v>
      </c>
      <c r="E55" s="2187"/>
      <c r="F55" s="2187"/>
      <c r="G55" s="2187"/>
      <c r="H55" s="2187"/>
      <c r="I55" s="2207"/>
      <c r="J55" s="2184"/>
      <c r="K55" s="1288"/>
      <c r="L55" s="1289"/>
      <c r="P55" s="2185"/>
      <c r="Q55" s="2185"/>
      <c r="R55" s="291"/>
      <c r="S55" s="1203"/>
      <c r="T55" s="223" t="s">
        <v>467</v>
      </c>
      <c r="U55" s="302"/>
      <c r="V55" s="302"/>
      <c r="W55" s="302"/>
      <c r="X55" s="302"/>
      <c r="Y55" s="302"/>
      <c r="Z55" s="302"/>
      <c r="AA55" s="260"/>
      <c r="AB55" s="1430"/>
      <c r="AC55" s="302"/>
      <c r="AD55" s="302"/>
      <c r="AE55" s="302"/>
      <c r="AF55" s="302"/>
      <c r="AG55" s="302"/>
      <c r="AH55" s="302"/>
      <c r="AI55" s="302"/>
      <c r="AJ55" s="302"/>
      <c r="AK55" s="302"/>
      <c r="AL55" s="302"/>
      <c r="AM55" s="302"/>
      <c r="AN55" s="302"/>
      <c r="AO55" s="302"/>
      <c r="AP55" s="302"/>
      <c r="AQ55" s="302"/>
      <c r="AR55" s="302"/>
      <c r="AS55" s="302"/>
      <c r="AT55" s="260"/>
      <c r="AU55" s="2183"/>
      <c r="AW55" s="435"/>
      <c r="AX55" s="435" t="str">
        <f t="shared" si="3"/>
        <v>Добавить строку</v>
      </c>
      <c r="AY55" s="435"/>
      <c r="AZ55" s="435"/>
      <c r="BA55" s="1080">
        <v>11</v>
      </c>
    </row>
    <row r="56" spans="1:53" s="1567" customFormat="1" ht="1.1499999999999999" customHeight="1">
      <c r="A56" s="1268" t="s">
        <v>199</v>
      </c>
      <c r="B56" s="1268" t="s">
        <v>200</v>
      </c>
      <c r="C56" s="1268" t="s">
        <v>201</v>
      </c>
      <c r="D56" s="1268" t="s">
        <v>202</v>
      </c>
      <c r="E56" s="2187"/>
      <c r="F56" s="2187"/>
      <c r="G56" s="2187"/>
      <c r="H56" s="2187"/>
      <c r="I56" s="2184"/>
      <c r="J56" s="1268"/>
      <c r="K56" s="1268"/>
      <c r="L56" s="1271"/>
      <c r="M56" s="445"/>
      <c r="N56" s="445"/>
      <c r="O56" s="445"/>
      <c r="P56" s="2185"/>
      <c r="Q56" s="1256"/>
      <c r="R56" s="291"/>
      <c r="S56" s="1311"/>
      <c r="T56" s="1312" t="s">
        <v>411</v>
      </c>
      <c r="U56" s="1313"/>
      <c r="V56" s="1313"/>
      <c r="W56" s="1313"/>
      <c r="X56" s="1313"/>
      <c r="Y56" s="1313"/>
      <c r="Z56" s="1313"/>
      <c r="AA56" s="1313"/>
      <c r="AB56" s="1313"/>
      <c r="AC56" s="1313"/>
      <c r="AD56" s="1313"/>
      <c r="AE56" s="1313"/>
      <c r="AF56" s="1313"/>
      <c r="AG56" s="1313"/>
      <c r="AH56" s="1313"/>
      <c r="AI56" s="1313"/>
      <c r="AJ56" s="1313"/>
      <c r="AK56" s="1313"/>
      <c r="AL56" s="1313"/>
      <c r="AM56" s="1313"/>
      <c r="AN56" s="1313"/>
      <c r="AO56" s="1313"/>
      <c r="AP56" s="1313"/>
      <c r="AQ56" s="1313"/>
      <c r="AR56" s="1313"/>
      <c r="AS56" s="1313"/>
      <c r="AT56" s="1313"/>
      <c r="AU56" s="1314"/>
      <c r="AW56" s="435"/>
      <c r="AX56" s="435" t="str">
        <f t="shared" si="3"/>
        <v>Добавить группу потребителей</v>
      </c>
      <c r="AY56" s="435"/>
      <c r="AZ56" s="435"/>
      <c r="BA56" s="446">
        <v>1</v>
      </c>
    </row>
    <row r="57" spans="1:53" s="1566" customFormat="1" ht="1.1499999999999999" customHeight="1">
      <c r="A57" s="1268" t="s">
        <v>199</v>
      </c>
      <c r="B57" s="1268" t="s">
        <v>200</v>
      </c>
      <c r="C57" s="1268" t="s">
        <v>201</v>
      </c>
      <c r="D57" s="1268" t="s">
        <v>202</v>
      </c>
      <c r="E57" s="2187"/>
      <c r="F57" s="2187"/>
      <c r="G57" s="2187"/>
      <c r="H57" s="2186"/>
      <c r="I57" s="1268"/>
      <c r="J57" s="1268"/>
      <c r="K57" s="1268"/>
      <c r="L57" s="1271"/>
      <c r="M57" s="1240"/>
      <c r="N57" s="1240"/>
      <c r="O57" s="453"/>
      <c r="P57" s="315"/>
      <c r="Q57" s="1269"/>
      <c r="R57" s="1325"/>
      <c r="S57" s="1311"/>
      <c r="T57" s="1312"/>
      <c r="U57" s="1313"/>
      <c r="V57" s="1313"/>
      <c r="W57" s="1313"/>
      <c r="X57" s="1313"/>
      <c r="Y57" s="1313"/>
      <c r="Z57" s="1313"/>
      <c r="AA57" s="1313"/>
      <c r="AB57" s="1313"/>
      <c r="AC57" s="1313"/>
      <c r="AD57" s="1313"/>
      <c r="AE57" s="1313"/>
      <c r="AF57" s="1313"/>
      <c r="AG57" s="1313"/>
      <c r="AH57" s="1313"/>
      <c r="AI57" s="1313"/>
      <c r="AJ57" s="1313"/>
      <c r="AK57" s="1313"/>
      <c r="AL57" s="1313"/>
      <c r="AM57" s="1313"/>
      <c r="AN57" s="1313"/>
      <c r="AO57" s="1313"/>
      <c r="AP57" s="1313"/>
      <c r="AQ57" s="1313"/>
      <c r="AR57" s="1313"/>
      <c r="AS57" s="1313"/>
      <c r="AT57" s="1313"/>
      <c r="AU57" s="1314"/>
      <c r="AV57" s="446"/>
      <c r="AW57" s="435"/>
      <c r="AX57" s="435" t="str">
        <f t="shared" si="3"/>
        <v/>
      </c>
      <c r="AY57" s="435"/>
      <c r="AZ57" s="435"/>
      <c r="BA57" s="431">
        <v>1</v>
      </c>
    </row>
    <row r="58" spans="1:53" s="1567" customFormat="1" ht="1.1499999999999999" customHeight="1">
      <c r="A58" s="1268" t="s">
        <v>199</v>
      </c>
      <c r="B58" s="1268" t="s">
        <v>200</v>
      </c>
      <c r="C58" s="1268" t="s">
        <v>201</v>
      </c>
      <c r="D58" s="1239"/>
      <c r="E58" s="2187"/>
      <c r="F58" s="2187"/>
      <c r="G58" s="2186"/>
      <c r="H58" s="1239"/>
      <c r="I58" s="1239"/>
      <c r="J58" s="1239"/>
      <c r="K58" s="1239"/>
      <c r="L58" s="1264"/>
      <c r="M58" s="1240"/>
      <c r="N58" s="1240"/>
      <c r="P58" s="1241"/>
      <c r="Q58" s="1242"/>
      <c r="R58" s="1241"/>
      <c r="S58" s="1247"/>
      <c r="T58" s="1250" t="s">
        <v>413</v>
      </c>
      <c r="U58" s="1249"/>
      <c r="V58" s="1249"/>
      <c r="W58" s="1249"/>
      <c r="X58" s="1249"/>
      <c r="Y58" s="1249"/>
      <c r="Z58" s="1249"/>
      <c r="AA58" s="1249"/>
      <c r="AB58" s="1249"/>
      <c r="AC58" s="1249"/>
      <c r="AD58" s="1249"/>
      <c r="AE58" s="1249"/>
      <c r="AF58" s="1249"/>
      <c r="AG58" s="1249"/>
      <c r="AH58" s="1249"/>
      <c r="AI58" s="1249"/>
      <c r="AJ58" s="1249"/>
      <c r="AK58" s="1249"/>
      <c r="AL58" s="1249"/>
      <c r="AM58" s="1249"/>
      <c r="AN58" s="1249"/>
      <c r="AO58" s="1249"/>
      <c r="AP58" s="1249"/>
      <c r="AQ58" s="1249"/>
      <c r="AR58" s="1249"/>
      <c r="AS58" s="1249"/>
      <c r="AT58" s="1249"/>
      <c r="AU58" s="1249"/>
      <c r="AW58" s="718"/>
      <c r="AX58" s="718" t="str">
        <f t="shared" si="3"/>
        <v>Добавить источник для дифференциации</v>
      </c>
      <c r="AY58" s="718"/>
      <c r="AZ58" s="718"/>
      <c r="BA58" s="453">
        <v>1</v>
      </c>
    </row>
    <row r="59" spans="1:53" s="1567" customFormat="1" ht="1.1499999999999999" customHeight="1">
      <c r="A59" s="1268" t="s">
        <v>199</v>
      </c>
      <c r="B59" s="1268" t="s">
        <v>200</v>
      </c>
      <c r="C59" s="1239"/>
      <c r="D59" s="1239"/>
      <c r="E59" s="2187"/>
      <c r="F59" s="2186"/>
      <c r="G59" s="1239"/>
      <c r="H59" s="1239"/>
      <c r="I59" s="1239"/>
      <c r="J59" s="1239"/>
      <c r="K59" s="1239"/>
      <c r="L59" s="1264"/>
      <c r="M59" s="1246"/>
      <c r="N59" s="1246"/>
      <c r="P59" s="1241"/>
      <c r="Q59" s="1242"/>
      <c r="R59" s="1241"/>
      <c r="S59" s="1247"/>
      <c r="T59" s="1250" t="s">
        <v>414</v>
      </c>
      <c r="U59" s="1249"/>
      <c r="V59" s="1249"/>
      <c r="W59" s="1249"/>
      <c r="X59" s="1249"/>
      <c r="Y59" s="1249"/>
      <c r="Z59" s="1249"/>
      <c r="AA59" s="1249"/>
      <c r="AB59" s="1249"/>
      <c r="AC59" s="1249"/>
      <c r="AD59" s="1249"/>
      <c r="AE59" s="1249"/>
      <c r="AF59" s="1249"/>
      <c r="AG59" s="1249"/>
      <c r="AH59" s="1249"/>
      <c r="AI59" s="1249"/>
      <c r="AJ59" s="1249"/>
      <c r="AK59" s="1249"/>
      <c r="AL59" s="1249"/>
      <c r="AM59" s="1249"/>
      <c r="AN59" s="1249"/>
      <c r="AO59" s="1249"/>
      <c r="AP59" s="1249"/>
      <c r="AQ59" s="1249"/>
      <c r="AR59" s="1249"/>
      <c r="AS59" s="1249"/>
      <c r="AT59" s="1249"/>
      <c r="AU59" s="1249"/>
      <c r="AW59" s="718"/>
      <c r="AX59" s="718" t="str">
        <f t="shared" si="3"/>
        <v>Добавить централизованную систему для дифференциации</v>
      </c>
      <c r="AY59" s="718"/>
      <c r="AZ59" s="718"/>
      <c r="BA59" s="453">
        <v>1</v>
      </c>
    </row>
    <row r="60" spans="1:53" s="1567" customFormat="1" ht="1.1499999999999999" customHeight="1">
      <c r="A60" s="1268" t="s">
        <v>199</v>
      </c>
      <c r="B60" s="1268"/>
      <c r="C60" s="1268"/>
      <c r="D60" s="1268"/>
      <c r="E60" s="2187"/>
      <c r="F60" s="1268"/>
      <c r="G60" s="1268"/>
      <c r="H60" s="1268"/>
      <c r="I60" s="1268"/>
      <c r="J60" s="1268"/>
      <c r="K60" s="1268"/>
      <c r="L60" s="1271"/>
      <c r="M60" s="1246"/>
      <c r="N60" s="1246"/>
      <c r="O60" s="453"/>
      <c r="P60" s="315"/>
      <c r="Q60" s="1269"/>
      <c r="R60" s="315"/>
      <c r="S60" s="1247"/>
      <c r="T60" s="1250" t="s">
        <v>415</v>
      </c>
      <c r="U60" s="1249"/>
      <c r="V60" s="1249"/>
      <c r="W60" s="1249"/>
      <c r="X60" s="1249"/>
      <c r="Y60" s="1249"/>
      <c r="Z60" s="1249"/>
      <c r="AA60" s="1249"/>
      <c r="AB60" s="1249"/>
      <c r="AC60" s="1249"/>
      <c r="AD60" s="1249"/>
      <c r="AE60" s="1249"/>
      <c r="AF60" s="1249"/>
      <c r="AG60" s="1249"/>
      <c r="AH60" s="1249"/>
      <c r="AI60" s="1249"/>
      <c r="AJ60" s="1249"/>
      <c r="AK60" s="1249"/>
      <c r="AL60" s="1249"/>
      <c r="AM60" s="1249"/>
      <c r="AN60" s="1249"/>
      <c r="AO60" s="1249"/>
      <c r="AP60" s="1249"/>
      <c r="AQ60" s="1249"/>
      <c r="AR60" s="1249"/>
      <c r="AS60" s="1249"/>
      <c r="AT60" s="1249"/>
      <c r="AU60" s="1249"/>
      <c r="AW60" s="435"/>
      <c r="AX60" s="435" t="str">
        <f t="shared" si="3"/>
        <v>Добавить территорию для дифференциации</v>
      </c>
      <c r="AY60" s="435"/>
      <c r="AZ60" s="435"/>
      <c r="BA60" s="446">
        <v>1</v>
      </c>
    </row>
    <row r="61" spans="1:53" s="1567" customFormat="1" ht="1.1499999999999999" customHeight="1">
      <c r="A61" s="1268" t="s">
        <v>199</v>
      </c>
      <c r="B61" s="1268"/>
      <c r="C61" s="1268"/>
      <c r="D61" s="1268"/>
      <c r="E61" s="2186"/>
      <c r="F61" s="1268"/>
      <c r="G61" s="1268"/>
      <c r="H61" s="1268"/>
      <c r="I61" s="1268"/>
      <c r="J61" s="1268"/>
      <c r="K61" s="1268"/>
      <c r="L61" s="1271"/>
      <c r="M61" s="1246"/>
      <c r="N61" s="1246"/>
      <c r="O61" s="453"/>
      <c r="P61" s="315"/>
      <c r="Q61" s="1269"/>
      <c r="R61" s="315"/>
      <c r="S61" s="1247"/>
      <c r="T61" s="1250" t="s">
        <v>415</v>
      </c>
      <c r="U61" s="1249"/>
      <c r="V61" s="1249"/>
      <c r="W61" s="1249"/>
      <c r="X61" s="1249"/>
      <c r="Y61" s="1249"/>
      <c r="Z61" s="1249"/>
      <c r="AA61" s="1249"/>
      <c r="AB61" s="1249"/>
      <c r="AC61" s="1249"/>
      <c r="AD61" s="1249"/>
      <c r="AE61" s="1249"/>
      <c r="AF61" s="1249"/>
      <c r="AG61" s="1249"/>
      <c r="AH61" s="1249"/>
      <c r="AI61" s="1249"/>
      <c r="AJ61" s="1249"/>
      <c r="AK61" s="1249"/>
      <c r="AL61" s="1249"/>
      <c r="AM61" s="1249"/>
      <c r="AN61" s="1249"/>
      <c r="AO61" s="1249"/>
      <c r="AP61" s="1249"/>
      <c r="AQ61" s="1249"/>
      <c r="AR61" s="1249"/>
      <c r="AS61" s="1249"/>
      <c r="AT61" s="1249"/>
      <c r="AU61" s="1249"/>
      <c r="AW61" s="435"/>
      <c r="AX61" s="435" t="str">
        <f t="shared" si="3"/>
        <v>Добавить территорию для дифференциации</v>
      </c>
      <c r="AY61" s="435"/>
      <c r="AZ61" s="435"/>
      <c r="BA61" s="446">
        <v>1</v>
      </c>
    </row>
    <row r="62" spans="1:53" s="1567" customFormat="1" ht="1.1499999999999999" customHeight="1">
      <c r="A62" s="1239"/>
      <c r="B62" s="1239"/>
      <c r="C62" s="1239"/>
      <c r="D62" s="1239"/>
      <c r="E62" s="1268"/>
      <c r="F62" s="1239"/>
      <c r="G62" s="1239"/>
      <c r="H62" s="1239"/>
      <c r="I62" s="1239"/>
      <c r="J62" s="1239"/>
      <c r="K62" s="1239"/>
      <c r="L62" s="1264"/>
      <c r="M62" s="1246"/>
      <c r="N62" s="1246"/>
      <c r="P62" s="1241"/>
      <c r="Q62" s="1242"/>
      <c r="R62" s="1241"/>
      <c r="S62" s="1247"/>
      <c r="T62" s="1250" t="s">
        <v>447</v>
      </c>
      <c r="U62" s="1249"/>
      <c r="V62" s="1249"/>
      <c r="W62" s="1249"/>
      <c r="X62" s="1249"/>
      <c r="Y62" s="1249"/>
      <c r="Z62" s="1249"/>
      <c r="AA62" s="1249"/>
      <c r="AB62" s="1249"/>
      <c r="AC62" s="1249"/>
      <c r="AD62" s="1249"/>
      <c r="AE62" s="1249"/>
      <c r="AF62" s="1249"/>
      <c r="AG62" s="1249"/>
      <c r="AH62" s="1249"/>
      <c r="AI62" s="1249"/>
      <c r="AJ62" s="1249"/>
      <c r="AK62" s="1249"/>
      <c r="AL62" s="1249"/>
      <c r="AM62" s="1249"/>
      <c r="AN62" s="1249"/>
      <c r="AO62" s="1249"/>
      <c r="AP62" s="1249"/>
      <c r="AQ62" s="1249"/>
      <c r="AR62" s="1249"/>
      <c r="AS62" s="1249"/>
      <c r="AT62" s="1249"/>
      <c r="AU62" s="1249"/>
      <c r="AW62" s="718"/>
      <c r="AX62" s="718" t="str">
        <f t="shared" si="3"/>
        <v>Добавить наименование тарифа</v>
      </c>
      <c r="AY62" s="718"/>
      <c r="AZ62" s="718"/>
      <c r="BA62" s="453">
        <v>1</v>
      </c>
    </row>
    <row r="63" spans="1:53" ht="11.45" customHeight="1">
      <c r="M63" s="1085"/>
      <c r="N63" s="1085"/>
      <c r="O63" s="472"/>
      <c r="P63" s="1085"/>
      <c r="Q63" s="1085"/>
      <c r="R63" s="1080"/>
      <c r="S63" s="1080"/>
      <c r="AV63" s="1080"/>
      <c r="AW63" s="1080"/>
      <c r="AX63" s="1080"/>
      <c r="AY63" s="1080"/>
      <c r="AZ63" s="1080"/>
      <c r="BA63" s="1080">
        <v>11</v>
      </c>
    </row>
    <row r="64" spans="1:53" ht="19.899999999999999" customHeight="1">
      <c r="O64" s="472"/>
      <c r="S64" s="1178"/>
      <c r="T64" s="2206"/>
      <c r="U64" s="2206"/>
      <c r="V64" s="2206"/>
      <c r="W64" s="2206"/>
      <c r="X64" s="2206"/>
      <c r="Y64" s="2206"/>
      <c r="Z64" s="2206"/>
      <c r="AA64" s="2206"/>
      <c r="AB64" s="2206"/>
      <c r="AC64" s="2206"/>
      <c r="AD64" s="2206"/>
      <c r="AE64" s="2206"/>
      <c r="AF64" s="2206"/>
      <c r="AG64" s="2206"/>
      <c r="AH64" s="2206"/>
      <c r="AI64" s="2206"/>
      <c r="AJ64" s="2206"/>
      <c r="AK64" s="2206"/>
      <c r="AL64" s="2206"/>
      <c r="AM64" s="2206"/>
      <c r="AN64" s="2206"/>
      <c r="AO64" s="2206"/>
      <c r="AP64" s="2206"/>
      <c r="AQ64" s="2206"/>
      <c r="AR64" s="2206"/>
      <c r="AS64" s="2206"/>
      <c r="AT64" s="2206"/>
      <c r="AU64" s="2206"/>
      <c r="BA64" s="1080">
        <v>19</v>
      </c>
    </row>
    <row r="65" spans="1:53" ht="21" customHeight="1">
      <c r="O65" s="472"/>
      <c r="T65" s="2206"/>
      <c r="U65" s="2206"/>
      <c r="V65" s="2206"/>
      <c r="W65" s="2206"/>
      <c r="X65" s="2206"/>
      <c r="Y65" s="2206"/>
      <c r="Z65" s="2206"/>
      <c r="AA65" s="2206"/>
      <c r="AB65" s="2206"/>
      <c r="AC65" s="2206"/>
      <c r="AD65" s="2206"/>
      <c r="AE65" s="2206"/>
      <c r="AF65" s="2206"/>
      <c r="AG65" s="2206"/>
      <c r="AH65" s="2206"/>
      <c r="AI65" s="2206"/>
      <c r="AJ65" s="2206"/>
      <c r="AK65" s="2206"/>
      <c r="AL65" s="2206"/>
      <c r="AM65" s="2206"/>
      <c r="AN65" s="2206"/>
      <c r="AO65" s="2206"/>
      <c r="AP65" s="2206"/>
      <c r="AQ65" s="2206"/>
      <c r="AR65" s="2206"/>
      <c r="AS65" s="2206"/>
      <c r="AT65" s="2206"/>
      <c r="AU65" s="2206"/>
      <c r="BA65" s="1080">
        <v>20</v>
      </c>
    </row>
    <row r="66" spans="1:53" ht="14.65" customHeight="1">
      <c r="O66" s="472"/>
      <c r="T66" s="1258"/>
      <c r="U66" s="1258"/>
      <c r="V66" s="1258"/>
      <c r="W66" s="1258"/>
      <c r="X66" s="1258"/>
      <c r="Y66" s="1258"/>
      <c r="Z66" s="1258"/>
      <c r="AA66" s="1258"/>
      <c r="AB66" s="1258"/>
      <c r="AC66" s="1258"/>
      <c r="AD66" s="1258"/>
      <c r="AE66" s="1258"/>
      <c r="AF66" s="1258"/>
      <c r="AG66" s="1258"/>
      <c r="AH66" s="1258"/>
      <c r="AI66" s="1258"/>
      <c r="AJ66" s="1258"/>
      <c r="AK66" s="1258"/>
      <c r="AL66" s="1258"/>
      <c r="AM66" s="1258"/>
      <c r="AN66" s="1258"/>
      <c r="AO66" s="1258"/>
      <c r="AP66" s="1258"/>
      <c r="AQ66" s="1258"/>
      <c r="AR66" s="1258"/>
      <c r="AS66" s="1258"/>
      <c r="AT66" s="1258"/>
      <c r="AU66" s="1258"/>
      <c r="BA66" s="1080">
        <v>14</v>
      </c>
    </row>
    <row r="67" spans="1:53" ht="19.899999999999999" customHeight="1">
      <c r="O67" s="472"/>
      <c r="T67" s="2206"/>
      <c r="U67" s="2206"/>
      <c r="V67" s="2206"/>
      <c r="W67" s="2206"/>
      <c r="X67" s="2206"/>
      <c r="Y67" s="2206"/>
      <c r="Z67" s="2206"/>
      <c r="AA67" s="2206"/>
      <c r="AB67" s="2206"/>
      <c r="AC67" s="2206"/>
      <c r="AD67" s="2206"/>
      <c r="AE67" s="2206"/>
      <c r="AF67" s="2206"/>
      <c r="AG67" s="2206"/>
      <c r="AH67" s="2206"/>
      <c r="AI67" s="2206"/>
      <c r="AJ67" s="2206"/>
      <c r="AK67" s="2206"/>
      <c r="AL67" s="2206"/>
      <c r="AM67" s="2206"/>
      <c r="AN67" s="2206"/>
      <c r="AO67" s="2206"/>
      <c r="AP67" s="2206"/>
      <c r="AQ67" s="2206"/>
      <c r="AR67" s="2206"/>
      <c r="AS67" s="2206"/>
      <c r="AT67" s="2206"/>
      <c r="AU67" s="2206"/>
      <c r="BA67" s="1080">
        <v>19</v>
      </c>
    </row>
    <row r="68" spans="1:53" ht="16.899999999999999" customHeight="1">
      <c r="O68" s="472"/>
      <c r="T68" s="2206"/>
      <c r="U68" s="2206"/>
      <c r="V68" s="2206"/>
      <c r="W68" s="2206"/>
      <c r="X68" s="2206"/>
      <c r="Y68" s="2206"/>
      <c r="Z68" s="2206"/>
      <c r="AA68" s="2206"/>
      <c r="AB68" s="2206"/>
      <c r="AC68" s="2206"/>
      <c r="AD68" s="2206"/>
      <c r="AE68" s="2206"/>
      <c r="AF68" s="2206"/>
      <c r="AG68" s="2206"/>
      <c r="AH68" s="2206"/>
      <c r="AI68" s="2206"/>
      <c r="AJ68" s="2206"/>
      <c r="AK68" s="2206"/>
      <c r="AL68" s="2206"/>
      <c r="AM68" s="2206"/>
      <c r="AN68" s="2206"/>
      <c r="AO68" s="2206"/>
      <c r="AP68" s="2206"/>
      <c r="AQ68" s="2206"/>
      <c r="AR68" s="2206"/>
      <c r="AS68" s="2206"/>
      <c r="AT68" s="2206"/>
      <c r="AU68" s="2206"/>
      <c r="BA68" s="1080">
        <v>16</v>
      </c>
    </row>
    <row r="69" spans="1:53" ht="14.65" customHeight="1">
      <c r="O69" s="472"/>
      <c r="BA69" s="1080">
        <v>14</v>
      </c>
    </row>
    <row r="70" spans="1:53" ht="22.5" hidden="1" customHeight="1">
      <c r="A70" s="1085" t="s">
        <v>82</v>
      </c>
      <c r="B70" s="1085">
        <v>0</v>
      </c>
      <c r="C70" s="1085">
        <v>0</v>
      </c>
      <c r="D70" s="1085">
        <v>0</v>
      </c>
      <c r="E70" s="1085">
        <v>0</v>
      </c>
      <c r="F70" s="1085">
        <v>0</v>
      </c>
      <c r="G70" s="1085">
        <v>0</v>
      </c>
      <c r="H70" s="1085">
        <v>0</v>
      </c>
      <c r="I70" s="1085">
        <v>0</v>
      </c>
      <c r="J70" s="1085">
        <v>0</v>
      </c>
      <c r="K70" s="1085">
        <v>0</v>
      </c>
      <c r="L70" s="1254">
        <v>0</v>
      </c>
      <c r="M70" s="1287">
        <v>0</v>
      </c>
      <c r="N70" s="1287">
        <v>0</v>
      </c>
      <c r="O70" s="1287">
        <v>0</v>
      </c>
      <c r="P70" s="1287">
        <v>3</v>
      </c>
      <c r="Q70" s="1296">
        <v>3</v>
      </c>
      <c r="R70" s="280">
        <v>3</v>
      </c>
      <c r="S70" s="516">
        <v>12</v>
      </c>
      <c r="T70" s="1080">
        <v>31</v>
      </c>
      <c r="U70" s="1080">
        <v>0</v>
      </c>
      <c r="V70" s="1080">
        <v>0</v>
      </c>
      <c r="W70" s="1080">
        <v>0</v>
      </c>
      <c r="X70" s="1080">
        <v>0</v>
      </c>
      <c r="Y70" s="1080">
        <v>0</v>
      </c>
      <c r="Z70" s="1080">
        <v>0</v>
      </c>
      <c r="AA70" s="1080">
        <v>0</v>
      </c>
      <c r="AB70" s="1080">
        <v>5</v>
      </c>
      <c r="AC70" s="1080">
        <v>3</v>
      </c>
      <c r="AD70" s="1080">
        <v>3</v>
      </c>
      <c r="AE70" s="1080">
        <v>24</v>
      </c>
      <c r="AF70" s="1080">
        <v>3</v>
      </c>
      <c r="AG70" s="1080">
        <v>3</v>
      </c>
      <c r="AH70" s="1080">
        <v>3</v>
      </c>
      <c r="AI70" s="1080">
        <v>24</v>
      </c>
      <c r="AJ70" s="1080">
        <v>3</v>
      </c>
      <c r="AK70" s="1080">
        <v>3</v>
      </c>
      <c r="AL70" s="1080">
        <v>3</v>
      </c>
      <c r="AM70" s="1080">
        <v>18</v>
      </c>
      <c r="AN70" s="1080">
        <v>21</v>
      </c>
      <c r="AO70" s="1080">
        <v>21</v>
      </c>
      <c r="AP70" s="1080">
        <v>11</v>
      </c>
      <c r="AQ70" s="1080">
        <v>3</v>
      </c>
      <c r="AR70" s="1080">
        <v>11</v>
      </c>
      <c r="AS70" s="1080">
        <v>8</v>
      </c>
      <c r="AT70" s="1080">
        <v>4</v>
      </c>
      <c r="AU70" s="1080">
        <v>115</v>
      </c>
      <c r="AV70" s="446">
        <v>10</v>
      </c>
      <c r="AW70" s="446">
        <v>10</v>
      </c>
      <c r="AX70" s="446">
        <v>10</v>
      </c>
      <c r="AY70" s="446">
        <v>10</v>
      </c>
      <c r="AZ70" s="446">
        <v>10</v>
      </c>
      <c r="BA70" s="1080">
        <v>23</v>
      </c>
    </row>
  </sheetData>
  <sheetProtection formatColumns="0" formatRows="0" insertRows="0" deleteColumns="0" deleteRows="0" sort="0" autoFilter="0"/>
  <mergeCells count="119">
    <mergeCell ref="T67:AU67"/>
    <mergeCell ref="T68:AU68"/>
    <mergeCell ref="AI51:AI52"/>
    <mergeCell ref="AJ51:AJ52"/>
    <mergeCell ref="AJ40:AM43"/>
    <mergeCell ref="AD51:AD53"/>
    <mergeCell ref="AE51:AE53"/>
    <mergeCell ref="AF51:AF53"/>
    <mergeCell ref="AG51:AG52"/>
    <mergeCell ref="AH51:AH52"/>
    <mergeCell ref="T64:AU64"/>
    <mergeCell ref="T65:AU65"/>
    <mergeCell ref="T51:T54"/>
    <mergeCell ref="AB51:AB54"/>
    <mergeCell ref="AC51:AC53"/>
    <mergeCell ref="AU39:AU43"/>
    <mergeCell ref="T40:T43"/>
    <mergeCell ref="V40:Z40"/>
    <mergeCell ref="AU51:AU55"/>
    <mergeCell ref="Y44:Z44"/>
    <mergeCell ref="AQ44:AR44"/>
    <mergeCell ref="X41:Z42"/>
    <mergeCell ref="Y43:Z43"/>
    <mergeCell ref="AQ43:AR43"/>
    <mergeCell ref="E2:E17"/>
    <mergeCell ref="F3:F16"/>
    <mergeCell ref="G4:G15"/>
    <mergeCell ref="H5:H14"/>
    <mergeCell ref="V5:AA5"/>
    <mergeCell ref="X8:X11"/>
    <mergeCell ref="Y8:Y11"/>
    <mergeCell ref="Z8:Z11"/>
    <mergeCell ref="AA8:AA11"/>
    <mergeCell ref="V2:AA2"/>
    <mergeCell ref="I6:I13"/>
    <mergeCell ref="P6:P13"/>
    <mergeCell ref="V6:AA6"/>
    <mergeCell ref="J7:J12"/>
    <mergeCell ref="Q7:Q12"/>
    <mergeCell ref="V7:AA7"/>
    <mergeCell ref="K8:K11"/>
    <mergeCell ref="S8:S11"/>
    <mergeCell ref="T8:T11"/>
    <mergeCell ref="R8:R11"/>
    <mergeCell ref="E45:E61"/>
    <mergeCell ref="V45:AA45"/>
    <mergeCell ref="AB45:AT45"/>
    <mergeCell ref="F46:F59"/>
    <mergeCell ref="V46:AA46"/>
    <mergeCell ref="AB46:AT46"/>
    <mergeCell ref="G47:G58"/>
    <mergeCell ref="V47:AA47"/>
    <mergeCell ref="AB47:AT47"/>
    <mergeCell ref="H48:H57"/>
    <mergeCell ref="V48:AA48"/>
    <mergeCell ref="AB48:AT48"/>
    <mergeCell ref="I49:I56"/>
    <mergeCell ref="P49:P56"/>
    <mergeCell ref="V49:AA49"/>
    <mergeCell ref="AB49:AT49"/>
    <mergeCell ref="J50:J55"/>
    <mergeCell ref="Q50:Q55"/>
    <mergeCell ref="V50:AA50"/>
    <mergeCell ref="AB50:AT50"/>
    <mergeCell ref="K51:K54"/>
    <mergeCell ref="S51:S54"/>
    <mergeCell ref="AP41:AR42"/>
    <mergeCell ref="S40:S43"/>
    <mergeCell ref="S39:AT39"/>
    <mergeCell ref="AN40:AR40"/>
    <mergeCell ref="AB40:AE43"/>
    <mergeCell ref="AF40:AI43"/>
    <mergeCell ref="S35:T35"/>
    <mergeCell ref="V35:Z35"/>
    <mergeCell ref="AB35:AR35"/>
    <mergeCell ref="V38:AA38"/>
    <mergeCell ref="AB38:AS38"/>
    <mergeCell ref="AA40:AA43"/>
    <mergeCell ref="AS40:AS43"/>
    <mergeCell ref="AT40:AT43"/>
    <mergeCell ref="AN41:AO41"/>
    <mergeCell ref="AN42:AO42"/>
    <mergeCell ref="V41:W41"/>
    <mergeCell ref="V42:W42"/>
    <mergeCell ref="AB2:AT2"/>
    <mergeCell ref="V3:AA3"/>
    <mergeCell ref="AB3:AT3"/>
    <mergeCell ref="V4:AA4"/>
    <mergeCell ref="AB4:AT4"/>
    <mergeCell ref="AB5:AT5"/>
    <mergeCell ref="AB6:AT6"/>
    <mergeCell ref="AB7:AT7"/>
    <mergeCell ref="S36:T36"/>
    <mergeCell ref="V36:Z36"/>
    <mergeCell ref="AB36:AR36"/>
    <mergeCell ref="S27:AR27"/>
    <mergeCell ref="S28:AR28"/>
    <mergeCell ref="S30:T30"/>
    <mergeCell ref="V30:Z30"/>
    <mergeCell ref="AB30:AR30"/>
    <mergeCell ref="S31:T31"/>
    <mergeCell ref="V31:Z31"/>
    <mergeCell ref="AB31:AR31"/>
    <mergeCell ref="AE8:AE10"/>
    <mergeCell ref="AF8:AF10"/>
    <mergeCell ref="AG8:AG9"/>
    <mergeCell ref="AH8:AH9"/>
    <mergeCell ref="AU8:AU12"/>
    <mergeCell ref="AJ8:AJ9"/>
    <mergeCell ref="AB8:AB11"/>
    <mergeCell ref="AC8:AC10"/>
    <mergeCell ref="AD8:AD10"/>
    <mergeCell ref="AI8:AI9"/>
    <mergeCell ref="S33:T33"/>
    <mergeCell ref="V33:Z33"/>
    <mergeCell ref="AB33:AR33"/>
    <mergeCell ref="S32:T32"/>
    <mergeCell ref="V32:Z32"/>
    <mergeCell ref="AB32:AR32"/>
  </mergeCells>
  <dataValidations count="10">
    <dataValidation allowBlank="1" showInputMessage="1" showErrorMessage="1" prompt="Для выбора выполните двойной щелчок левой клавиши мыши по соответствующей ячейке." sqref="Y65590 Y131126 Y196662 Y262198 Y327734 Y393270 Y458806 Y524342 Y589878 Y655414 Y720950 Y786486 Y852022 Y917558 Y983094 AA131126 AA458806 AA196662 AA262198 AA327734 AA393270 AA524342 AA589878 AA655414 AA720950 AA786486 AA852022 AA917558 AA983094 AA65590 AA8:AA10 Y8:Y10 AQ65590 AQ131126 AQ196662 AQ262198 AQ327734 AQ393270 AQ458806 AQ524342 AQ589878 AQ655414 AQ720950 AQ786486 AQ852022 AQ917558 AQ983094 AS131126 AS458806 AS196662 AS262198 AS327734 AS393270 AS524342 AS589878 AS655414 AS720950 AS786486 AS852022 AS917558 AS983094 AS65590 AQ8 AB8 AE8:AF8 AI8:AJ8 AQ19 AS51 AS19 AB19 AE19:AF19 AI19:AJ19 AI51:AJ51 AE51:AF51 AA51:AB51 AS8 AQ51 Y51"/>
    <dataValidation type="textLength" operator="lessThanOrEqual" allowBlank="1" showInputMessage="1" showErrorMessage="1" errorTitle="Ошибка" error="Допускается ввод не более 900 символов!" sqref="AU65584:AU65591 AU131120:AU131127 AU196656:AU196663 AU262192:AU262199 AU327728:AU327735 AU393264:AU393271 AU458800:AU458807 AU524336:AU524343 AU589872:AU589879 AU655408:AU655415 AU720944:AU720951 AU786480:AU786487 AU852016:AU852023 AU917552:AU917559 AU983088:AU983095 T8:T11 T51:T54">
      <formula1>900</formula1>
    </dataValidation>
    <dataValidation allowBlank="1" promptTitle="checkPeriodRange" sqref="W65591 W131127 W196663 W262199 W327735 W393271 W458807 W524343 W589879 W655415 W720951 W786487 W852023 W917559 W983095 AO54 W11 AO65591 AO131127 AO196663 AO262199 AO327735 AO393271 AO458807 AO524343 AO589879 AO655415 AO720951 AO786487 AO852023 AO917559 AO983095 AO11 W54"/>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X65590 X131126 X196662 X262198 X327734 X393270 X458806 X524342 X589878 X655414 X720950 X786486 X852022 X917558 X983094 Z65590 Z131126 Z196662 Z262198 Z327734 Z393270 Z458806 Z524342 Z589878 Z655414 Z720950 Z786486 Z852022 Z917558 Z983094 X8:X10 Z8:Z10 AP65590 AP131126 AP196662 AP262198 AP327734 AP393270 AP458806 AP524342 AP589878 AP655414 AP720950 AP786486 AP852022 AP917558 AP983094 AR65590 AR131126 AR196662 AR262198 AR327734 AR393270 AR458806 AR524342 AR589878 AR655414 AR720950 AR786486 AR852022 AR917558 AR983094 AR8 AR51 AR19 AP19 AP8 AP51 Z51 X51"/>
    <dataValidation type="list" allowBlank="1" showInputMessage="1" showErrorMessage="1" errorTitle="Ошибка" error="Выберите значение из списка" sqref="AB983092:AM983092 AB65588:AM65588 AB131124:AM131124 AB196660:AM196660 AB262196:AM262196 AB327732:AM327732 AB393268:AM393268 AB458804:AM458804 AB524340:AM524340 AB589876:AM589876 AB655412:AM655412 AB720948:AM720948 AB786484:AM786484 AB852020:AM852020 AB917556:AM917556">
      <formula1>kind_of_scheme_in</formula1>
    </dataValidation>
    <dataValidation type="list" allowBlank="1" showInputMessage="1" showErrorMessage="1" errorTitle="Ошибка" error="Выберите значение из списка" sqref="T65590 T131126 T196662 T262198 T327734 T393270 T458806 T524342 T589878 T655414 T720950 T786486 T852022 T917558 T983094">
      <formula1>kind_of_heat_transfer</formula1>
    </dataValidation>
    <dataValidation allowBlank="1" sqref="S131128:AU131134 S196664:AU196670 S262200:AU262206 S327736:AU327742 S393272:AU393278 S458808:AU458814 S524344:AU524350 S589880:AU589886 S655416:AU655422 S720952:AU720958 S786488:AU786494 S852024:AU852030 S917560:AU917566 S983096:AU983102 S65592:AU65598"/>
    <dataValidation type="list" allowBlank="1" showInputMessage="1" errorTitle="Ошибка" error="Выберите значение из списка" prompt="Выберите значение из списка" sqref="V917557:AT917557 V983093:AT983093 V65589:AT65589 V131125:AT131125 V196661:AT196661 V262197:AT262197 V327733:AT327733 V393269:AT393269 V458805:AT458805 V524341:AT524341 V589877:AT589877 V655413:AT655413 V720949:AT720949 V786485:AT786485 V852021:AT852021">
      <formula1>kind_of_cons</formula1>
    </dataValidation>
    <dataValidation type="list" allowBlank="1" showInputMessage="1" showErrorMessage="1" errorTitle="Ошибка" error="Выберите значение из списка" prompt="Выберите значение из списка" sqref="AN42:AO42">
      <formula1>UNIT_CONNECT_LIST</formula1>
    </dataValidation>
    <dataValidation allowBlank="1" errorTitle="Ошибка" error="Выберите значение из списка" sqref="V42:W42"/>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6" tint="0.39997558519241921"/>
  </sheetPr>
  <dimension ref="A1:AQ58"/>
  <sheetViews>
    <sheetView showGridLines="0" zoomScale="90" workbookViewId="0">
      <pane xSplit="28" ySplit="40" topLeftCell="AC41" activePane="bottomRight" state="frozen"/>
      <selection pane="topRight" activeCell="AC1" sqref="AC1"/>
      <selection pane="bottomLeft" activeCell="A41" sqref="A41"/>
      <selection pane="bottomRight"/>
    </sheetView>
  </sheetViews>
  <sheetFormatPr defaultColWidth="10.5703125" defaultRowHeight="14.25" customHeight="1"/>
  <cols>
    <col min="1" max="1" width="10.5703125" style="1291" hidden="1"/>
    <col min="2" max="2" width="11" style="1291" hidden="1" customWidth="1"/>
    <col min="3" max="3" width="10.5703125" style="1291" hidden="1"/>
    <col min="4" max="4" width="11.85546875" style="1291" hidden="1" customWidth="1"/>
    <col min="5" max="5" width="10" style="1291" hidden="1" customWidth="1"/>
    <col min="6" max="6" width="8.7109375" style="1291" hidden="1" customWidth="1"/>
    <col min="7" max="7" width="7.5703125" style="1291" hidden="1" customWidth="1"/>
    <col min="8" max="8" width="11.42578125" style="1291" hidden="1" customWidth="1"/>
    <col min="9" max="9" width="14.140625" style="1291" hidden="1" customWidth="1"/>
    <col min="10" max="10" width="9.85546875" style="1291" hidden="1" customWidth="1"/>
    <col min="11" max="11" width="14.7109375" style="1291" hidden="1" customWidth="1"/>
    <col min="12" max="12" width="19.140625" style="2002" hidden="1" customWidth="1"/>
    <col min="13" max="14" width="12.28515625" style="1701" hidden="1" customWidth="1"/>
    <col min="15" max="15" width="23.42578125" style="1701" hidden="1" customWidth="1"/>
    <col min="16" max="16" width="3" style="2000" customWidth="1"/>
    <col min="17" max="18" width="3" style="280" customWidth="1"/>
    <col min="19" max="19" width="12" style="2001" customWidth="1"/>
    <col min="20" max="20" width="35" style="1560" customWidth="1"/>
    <col min="21" max="21" width="0.140625" style="1560" customWidth="1"/>
    <col min="22" max="24" width="24.7109375" style="1560" hidden="1" customWidth="1"/>
    <col min="25" max="25" width="11.7109375" style="1560" hidden="1" customWidth="1"/>
    <col min="26" max="26" width="3.7109375" style="1560" hidden="1" customWidth="1"/>
    <col min="27" max="27" width="11.7109375" style="1560" hidden="1" customWidth="1"/>
    <col min="28" max="28" width="8.5703125" style="1560" hidden="1" customWidth="1"/>
    <col min="29" max="29" width="24.7109375" style="1560" customWidth="1"/>
    <col min="30" max="31" width="24" style="1560" customWidth="1"/>
    <col min="32" max="32" width="11" style="1560" customWidth="1"/>
    <col min="33" max="33" width="3.7109375" style="1560" customWidth="1"/>
    <col min="34" max="34" width="11" style="1560" customWidth="1"/>
    <col min="35" max="35" width="8.5703125" style="1560" hidden="1" customWidth="1"/>
    <col min="36" max="36" width="4" style="1560" customWidth="1"/>
    <col min="37" max="37" width="115" style="1560" customWidth="1"/>
    <col min="38" max="42" width="10" style="1567" customWidth="1"/>
    <col min="43" max="43" width="10.5703125" style="1560" hidden="1"/>
  </cols>
  <sheetData>
    <row r="1" spans="1:43" ht="22.5" hidden="1" customHeight="1">
      <c r="X1" s="263"/>
      <c r="Y1" s="263"/>
      <c r="AE1" s="263"/>
      <c r="AF1" s="263"/>
      <c r="AQ1" s="1080" t="s">
        <v>14</v>
      </c>
    </row>
    <row r="2" spans="1:43" ht="23.25" hidden="1" customHeight="1">
      <c r="A2" s="1288"/>
      <c r="B2" s="1288"/>
      <c r="C2" s="1288"/>
      <c r="D2" s="1288"/>
      <c r="E2" s="2186">
        <v>1</v>
      </c>
      <c r="F2" s="1288"/>
      <c r="G2" s="1288"/>
      <c r="H2" s="1288"/>
      <c r="I2" s="1288"/>
      <c r="J2" s="1288"/>
      <c r="K2" s="1288"/>
      <c r="L2" s="1289"/>
      <c r="M2" s="1290"/>
      <c r="N2" s="1290"/>
      <c r="O2" s="1290"/>
      <c r="P2" s="296"/>
      <c r="Q2" s="295"/>
      <c r="R2" s="290"/>
      <c r="S2" s="1350" t="e">
        <f>INDEX(PT_DIFFERENTIATION_NUM_NTAR,MATCH(A2,PT_DIFFERENTIATION_NTAR_ID,0))</f>
        <v>#N/A</v>
      </c>
      <c r="T2" s="234" t="s">
        <v>124</v>
      </c>
      <c r="U2" s="236"/>
      <c r="V2" s="2172"/>
      <c r="W2" s="2173"/>
      <c r="X2" s="2173"/>
      <c r="Y2" s="2173"/>
      <c r="Z2" s="2173"/>
      <c r="AA2" s="2173"/>
      <c r="AB2" s="2174"/>
      <c r="AC2" s="2172" t="e">
        <f>INDEX(PT_DIFFERENTIATION_NTAR,MATCH(A2,PT_DIFFERENTIATION_NTAR_ID,0))</f>
        <v>#N/A</v>
      </c>
      <c r="AD2" s="2173"/>
      <c r="AE2" s="2173"/>
      <c r="AF2" s="2173"/>
      <c r="AG2" s="2173"/>
      <c r="AH2" s="2173"/>
      <c r="AI2" s="2173"/>
      <c r="AJ2" s="2174"/>
      <c r="AK2" s="1183"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2" s="435"/>
      <c r="AN2" s="435" t="str">
        <f t="shared" ref="AN2:AN13" si="0">IF(T2="","",T2)</f>
        <v>Наименование тарифа</v>
      </c>
      <c r="AO2" s="435"/>
      <c r="AP2" s="435"/>
      <c r="AQ2" s="1080">
        <v>0</v>
      </c>
    </row>
    <row r="3" spans="1:43" ht="23.25" hidden="1" customHeight="1">
      <c r="A3" s="1288"/>
      <c r="B3" s="1288"/>
      <c r="C3" s="1288"/>
      <c r="D3" s="1288"/>
      <c r="E3" s="2187"/>
      <c r="F3" s="2186">
        <v>1</v>
      </c>
      <c r="G3" s="1288"/>
      <c r="H3" s="1288"/>
      <c r="I3" s="1288"/>
      <c r="J3" s="1288"/>
      <c r="K3" s="1288"/>
      <c r="L3" s="1289"/>
      <c r="M3" s="1290"/>
      <c r="N3" s="1290"/>
      <c r="O3" s="1290"/>
      <c r="P3" s="1348"/>
      <c r="Q3" s="287"/>
      <c r="R3" s="288"/>
      <c r="S3" s="1350" t="e">
        <f>INDEX(PT_DIFFERENTIATION_NUM_TER,MATCH(B3,PT_DIFFERENTIATION_TER_ID,0))</f>
        <v>#N/A</v>
      </c>
      <c r="T3" s="244" t="s">
        <v>396</v>
      </c>
      <c r="U3" s="236"/>
      <c r="V3" s="2172"/>
      <c r="W3" s="2173"/>
      <c r="X3" s="2173"/>
      <c r="Y3" s="2173"/>
      <c r="Z3" s="2173"/>
      <c r="AA3" s="2173"/>
      <c r="AB3" s="2174"/>
      <c r="AC3" s="2172" t="e">
        <f>INDEX(PT_DIFFERENTIATION_TER,MATCH(B3,PT_DIFFERENTIATION_TER_ID,0))</f>
        <v>#N/A</v>
      </c>
      <c r="AD3" s="2173"/>
      <c r="AE3" s="2173"/>
      <c r="AF3" s="2173"/>
      <c r="AG3" s="2173"/>
      <c r="AH3" s="2173"/>
      <c r="AI3" s="2173"/>
      <c r="AJ3" s="2174"/>
      <c r="AK3" s="1183" t="s">
        <v>397</v>
      </c>
      <c r="AM3" s="435"/>
      <c r="AN3" s="435" t="str">
        <f t="shared" si="0"/>
        <v>Территория действия тарифа</v>
      </c>
      <c r="AO3" s="435"/>
      <c r="AP3" s="435"/>
      <c r="AQ3" s="1080">
        <v>0</v>
      </c>
    </row>
    <row r="4" spans="1:43" ht="23.25" hidden="1" customHeight="1">
      <c r="A4" s="1288"/>
      <c r="B4" s="1288"/>
      <c r="C4" s="1288"/>
      <c r="D4" s="1288"/>
      <c r="E4" s="2187"/>
      <c r="F4" s="2187"/>
      <c r="G4" s="2186">
        <v>1</v>
      </c>
      <c r="H4" s="1288"/>
      <c r="I4" s="1288"/>
      <c r="J4" s="1288"/>
      <c r="K4" s="1288"/>
      <c r="L4" s="1289"/>
      <c r="M4" s="1290"/>
      <c r="N4" s="1290"/>
      <c r="O4" s="1290"/>
      <c r="P4" s="289"/>
      <c r="Q4" s="287"/>
      <c r="R4" s="288"/>
      <c r="S4" s="1350" t="e">
        <f>INDEX(PT_DIFFERENTIATION_NUM_CS,MATCH(C4,PT_DIFFERENTIATION_CS_ID,0))</f>
        <v>#N/A</v>
      </c>
      <c r="T4" s="245" t="s">
        <v>480</v>
      </c>
      <c r="U4" s="236"/>
      <c r="V4" s="2172"/>
      <c r="W4" s="2173"/>
      <c r="X4" s="2173"/>
      <c r="Y4" s="2173"/>
      <c r="Z4" s="2173"/>
      <c r="AA4" s="2173"/>
      <c r="AB4" s="2174"/>
      <c r="AC4" s="2172" t="e">
        <f>INDEX(PT_DIFFERENTIATION_CS,MATCH(C4,PT_DIFFERENTIATION_CS_ID,0))</f>
        <v>#N/A</v>
      </c>
      <c r="AD4" s="2173"/>
      <c r="AE4" s="2173"/>
      <c r="AF4" s="2173"/>
      <c r="AG4" s="2173"/>
      <c r="AH4" s="2173"/>
      <c r="AI4" s="2173"/>
      <c r="AJ4" s="2174"/>
      <c r="AK4" s="1183" t="s">
        <v>481</v>
      </c>
      <c r="AM4" s="435"/>
      <c r="AN4" s="435" t="str">
        <f t="shared" si="0"/>
        <v>Наименование централизованной системы холодного водоснабжения</v>
      </c>
      <c r="AO4" s="435"/>
      <c r="AP4" s="435"/>
      <c r="AQ4" s="1080">
        <v>0</v>
      </c>
    </row>
    <row r="5" spans="1:43" ht="23.25" hidden="1" customHeight="1">
      <c r="A5" s="1288"/>
      <c r="B5" s="1288"/>
      <c r="C5" s="1288"/>
      <c r="D5" s="1288"/>
      <c r="E5" s="2187"/>
      <c r="F5" s="2187"/>
      <c r="G5" s="2187"/>
      <c r="H5" s="2187"/>
      <c r="I5" s="2184" t="e">
        <f>S4&amp;".1"</f>
        <v>#N/A</v>
      </c>
      <c r="J5" s="1288"/>
      <c r="K5" s="1288"/>
      <c r="L5" s="1289"/>
      <c r="P5" s="2185">
        <v>1</v>
      </c>
      <c r="Q5" s="1347"/>
      <c r="R5" s="291"/>
      <c r="S5" s="1350" t="e">
        <f>$I5</f>
        <v>#N/A</v>
      </c>
      <c r="T5" s="221" t="s">
        <v>482</v>
      </c>
      <c r="U5" s="236"/>
      <c r="V5" s="2253"/>
      <c r="W5" s="2254"/>
      <c r="X5" s="2254"/>
      <c r="Y5" s="2254"/>
      <c r="Z5" s="2254"/>
      <c r="AA5" s="2254"/>
      <c r="AB5" s="2255"/>
      <c r="AC5" s="2256"/>
      <c r="AD5" s="2257"/>
      <c r="AE5" s="2257"/>
      <c r="AF5" s="2257"/>
      <c r="AG5" s="2257"/>
      <c r="AH5" s="2257"/>
      <c r="AI5" s="2257"/>
      <c r="AJ5" s="2258"/>
      <c r="AK5" s="1183" t="s">
        <v>483</v>
      </c>
      <c r="AM5" s="435"/>
      <c r="AN5" s="435" t="str">
        <f t="shared" si="0"/>
        <v>Наименование признака дифференциации</v>
      </c>
      <c r="AO5" s="435"/>
      <c r="AP5" s="435"/>
      <c r="AQ5" s="1080">
        <v>0</v>
      </c>
    </row>
    <row r="6" spans="1:43" ht="23.25" hidden="1" customHeight="1">
      <c r="A6" s="1288"/>
      <c r="B6" s="1288"/>
      <c r="C6" s="1288"/>
      <c r="D6" s="1288"/>
      <c r="E6" s="2187"/>
      <c r="F6" s="2187"/>
      <c r="G6" s="2187"/>
      <c r="H6" s="2187"/>
      <c r="I6" s="2207"/>
      <c r="J6" s="2184" t="e">
        <f>I5&amp;".1"</f>
        <v>#N/A</v>
      </c>
      <c r="K6" s="1288"/>
      <c r="L6" s="1289" t="s">
        <v>405</v>
      </c>
      <c r="P6" s="2185"/>
      <c r="Q6" s="2185">
        <v>1</v>
      </c>
      <c r="R6" s="292"/>
      <c r="S6" s="1350" t="e">
        <f>$J6</f>
        <v>#N/A</v>
      </c>
      <c r="T6" s="222" t="s">
        <v>406</v>
      </c>
      <c r="U6" s="236"/>
      <c r="V6" s="2175"/>
      <c r="W6" s="2176"/>
      <c r="X6" s="2176"/>
      <c r="Y6" s="2176"/>
      <c r="Z6" s="2176"/>
      <c r="AA6" s="2176"/>
      <c r="AB6" s="2177"/>
      <c r="AC6" s="2175"/>
      <c r="AD6" s="2176"/>
      <c r="AE6" s="2176"/>
      <c r="AF6" s="2176"/>
      <c r="AG6" s="2176"/>
      <c r="AH6" s="2176"/>
      <c r="AI6" s="2176"/>
      <c r="AJ6" s="2177"/>
      <c r="AK6" s="1232" t="s">
        <v>484</v>
      </c>
      <c r="AM6" s="435"/>
      <c r="AN6" s="435" t="str">
        <f t="shared" si="0"/>
        <v>Группа потребителей</v>
      </c>
      <c r="AO6" s="435"/>
      <c r="AP6" s="435"/>
      <c r="AQ6" s="1080">
        <v>0</v>
      </c>
    </row>
    <row r="7" spans="1:43" ht="23.25" hidden="1" customHeight="1">
      <c r="A7" s="1288"/>
      <c r="B7" s="1288"/>
      <c r="C7" s="1288"/>
      <c r="D7" s="1288"/>
      <c r="E7" s="2187"/>
      <c r="F7" s="2187"/>
      <c r="G7" s="2187"/>
      <c r="H7" s="2187"/>
      <c r="I7" s="2207"/>
      <c r="J7" s="2207"/>
      <c r="K7" s="2184" t="e">
        <f>J6&amp;".1"</f>
        <v>#N/A</v>
      </c>
      <c r="L7" s="1289"/>
      <c r="P7" s="2185"/>
      <c r="Q7" s="2185"/>
      <c r="R7" s="292">
        <v>1</v>
      </c>
      <c r="S7" s="1350" t="e">
        <f>$K7</f>
        <v>#N/A</v>
      </c>
      <c r="T7" s="1362"/>
      <c r="U7" s="236"/>
      <c r="V7" s="686"/>
      <c r="W7" s="686"/>
      <c r="X7" s="1182"/>
      <c r="Y7" s="2189"/>
      <c r="Z7" s="2047" t="s">
        <v>66</v>
      </c>
      <c r="AA7" s="2189"/>
      <c r="AB7" s="2047" t="s">
        <v>66</v>
      </c>
      <c r="AC7" s="686"/>
      <c r="AD7" s="686"/>
      <c r="AE7" s="1182"/>
      <c r="AF7" s="2189"/>
      <c r="AG7" s="2047" t="s">
        <v>66</v>
      </c>
      <c r="AH7" s="2208"/>
      <c r="AI7" s="2047" t="s">
        <v>66</v>
      </c>
      <c r="AJ7" s="1363"/>
      <c r="AK7" s="2252"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7" s="446" t="e">
        <f ca="1">STRCHECKDATE(V8:AJ8)</f>
        <v>#NAME?</v>
      </c>
      <c r="AM7" s="435"/>
      <c r="AN7" s="435" t="str">
        <f t="shared" si="0"/>
        <v/>
      </c>
      <c r="AO7" s="435"/>
      <c r="AP7" s="435"/>
      <c r="AQ7" s="1080">
        <v>0</v>
      </c>
    </row>
    <row r="8" spans="1:43" ht="14.25" hidden="1" customHeight="1">
      <c r="A8" s="1288"/>
      <c r="B8" s="1288"/>
      <c r="C8" s="1288"/>
      <c r="D8" s="1288"/>
      <c r="E8" s="2187"/>
      <c r="F8" s="2187"/>
      <c r="G8" s="2187"/>
      <c r="H8" s="2187"/>
      <c r="I8" s="2207"/>
      <c r="J8" s="2207"/>
      <c r="K8" s="2184"/>
      <c r="L8" s="1289"/>
      <c r="P8" s="2185"/>
      <c r="Q8" s="2185"/>
      <c r="R8" s="292"/>
      <c r="S8" s="1349"/>
      <c r="T8" s="236"/>
      <c r="U8" s="236"/>
      <c r="V8" s="261"/>
      <c r="W8" s="261"/>
      <c r="X8" s="264" t="str">
        <f>Y7&amp;"-"&amp;AA7</f>
        <v>-</v>
      </c>
      <c r="Y8" s="2190"/>
      <c r="Z8" s="2047"/>
      <c r="AA8" s="2190"/>
      <c r="AB8" s="2047"/>
      <c r="AC8" s="261"/>
      <c r="AD8" s="261"/>
      <c r="AE8" s="264" t="str">
        <f>AF7&amp;"-"&amp;AH7</f>
        <v>-</v>
      </c>
      <c r="AF8" s="2190"/>
      <c r="AG8" s="2047"/>
      <c r="AH8" s="2209"/>
      <c r="AI8" s="2047"/>
      <c r="AJ8" s="1364"/>
      <c r="AK8" s="2252"/>
      <c r="AM8" s="435"/>
      <c r="AN8" s="435" t="str">
        <f t="shared" si="0"/>
        <v/>
      </c>
      <c r="AO8" s="435"/>
      <c r="AP8" s="435"/>
      <c r="AQ8" s="1080">
        <v>0</v>
      </c>
    </row>
    <row r="9" spans="1:43" ht="21" hidden="1" customHeight="1">
      <c r="A9" s="1288"/>
      <c r="B9" s="1288"/>
      <c r="C9" s="1288"/>
      <c r="D9" s="1288"/>
      <c r="E9" s="2187"/>
      <c r="F9" s="2187"/>
      <c r="G9" s="2187"/>
      <c r="H9" s="2187"/>
      <c r="I9" s="2207"/>
      <c r="J9" s="2184"/>
      <c r="K9" s="1288"/>
      <c r="L9" s="1289"/>
      <c r="P9" s="2185"/>
      <c r="Q9" s="2185"/>
      <c r="R9" s="291"/>
      <c r="S9" s="1203"/>
      <c r="T9" s="223" t="s">
        <v>485</v>
      </c>
      <c r="U9" s="302"/>
      <c r="V9" s="302"/>
      <c r="W9" s="302"/>
      <c r="X9" s="302"/>
      <c r="Y9" s="302"/>
      <c r="Z9" s="302"/>
      <c r="AA9" s="302"/>
      <c r="AB9" s="302"/>
      <c r="AC9" s="302"/>
      <c r="AD9" s="302"/>
      <c r="AE9" s="302"/>
      <c r="AF9" s="302"/>
      <c r="AG9" s="302"/>
      <c r="AH9" s="302"/>
      <c r="AI9" s="302"/>
      <c r="AJ9" s="302"/>
      <c r="AK9" s="1183" t="s">
        <v>486</v>
      </c>
      <c r="AM9" s="435"/>
      <c r="AN9" s="435" t="str">
        <f t="shared" si="0"/>
        <v>Добавить значение признака дифференциации</v>
      </c>
      <c r="AO9" s="435"/>
      <c r="AP9" s="435"/>
      <c r="AQ9" s="1080">
        <v>0</v>
      </c>
    </row>
    <row r="10" spans="1:43" ht="21" hidden="1" customHeight="1">
      <c r="A10" s="1288"/>
      <c r="B10" s="1288"/>
      <c r="C10" s="1288"/>
      <c r="D10" s="1288"/>
      <c r="E10" s="2187"/>
      <c r="F10" s="2187"/>
      <c r="G10" s="2187"/>
      <c r="H10" s="2187"/>
      <c r="I10" s="2184"/>
      <c r="J10" s="1288"/>
      <c r="K10" s="1288"/>
      <c r="L10" s="1289"/>
      <c r="P10" s="2185"/>
      <c r="Q10" s="1347"/>
      <c r="R10" s="291"/>
      <c r="S10" s="1203"/>
      <c r="T10" s="300" t="s">
        <v>411</v>
      </c>
      <c r="U10" s="302"/>
      <c r="V10" s="302"/>
      <c r="W10" s="302"/>
      <c r="X10" s="302"/>
      <c r="Y10" s="302"/>
      <c r="Z10" s="302"/>
      <c r="AA10" s="302"/>
      <c r="AB10" s="301"/>
      <c r="AC10" s="302"/>
      <c r="AD10" s="302"/>
      <c r="AE10" s="302"/>
      <c r="AF10" s="302"/>
      <c r="AG10" s="302"/>
      <c r="AH10" s="302"/>
      <c r="AI10" s="301"/>
      <c r="AJ10" s="302"/>
      <c r="AK10" s="1365"/>
      <c r="AM10" s="435"/>
      <c r="AN10" s="435" t="str">
        <f t="shared" si="0"/>
        <v>Добавить группу потребителей</v>
      </c>
      <c r="AO10" s="435"/>
      <c r="AP10" s="435"/>
      <c r="AQ10" s="1080">
        <v>0</v>
      </c>
    </row>
    <row r="11" spans="1:43" ht="14.25" hidden="1" customHeight="1">
      <c r="A11" s="1288"/>
      <c r="B11" s="1288"/>
      <c r="C11" s="1288"/>
      <c r="D11" s="1288"/>
      <c r="E11" s="2187"/>
      <c r="F11" s="2187"/>
      <c r="G11" s="2187"/>
      <c r="H11" s="2186"/>
      <c r="I11" s="1288"/>
      <c r="J11" s="1288"/>
      <c r="K11" s="1288"/>
      <c r="L11" s="1289"/>
      <c r="M11" s="1290"/>
      <c r="N11" s="1290"/>
      <c r="O11" s="472"/>
      <c r="P11" s="295"/>
      <c r="Q11" s="310"/>
      <c r="R11" s="290"/>
      <c r="S11" s="1203"/>
      <c r="T11" s="307" t="s">
        <v>487</v>
      </c>
      <c r="U11" s="302"/>
      <c r="V11" s="302"/>
      <c r="W11" s="302"/>
      <c r="X11" s="302"/>
      <c r="Y11" s="302"/>
      <c r="Z11" s="302"/>
      <c r="AA11" s="302"/>
      <c r="AB11" s="301"/>
      <c r="AC11" s="302"/>
      <c r="AD11" s="302"/>
      <c r="AE11" s="302"/>
      <c r="AF11" s="302"/>
      <c r="AG11" s="302"/>
      <c r="AH11" s="302"/>
      <c r="AI11" s="301"/>
      <c r="AJ11" s="302"/>
      <c r="AK11" s="239"/>
      <c r="AM11" s="435"/>
      <c r="AN11" s="435" t="str">
        <f t="shared" si="0"/>
        <v>Добавить наименование признака дифференциации</v>
      </c>
      <c r="AO11" s="435"/>
      <c r="AP11" s="435"/>
      <c r="AQ11" s="1080">
        <v>0</v>
      </c>
    </row>
    <row r="12" spans="1:43" s="1567" customFormat="1" ht="14.25" hidden="1" customHeight="1">
      <c r="A12" s="1268"/>
      <c r="B12" s="1268"/>
      <c r="C12" s="1239"/>
      <c r="D12" s="1239"/>
      <c r="E12" s="2187"/>
      <c r="F12" s="2186"/>
      <c r="G12" s="1239"/>
      <c r="H12" s="1239"/>
      <c r="I12" s="1239"/>
      <c r="J12" s="1239"/>
      <c r="K12" s="1239"/>
      <c r="L12" s="1351"/>
      <c r="M12" s="1246"/>
      <c r="N12" s="1246"/>
      <c r="P12" s="1241"/>
      <c r="Q12" s="1242"/>
      <c r="R12" s="1241"/>
      <c r="S12" s="1247"/>
      <c r="T12" s="1250" t="s">
        <v>414</v>
      </c>
      <c r="U12" s="1249"/>
      <c r="V12" s="1249"/>
      <c r="W12" s="1249"/>
      <c r="X12" s="1249"/>
      <c r="Y12" s="1249"/>
      <c r="Z12" s="1249"/>
      <c r="AA12" s="1249"/>
      <c r="AB12" s="1249"/>
      <c r="AC12" s="1249"/>
      <c r="AD12" s="1249"/>
      <c r="AE12" s="1249"/>
      <c r="AF12" s="1249"/>
      <c r="AG12" s="1249"/>
      <c r="AH12" s="1249"/>
      <c r="AI12" s="1249"/>
      <c r="AJ12" s="1249"/>
      <c r="AK12" s="1249"/>
      <c r="AM12" s="718"/>
      <c r="AN12" s="718" t="str">
        <f t="shared" si="0"/>
        <v>Добавить централизованную систему для дифференциации</v>
      </c>
      <c r="AO12" s="718"/>
      <c r="AP12" s="718"/>
      <c r="AQ12" s="453">
        <v>0</v>
      </c>
    </row>
    <row r="13" spans="1:43" s="1567" customFormat="1" ht="14.25" hidden="1" customHeight="1">
      <c r="A13" s="1268"/>
      <c r="B13" s="1268"/>
      <c r="C13" s="1268"/>
      <c r="D13" s="1268"/>
      <c r="E13" s="2186"/>
      <c r="F13" s="1268"/>
      <c r="G13" s="1268"/>
      <c r="H13" s="1268"/>
      <c r="I13" s="1268"/>
      <c r="J13" s="1268"/>
      <c r="K13" s="1268"/>
      <c r="L13" s="1271"/>
      <c r="M13" s="1246"/>
      <c r="N13" s="1246"/>
      <c r="O13" s="453"/>
      <c r="P13" s="315"/>
      <c r="Q13" s="1269"/>
      <c r="R13" s="315"/>
      <c r="S13" s="1247"/>
      <c r="T13" s="1250" t="s">
        <v>415</v>
      </c>
      <c r="U13" s="1249"/>
      <c r="V13" s="1249"/>
      <c r="W13" s="1249"/>
      <c r="X13" s="1249"/>
      <c r="Y13" s="1249"/>
      <c r="Z13" s="1249"/>
      <c r="AA13" s="1249"/>
      <c r="AB13" s="1249"/>
      <c r="AC13" s="1249"/>
      <c r="AD13" s="1249"/>
      <c r="AE13" s="1249"/>
      <c r="AF13" s="1249"/>
      <c r="AG13" s="1249"/>
      <c r="AH13" s="1249"/>
      <c r="AI13" s="1249"/>
      <c r="AJ13" s="1249"/>
      <c r="AK13" s="1249"/>
      <c r="AM13" s="435"/>
      <c r="AN13" s="435" t="str">
        <f t="shared" si="0"/>
        <v>Добавить территорию для дифференциации</v>
      </c>
      <c r="AO13" s="435"/>
      <c r="AP13" s="435"/>
      <c r="AQ13" s="446">
        <v>0</v>
      </c>
    </row>
    <row r="14" spans="1:43" ht="14.25" hidden="1" customHeight="1">
      <c r="AB14" s="263"/>
      <c r="AI14" s="263"/>
      <c r="AQ14" s="1080">
        <v>0</v>
      </c>
    </row>
    <row r="15" spans="1:43" ht="14.25" hidden="1" customHeight="1">
      <c r="AC15" s="1285"/>
      <c r="AD15" s="1285"/>
      <c r="AE15" s="1286"/>
      <c r="AF15" s="2191"/>
      <c r="AG15" s="2192" t="s">
        <v>66</v>
      </c>
      <c r="AH15" s="2191"/>
      <c r="AI15" s="2192" t="s">
        <v>66</v>
      </c>
      <c r="AQ15" s="1080">
        <v>0</v>
      </c>
    </row>
    <row r="16" spans="1:43" ht="14.25" hidden="1" customHeight="1">
      <c r="AC16" s="1285"/>
      <c r="AD16" s="1285"/>
      <c r="AE16" s="264" t="str">
        <f>AF15&amp;"-"&amp;AH15</f>
        <v>-</v>
      </c>
      <c r="AF16" s="2192"/>
      <c r="AG16" s="2192"/>
      <c r="AH16" s="2192"/>
      <c r="AI16" s="2192"/>
      <c r="AQ16" s="1080">
        <v>0</v>
      </c>
    </row>
    <row r="17" spans="1:43" ht="14.25" hidden="1" customHeight="1">
      <c r="AI17" s="263"/>
      <c r="AQ17" s="1080">
        <v>0</v>
      </c>
    </row>
    <row r="18" spans="1:43" s="1291" customFormat="1" ht="22.5" hidden="1" customHeight="1">
      <c r="L18" s="1346"/>
      <c r="M18" s="1287"/>
      <c r="N18" s="1287"/>
      <c r="O18" s="1292" t="s">
        <v>416</v>
      </c>
      <c r="P18" s="1287"/>
      <c r="Q18" s="1296"/>
      <c r="R18" s="1296"/>
      <c r="S18" s="664"/>
      <c r="Y18" s="1292"/>
      <c r="AA18" s="1292"/>
      <c r="AF18" s="1292"/>
      <c r="AH18" s="1292"/>
      <c r="AL18" s="446"/>
      <c r="AM18" s="446"/>
      <c r="AN18" s="446"/>
      <c r="AO18" s="446"/>
      <c r="AP18" s="446"/>
      <c r="AQ18" s="1085">
        <v>0</v>
      </c>
    </row>
    <row r="19" spans="1:43" s="1291" customFormat="1" ht="14.25" hidden="1" customHeight="1">
      <c r="L19" s="1346"/>
      <c r="M19" s="1287"/>
      <c r="N19" s="1287"/>
      <c r="O19" s="1287"/>
      <c r="P19" s="1287"/>
      <c r="Q19" s="1296"/>
      <c r="R19" s="1296"/>
      <c r="S19" s="664"/>
      <c r="AL19" s="446"/>
      <c r="AM19" s="446"/>
      <c r="AN19" s="446"/>
      <c r="AO19" s="446"/>
      <c r="AP19" s="446"/>
      <c r="AQ19" s="1085">
        <v>0</v>
      </c>
    </row>
    <row r="20" spans="1:43" s="1291" customFormat="1" ht="12" hidden="1" customHeight="1">
      <c r="L20" s="1346"/>
      <c r="M20" s="1287"/>
      <c r="N20" s="1287"/>
      <c r="O20" s="1289" t="s">
        <v>417</v>
      </c>
      <c r="P20" s="1287"/>
      <c r="Q20" s="1367"/>
      <c r="R20" s="1367"/>
      <c r="S20" s="664"/>
      <c r="T20" s="1085" t="s">
        <v>418</v>
      </c>
      <c r="Z20" s="122" t="s">
        <v>419</v>
      </c>
      <c r="AB20" s="122" t="s">
        <v>420</v>
      </c>
      <c r="AC20" s="1085" t="s">
        <v>418</v>
      </c>
      <c r="AG20" s="122" t="s">
        <v>421</v>
      </c>
      <c r="AI20" s="122" t="s">
        <v>420</v>
      </c>
      <c r="AQ20" s="1085">
        <v>0</v>
      </c>
    </row>
    <row r="21" spans="1:43" ht="14.25" hidden="1" customHeight="1">
      <c r="O21" s="1289"/>
      <c r="AQ21" s="1080">
        <v>0</v>
      </c>
    </row>
    <row r="22" spans="1:43" ht="14.25" hidden="1" customHeight="1">
      <c r="O22" s="1289"/>
      <c r="AQ22" s="1080">
        <v>0</v>
      </c>
    </row>
    <row r="23" spans="1:43" ht="14.65" customHeight="1">
      <c r="Q23" s="311"/>
      <c r="R23" s="311"/>
      <c r="S23" s="1200"/>
      <c r="T23" s="298"/>
      <c r="U23" s="298"/>
      <c r="V23" s="444"/>
      <c r="W23" s="444"/>
      <c r="X23" s="444"/>
      <c r="Y23" s="444"/>
      <c r="Z23" s="444"/>
      <c r="AA23" s="444"/>
      <c r="AB23" s="444"/>
      <c r="AC23" s="444"/>
      <c r="AD23" s="444"/>
      <c r="AE23" s="444"/>
      <c r="AF23" s="444"/>
      <c r="AG23" s="444"/>
      <c r="AH23" s="444"/>
      <c r="AI23" s="444"/>
      <c r="AQ23" s="1080">
        <v>14</v>
      </c>
    </row>
    <row r="24" spans="1:43" ht="14.65" customHeight="1">
      <c r="Q24" s="311"/>
      <c r="R24" s="311"/>
      <c r="S24" s="2170" t="str">
        <f>IF(TEMPLATE_GROUP="P",PT_P_FORM_COLDVSNA_4_NAME_FORM,PT_R_FORM_COLDVSNA_16_NAME_FORM)</f>
        <v>Форма 13. Информация о предложении организации холодного водоснабжения об установлении расчетной величины тарифов в сфере холодного водоснабжения</v>
      </c>
      <c r="T24" s="2170"/>
      <c r="U24" s="2170"/>
      <c r="V24" s="2170"/>
      <c r="W24" s="2170"/>
      <c r="X24" s="2170"/>
      <c r="Y24" s="2170"/>
      <c r="Z24" s="2170"/>
      <c r="AA24" s="2170"/>
      <c r="AB24" s="2170"/>
      <c r="AC24" s="2170"/>
      <c r="AD24" s="2170"/>
      <c r="AE24" s="2170"/>
      <c r="AF24" s="2170"/>
      <c r="AG24" s="2170"/>
      <c r="AH24" s="2170"/>
      <c r="AI24" s="1168"/>
      <c r="AQ24" s="1080">
        <v>14</v>
      </c>
    </row>
    <row r="25" spans="1:43" ht="14.65" customHeight="1">
      <c r="Q25" s="311"/>
      <c r="R25" s="311"/>
      <c r="S25" s="2115" t="str">
        <f>IF(org=0,"Не определено",org)</f>
        <v>ООО "ЗЕНИТ ЭНЕРГО"</v>
      </c>
      <c r="T25" s="2115"/>
      <c r="U25" s="2115"/>
      <c r="V25" s="2115"/>
      <c r="W25" s="2115"/>
      <c r="X25" s="2115"/>
      <c r="Y25" s="2115"/>
      <c r="Z25" s="2115"/>
      <c r="AA25" s="2115"/>
      <c r="AB25" s="2115"/>
      <c r="AC25" s="2115"/>
      <c r="AD25" s="2115"/>
      <c r="AE25" s="2115"/>
      <c r="AF25" s="2115"/>
      <c r="AG25" s="2115"/>
      <c r="AH25" s="2115"/>
      <c r="AI25" s="1168"/>
      <c r="AQ25" s="1080">
        <v>14</v>
      </c>
    </row>
    <row r="26" spans="1:43" ht="14.25" hidden="1" customHeight="1">
      <c r="Q26" s="311"/>
      <c r="R26" s="311"/>
      <c r="S26" s="1200"/>
      <c r="T26" s="298"/>
      <c r="U26" s="298"/>
      <c r="V26" s="258"/>
      <c r="W26" s="258"/>
      <c r="X26" s="258"/>
      <c r="Y26" s="258"/>
      <c r="Z26" s="258"/>
      <c r="AA26" s="258"/>
      <c r="AB26" s="258"/>
      <c r="AC26" s="258"/>
      <c r="AD26" s="258"/>
      <c r="AE26" s="258"/>
      <c r="AF26" s="258"/>
      <c r="AG26" s="258"/>
      <c r="AH26" s="258"/>
      <c r="AI26" s="258"/>
      <c r="AJ26" s="444"/>
      <c r="AQ26" s="1080">
        <v>0</v>
      </c>
    </row>
    <row r="27" spans="1:43" s="1777" customFormat="1" ht="25.5" hidden="1" customHeight="1">
      <c r="A27" s="1293"/>
      <c r="B27" s="1293"/>
      <c r="C27" s="1293"/>
      <c r="D27" s="1293"/>
      <c r="E27" s="1293"/>
      <c r="F27" s="1293"/>
      <c r="G27" s="1293"/>
      <c r="H27" s="1293"/>
      <c r="I27" s="1293"/>
      <c r="J27" s="1293"/>
      <c r="K27" s="1293"/>
      <c r="L27" s="1294"/>
      <c r="M27" s="1293"/>
      <c r="N27" s="1293"/>
      <c r="O27" s="1293"/>
      <c r="S27" s="2178" t="s">
        <v>42</v>
      </c>
      <c r="T27" s="2178"/>
      <c r="U27" s="1297"/>
      <c r="V27" s="2179" t="str">
        <f>IF(TITLE_NAME_OR_PR_CHANGE="",IF(TITLE_NAME_OR_PR="","",TITLE_NAME_OR_PR),TITLE_NAME_OR_PR_CHANGE)</f>
        <v/>
      </c>
      <c r="W27" s="2179"/>
      <c r="X27" s="2179"/>
      <c r="Y27" s="2179"/>
      <c r="Z27" s="2179"/>
      <c r="AA27" s="2179"/>
      <c r="AB27" s="262"/>
      <c r="AC27" s="2179" t="str">
        <f>IF(TITLE_NAME_OR_PR_CHANGE="",IF(TITLE_NAME_OR_PR="","",TITLE_NAME_OR_PR),TITLE_NAME_OR_PR_CHANGE)</f>
        <v/>
      </c>
      <c r="AD27" s="2179"/>
      <c r="AE27" s="2179"/>
      <c r="AF27" s="2179"/>
      <c r="AG27" s="2179"/>
      <c r="AH27" s="2179"/>
      <c r="AI27" s="262"/>
      <c r="AJ27" s="262"/>
      <c r="AK27" s="216"/>
      <c r="AL27" s="303"/>
      <c r="AM27" s="303"/>
      <c r="AN27" s="303"/>
      <c r="AO27" s="303"/>
      <c r="AP27" s="303"/>
      <c r="AQ27" s="353">
        <v>0</v>
      </c>
    </row>
    <row r="28" spans="1:43" s="1777" customFormat="1" ht="18.75" hidden="1" customHeight="1">
      <c r="A28" s="1293"/>
      <c r="B28" s="1293"/>
      <c r="C28" s="1293"/>
      <c r="D28" s="1293"/>
      <c r="E28" s="1293"/>
      <c r="F28" s="1293"/>
      <c r="G28" s="1293"/>
      <c r="H28" s="1293"/>
      <c r="I28" s="1293"/>
      <c r="J28" s="1293"/>
      <c r="K28" s="1293"/>
      <c r="L28" s="1294"/>
      <c r="M28" s="1293"/>
      <c r="N28" s="1293"/>
      <c r="O28" s="1293"/>
      <c r="S28" s="2178" t="s">
        <v>422</v>
      </c>
      <c r="T28" s="2178"/>
      <c r="U28" s="1297"/>
      <c r="V28" s="2188" t="str">
        <f>IF(TITLE_DATE_PR_CHANGE="",IF(TITLE_DATE_PR="","",TITLE_DATE_PR),TITLE_DATE_PR_CHANGE)</f>
        <v/>
      </c>
      <c r="W28" s="2188"/>
      <c r="X28" s="2188"/>
      <c r="Y28" s="2188"/>
      <c r="Z28" s="2188"/>
      <c r="AA28" s="2188"/>
      <c r="AB28" s="262"/>
      <c r="AC28" s="2188" t="str">
        <f>IF(TITLE_DATE_PR_CHANGE="",IF(TITLE_DATE_PR="","",TITLE_DATE_PR),TITLE_DATE_PR_CHANGE)</f>
        <v/>
      </c>
      <c r="AD28" s="2188"/>
      <c r="AE28" s="2188"/>
      <c r="AF28" s="2188"/>
      <c r="AG28" s="2188"/>
      <c r="AH28" s="2188"/>
      <c r="AI28" s="262"/>
      <c r="AJ28" s="262"/>
      <c r="AK28" s="216"/>
      <c r="AL28" s="303"/>
      <c r="AM28" s="303"/>
      <c r="AN28" s="303"/>
      <c r="AO28" s="303"/>
      <c r="AP28" s="303"/>
      <c r="AQ28" s="353">
        <v>0</v>
      </c>
    </row>
    <row r="29" spans="1:43" s="1777" customFormat="1" ht="18.75" hidden="1" customHeight="1">
      <c r="A29" s="1293"/>
      <c r="B29" s="1293"/>
      <c r="C29" s="1293"/>
      <c r="D29" s="1293"/>
      <c r="E29" s="1293"/>
      <c r="F29" s="1293"/>
      <c r="G29" s="1293"/>
      <c r="H29" s="1293"/>
      <c r="I29" s="1293"/>
      <c r="J29" s="1293"/>
      <c r="K29" s="1293"/>
      <c r="L29" s="1294"/>
      <c r="M29" s="1293"/>
      <c r="N29" s="1293"/>
      <c r="O29" s="1293"/>
      <c r="S29" s="2178" t="s">
        <v>423</v>
      </c>
      <c r="T29" s="2178"/>
      <c r="U29" s="1297"/>
      <c r="V29" s="2179" t="str">
        <f>IF(TITLE_NUMBER_PR_CHANGE="",IF(TITLE_NUMBER_PR="","",TITLE_NUMBER_PR),TITLE_NUMBER_PR_CHANGE)</f>
        <v/>
      </c>
      <c r="W29" s="2179"/>
      <c r="X29" s="2179"/>
      <c r="Y29" s="2179"/>
      <c r="Z29" s="2179"/>
      <c r="AA29" s="2179"/>
      <c r="AB29" s="262"/>
      <c r="AC29" s="2179" t="str">
        <f>IF(TITLE_NUMBER_PR_CHANGE="",IF(TITLE_NUMBER_PR="","",TITLE_NUMBER_PR),TITLE_NUMBER_PR_CHANGE)</f>
        <v/>
      </c>
      <c r="AD29" s="2179"/>
      <c r="AE29" s="2179"/>
      <c r="AF29" s="2179"/>
      <c r="AG29" s="2179"/>
      <c r="AH29" s="2179"/>
      <c r="AI29" s="262"/>
      <c r="AJ29" s="262"/>
      <c r="AK29" s="216"/>
      <c r="AL29" s="303"/>
      <c r="AM29" s="303"/>
      <c r="AN29" s="303"/>
      <c r="AO29" s="303"/>
      <c r="AP29" s="303"/>
      <c r="AQ29" s="353">
        <v>0</v>
      </c>
    </row>
    <row r="30" spans="1:43" s="1777" customFormat="1" ht="18.75" hidden="1" customHeight="1">
      <c r="A30" s="1293"/>
      <c r="B30" s="1293"/>
      <c r="C30" s="1293"/>
      <c r="D30" s="1293"/>
      <c r="E30" s="1293"/>
      <c r="F30" s="1293"/>
      <c r="G30" s="1293"/>
      <c r="H30" s="1293"/>
      <c r="I30" s="1293"/>
      <c r="J30" s="1293"/>
      <c r="K30" s="1293"/>
      <c r="L30" s="1294"/>
      <c r="M30" s="1293"/>
      <c r="N30" s="1293"/>
      <c r="O30" s="1293"/>
      <c r="S30" s="2178" t="s">
        <v>43</v>
      </c>
      <c r="T30" s="2178"/>
      <c r="U30" s="1297"/>
      <c r="V30" s="2179" t="str">
        <f>IF(TITLE_IST_PUB_CHANGE="",IF(TITLE_IST_PUB="","",TITLE_IST_PUB),TITLE_IST_PUB_CHANGE)</f>
        <v/>
      </c>
      <c r="W30" s="2179"/>
      <c r="X30" s="2179"/>
      <c r="Y30" s="2179"/>
      <c r="Z30" s="2179"/>
      <c r="AA30" s="2179"/>
      <c r="AB30" s="262"/>
      <c r="AC30" s="2179" t="str">
        <f>IF(TITLE_IST_PUB_CHANGE="",IF(TITLE_IST_PUB="","",TITLE_IST_PUB),TITLE_IST_PUB_CHANGE)</f>
        <v/>
      </c>
      <c r="AD30" s="2179"/>
      <c r="AE30" s="2179"/>
      <c r="AF30" s="2179"/>
      <c r="AG30" s="2179"/>
      <c r="AH30" s="2179"/>
      <c r="AI30" s="262"/>
      <c r="AJ30" s="262"/>
      <c r="AK30" s="216"/>
      <c r="AL30" s="303"/>
      <c r="AM30" s="303"/>
      <c r="AN30" s="303"/>
      <c r="AO30" s="303"/>
      <c r="AP30" s="303"/>
      <c r="AQ30" s="353">
        <v>0</v>
      </c>
    </row>
    <row r="31" spans="1:43" ht="14.25" hidden="1" customHeight="1">
      <c r="Q31" s="311"/>
      <c r="R31" s="311"/>
      <c r="S31" s="1200"/>
      <c r="T31" s="298"/>
      <c r="U31" s="298"/>
      <c r="V31" s="258"/>
      <c r="W31" s="258"/>
      <c r="X31" s="258"/>
      <c r="Y31" s="258"/>
      <c r="Z31" s="258"/>
      <c r="AA31" s="258"/>
      <c r="AB31" s="258"/>
      <c r="AC31" s="258"/>
      <c r="AD31" s="258"/>
      <c r="AE31" s="258"/>
      <c r="AF31" s="258"/>
      <c r="AG31" s="258"/>
      <c r="AH31" s="258"/>
      <c r="AI31" s="258"/>
      <c r="AJ31" s="444"/>
      <c r="AQ31" s="1080">
        <v>0</v>
      </c>
    </row>
    <row r="32" spans="1:43" s="1777" customFormat="1" ht="18.75" hidden="1" customHeight="1">
      <c r="A32" s="1293"/>
      <c r="B32" s="1293"/>
      <c r="C32" s="1293"/>
      <c r="D32" s="1293"/>
      <c r="E32" s="1293"/>
      <c r="F32" s="1293"/>
      <c r="G32" s="1293"/>
      <c r="H32" s="1293"/>
      <c r="I32" s="1293"/>
      <c r="J32" s="1293"/>
      <c r="K32" s="1293"/>
      <c r="L32" s="1294"/>
      <c r="M32" s="1293"/>
      <c r="N32" s="1293"/>
      <c r="O32" s="1293"/>
      <c r="S32" s="2178" t="s">
        <v>424</v>
      </c>
      <c r="T32" s="2178"/>
      <c r="U32" s="1297"/>
      <c r="V32" s="2188" t="str">
        <f>IF(TITLE_DATE_PR_CHANGE="",IF(TITLE_DATE_PR="","",TITLE_DATE_PR),TITLE_DATE_PR_CHANGE)</f>
        <v/>
      </c>
      <c r="W32" s="2188"/>
      <c r="X32" s="2188"/>
      <c r="Y32" s="2188"/>
      <c r="Z32" s="2188"/>
      <c r="AA32" s="2188"/>
      <c r="AB32" s="262"/>
      <c r="AC32" s="2188" t="str">
        <f>IF(TITLE_DATE_PR_CHANGE="",IF(TITLE_DATE_PR="","",TITLE_DATE_PR),TITLE_DATE_PR_CHANGE)</f>
        <v/>
      </c>
      <c r="AD32" s="2188"/>
      <c r="AE32" s="2188"/>
      <c r="AF32" s="2188"/>
      <c r="AG32" s="2188"/>
      <c r="AH32" s="2188"/>
      <c r="AI32" s="262"/>
      <c r="AJ32" s="262"/>
      <c r="AK32" s="216"/>
      <c r="AL32" s="303"/>
      <c r="AM32" s="303"/>
      <c r="AN32" s="303"/>
      <c r="AO32" s="303"/>
      <c r="AP32" s="303"/>
      <c r="AQ32" s="353">
        <v>0</v>
      </c>
    </row>
    <row r="33" spans="1:43" s="1777" customFormat="1" ht="18.75" hidden="1" customHeight="1">
      <c r="A33" s="1293"/>
      <c r="B33" s="1293"/>
      <c r="C33" s="1293"/>
      <c r="D33" s="1293"/>
      <c r="E33" s="1293"/>
      <c r="F33" s="1293"/>
      <c r="G33" s="1293"/>
      <c r="H33" s="1293"/>
      <c r="I33" s="1293"/>
      <c r="J33" s="1293"/>
      <c r="K33" s="1293"/>
      <c r="L33" s="1294"/>
      <c r="M33" s="1293"/>
      <c r="N33" s="1293"/>
      <c r="O33" s="1293"/>
      <c r="S33" s="2178" t="s">
        <v>425</v>
      </c>
      <c r="T33" s="2178"/>
      <c r="U33" s="1297"/>
      <c r="V33" s="2179" t="str">
        <f>IF(TITLE_NUMBER_PR_CHANGE="",IF(TITLE_NUMBER_PR="","",TITLE_NUMBER_PR),TITLE_NUMBER_PR_CHANGE)</f>
        <v/>
      </c>
      <c r="W33" s="2179"/>
      <c r="X33" s="2179"/>
      <c r="Y33" s="2179"/>
      <c r="Z33" s="2179"/>
      <c r="AA33" s="2179"/>
      <c r="AB33" s="262"/>
      <c r="AC33" s="2179" t="str">
        <f>IF(TITLE_NUMBER_PR_CHANGE="",IF(TITLE_NUMBER_PR="","",TITLE_NUMBER_PR),TITLE_NUMBER_PR_CHANGE)</f>
        <v/>
      </c>
      <c r="AD33" s="2179"/>
      <c r="AE33" s="2179"/>
      <c r="AF33" s="2179"/>
      <c r="AG33" s="2179"/>
      <c r="AH33" s="2179"/>
      <c r="AI33" s="262"/>
      <c r="AJ33" s="262"/>
      <c r="AK33" s="216"/>
      <c r="AL33" s="303"/>
      <c r="AM33" s="303"/>
      <c r="AN33" s="303"/>
      <c r="AO33" s="303"/>
      <c r="AP33" s="303"/>
      <c r="AQ33" s="353">
        <v>0</v>
      </c>
    </row>
    <row r="34" spans="1:43" s="1777" customFormat="1" ht="1.1499999999999999" customHeight="1">
      <c r="A34" s="1293"/>
      <c r="B34" s="1293"/>
      <c r="C34" s="1293"/>
      <c r="D34" s="1293"/>
      <c r="E34" s="1293"/>
      <c r="F34" s="1293"/>
      <c r="G34" s="1293"/>
      <c r="H34" s="1293"/>
      <c r="I34" s="1293"/>
      <c r="J34" s="1293"/>
      <c r="K34" s="1293"/>
      <c r="L34" s="1294"/>
      <c r="M34" s="1293"/>
      <c r="N34" s="1293"/>
      <c r="O34" s="1293"/>
      <c r="S34" s="259"/>
      <c r="T34" s="259"/>
      <c r="U34" s="1280"/>
      <c r="V34" s="262"/>
      <c r="W34" s="262"/>
      <c r="X34" s="262"/>
      <c r="Y34" s="262"/>
      <c r="Z34" s="262"/>
      <c r="AA34" s="262"/>
      <c r="AB34" s="214" t="s">
        <v>426</v>
      </c>
      <c r="AC34" s="262"/>
      <c r="AD34" s="262"/>
      <c r="AE34" s="262"/>
      <c r="AF34" s="262"/>
      <c r="AG34" s="262"/>
      <c r="AH34" s="262"/>
      <c r="AI34" s="214" t="s">
        <v>426</v>
      </c>
      <c r="AL34" s="303"/>
      <c r="AM34" s="303"/>
      <c r="AN34" s="303"/>
      <c r="AO34" s="303"/>
      <c r="AP34" s="303"/>
      <c r="AQ34" s="353">
        <v>1</v>
      </c>
    </row>
    <row r="35" spans="1:43" ht="14.65" customHeight="1">
      <c r="Q35" s="311"/>
      <c r="R35" s="311"/>
      <c r="S35" s="1200"/>
      <c r="T35" s="298"/>
      <c r="U35" s="1169"/>
      <c r="V35" s="2180"/>
      <c r="W35" s="2180"/>
      <c r="X35" s="2180"/>
      <c r="Y35" s="2180"/>
      <c r="Z35" s="2180"/>
      <c r="AA35" s="2180"/>
      <c r="AB35" s="2180"/>
      <c r="AC35" s="2180"/>
      <c r="AD35" s="2180"/>
      <c r="AE35" s="2180"/>
      <c r="AF35" s="2180"/>
      <c r="AG35" s="2180"/>
      <c r="AH35" s="2180"/>
      <c r="AI35" s="2180"/>
      <c r="AQ35" s="1080">
        <v>14</v>
      </c>
    </row>
    <row r="36" spans="1:43" ht="14.65" customHeight="1">
      <c r="Q36" s="311"/>
      <c r="R36" s="311"/>
      <c r="S36" s="2066" t="s">
        <v>299</v>
      </c>
      <c r="T36" s="2066"/>
      <c r="U36" s="2066"/>
      <c r="V36" s="2066"/>
      <c r="W36" s="2066"/>
      <c r="X36" s="2066"/>
      <c r="Y36" s="2066"/>
      <c r="Z36" s="2066"/>
      <c r="AA36" s="2066"/>
      <c r="AB36" s="2066"/>
      <c r="AC36" s="2066"/>
      <c r="AD36" s="2066"/>
      <c r="AE36" s="2066"/>
      <c r="AF36" s="2066"/>
      <c r="AG36" s="2066"/>
      <c r="AH36" s="2066"/>
      <c r="AI36" s="2066"/>
      <c r="AJ36" s="2066"/>
      <c r="AK36" s="2066" t="s">
        <v>300</v>
      </c>
      <c r="AQ36" s="1080">
        <v>14</v>
      </c>
    </row>
    <row r="37" spans="1:43" ht="14.65" customHeight="1">
      <c r="Q37" s="311"/>
      <c r="R37" s="311"/>
      <c r="S37" s="2194" t="s">
        <v>88</v>
      </c>
      <c r="T37" s="2145" t="s">
        <v>427</v>
      </c>
      <c r="U37" s="237"/>
      <c r="V37" s="2195" t="s">
        <v>428</v>
      </c>
      <c r="W37" s="2196"/>
      <c r="X37" s="2196"/>
      <c r="Y37" s="2196"/>
      <c r="Z37" s="2196"/>
      <c r="AA37" s="2197"/>
      <c r="AB37" s="2198" t="s">
        <v>429</v>
      </c>
      <c r="AC37" s="2195" t="s">
        <v>428</v>
      </c>
      <c r="AD37" s="2196"/>
      <c r="AE37" s="2196"/>
      <c r="AF37" s="2196"/>
      <c r="AG37" s="2196"/>
      <c r="AH37" s="2197"/>
      <c r="AI37" s="2198" t="s">
        <v>430</v>
      </c>
      <c r="AJ37" s="2201" t="s">
        <v>431</v>
      </c>
      <c r="AK37" s="2066"/>
      <c r="AQ37" s="1080">
        <v>14</v>
      </c>
    </row>
    <row r="38" spans="1:43" ht="35.65" customHeight="1">
      <c r="Q38" s="311"/>
      <c r="R38" s="311"/>
      <c r="S38" s="2194"/>
      <c r="T38" s="2145"/>
      <c r="U38" s="959"/>
      <c r="V38" s="1277" t="s">
        <v>488</v>
      </c>
      <c r="W38" s="2038" t="s">
        <v>434</v>
      </c>
      <c r="X38" s="2037"/>
      <c r="Y38" s="2038" t="s">
        <v>435</v>
      </c>
      <c r="Z38" s="2043"/>
      <c r="AA38" s="2037"/>
      <c r="AB38" s="2199"/>
      <c r="AC38" s="1277" t="s">
        <v>488</v>
      </c>
      <c r="AD38" s="2038" t="s">
        <v>434</v>
      </c>
      <c r="AE38" s="2037"/>
      <c r="AF38" s="2038" t="s">
        <v>435</v>
      </c>
      <c r="AG38" s="2043"/>
      <c r="AH38" s="2037"/>
      <c r="AI38" s="2199"/>
      <c r="AJ38" s="2202"/>
      <c r="AK38" s="2066"/>
      <c r="AQ38" s="1080">
        <v>34</v>
      </c>
    </row>
    <row r="39" spans="1:43" ht="35.65" customHeight="1">
      <c r="A39" s="1295"/>
      <c r="B39" s="1295" t="s">
        <v>136</v>
      </c>
      <c r="C39" s="1295" t="s">
        <v>137</v>
      </c>
      <c r="D39" s="1295" t="s">
        <v>138</v>
      </c>
      <c r="E39" s="1289" t="s">
        <v>436</v>
      </c>
      <c r="F39" s="1289" t="s">
        <v>437</v>
      </c>
      <c r="G39" s="1289" t="s">
        <v>438</v>
      </c>
      <c r="H39" s="1289"/>
      <c r="I39" s="1289" t="s">
        <v>489</v>
      </c>
      <c r="J39" s="1289" t="s">
        <v>441</v>
      </c>
      <c r="K39" s="1289" t="s">
        <v>490</v>
      </c>
      <c r="L39" s="1289" t="s">
        <v>417</v>
      </c>
      <c r="Q39" s="311"/>
      <c r="R39" s="311"/>
      <c r="S39" s="2194"/>
      <c r="T39" s="2145"/>
      <c r="U39" s="238"/>
      <c r="V39" s="1277" t="s">
        <v>491</v>
      </c>
      <c r="W39" s="1147" t="s">
        <v>492</v>
      </c>
      <c r="X39" s="1147" t="s">
        <v>493</v>
      </c>
      <c r="Y39" s="1282" t="s">
        <v>445</v>
      </c>
      <c r="Z39" s="2154" t="s">
        <v>446</v>
      </c>
      <c r="AA39" s="2156"/>
      <c r="AB39" s="2200"/>
      <c r="AC39" s="1277" t="s">
        <v>491</v>
      </c>
      <c r="AD39" s="1147" t="s">
        <v>492</v>
      </c>
      <c r="AE39" s="1147" t="s">
        <v>493</v>
      </c>
      <c r="AF39" s="1282" t="s">
        <v>445</v>
      </c>
      <c r="AG39" s="2154" t="s">
        <v>446</v>
      </c>
      <c r="AH39" s="2156"/>
      <c r="AI39" s="2200"/>
      <c r="AJ39" s="2203"/>
      <c r="AK39" s="2066"/>
      <c r="AQ39" s="1080">
        <v>34</v>
      </c>
    </row>
    <row r="40" spans="1:43" s="1566" customFormat="1" ht="11.25" hidden="1" customHeight="1">
      <c r="A40" s="1295"/>
      <c r="B40" s="1295"/>
      <c r="C40" s="1295"/>
      <c r="D40" s="1295"/>
      <c r="E40" s="1295"/>
      <c r="F40" s="1295"/>
      <c r="G40" s="1295"/>
      <c r="H40" s="1295"/>
      <c r="I40" s="1295"/>
      <c r="J40" s="1295"/>
      <c r="K40" s="1295"/>
      <c r="L40" s="1289"/>
      <c r="M40" s="1287"/>
      <c r="N40" s="1287"/>
      <c r="O40" s="1287"/>
      <c r="P40" s="1171"/>
      <c r="Q40" s="1172"/>
      <c r="R40" s="1179">
        <v>1</v>
      </c>
      <c r="S40" s="1202" t="s">
        <v>109</v>
      </c>
      <c r="T40" s="1180" t="s">
        <v>110</v>
      </c>
      <c r="U40" s="1170" t="str">
        <f ca="1">OFFSET(U40,0,-1)</f>
        <v>2</v>
      </c>
      <c r="V40" s="1278">
        <f ca="1">OFFSET(V40,0,-1)+1</f>
        <v>3</v>
      </c>
      <c r="W40" s="1278">
        <f ca="1">OFFSET(W40,0,-1)+1</f>
        <v>4</v>
      </c>
      <c r="X40" s="1278">
        <f ca="1">OFFSET(X40,0,-1)+1</f>
        <v>5</v>
      </c>
      <c r="Y40" s="1278">
        <f ca="1">OFFSET(Y40,0,-1)+1</f>
        <v>6</v>
      </c>
      <c r="Z40" s="2193">
        <f ca="1">OFFSET(Z40,0,-1)+1</f>
        <v>7</v>
      </c>
      <c r="AA40" s="2193"/>
      <c r="AB40" s="1278">
        <f ca="1">OFFSET(AB40,0,-2)+1</f>
        <v>8</v>
      </c>
      <c r="AC40" s="1278">
        <f ca="1">OFFSET(AC40,0,-1)+1</f>
        <v>9</v>
      </c>
      <c r="AD40" s="1278">
        <f ca="1">OFFSET(AD40,0,-1)+1</f>
        <v>10</v>
      </c>
      <c r="AE40" s="1278">
        <f ca="1">OFFSET(AE40,0,-1)+1</f>
        <v>11</v>
      </c>
      <c r="AF40" s="1278">
        <f ca="1">OFFSET(AF40,0,-1)+1</f>
        <v>12</v>
      </c>
      <c r="AG40" s="2193">
        <f ca="1">OFFSET(AG40,0,-1)+1</f>
        <v>13</v>
      </c>
      <c r="AH40" s="2193"/>
      <c r="AI40" s="1278">
        <f ca="1">OFFSET(AI40,0,-2)+1</f>
        <v>14</v>
      </c>
      <c r="AJ40" s="1170">
        <f ca="1">OFFSET(AJ40,0,-1)</f>
        <v>14</v>
      </c>
      <c r="AK40" s="1278">
        <f ca="1">OFFSET(AK40,0,-1)+1</f>
        <v>15</v>
      </c>
      <c r="AL40" s="446"/>
      <c r="AM40" s="446"/>
      <c r="AN40" s="446"/>
      <c r="AO40" s="446"/>
      <c r="AP40" s="446"/>
      <c r="AQ40" s="431">
        <v>0</v>
      </c>
    </row>
    <row r="41" spans="1:43" ht="24" customHeight="1">
      <c r="A41" s="1288" t="s">
        <v>225</v>
      </c>
      <c r="B41" s="1288"/>
      <c r="C41" s="1288"/>
      <c r="D41" s="1288"/>
      <c r="E41" s="2186">
        <v>1</v>
      </c>
      <c r="F41" s="1288"/>
      <c r="G41" s="1288"/>
      <c r="H41" s="1288"/>
      <c r="I41" s="1288"/>
      <c r="J41" s="1288"/>
      <c r="K41" s="1288"/>
      <c r="L41" s="1289"/>
      <c r="M41" s="1290"/>
      <c r="N41" s="1290"/>
      <c r="O41" s="1290"/>
      <c r="P41" s="296"/>
      <c r="Q41" s="295"/>
      <c r="R41" s="290"/>
      <c r="S41" s="1283">
        <f>INDEX(PT_DIFFERENTIATION_NUM_NTAR,MATCH(A41,PT_DIFFERENTIATION_NTAR_ID,0))</f>
        <v>0</v>
      </c>
      <c r="T41" s="234" t="s">
        <v>124</v>
      </c>
      <c r="U41" s="236"/>
      <c r="V41" s="2172"/>
      <c r="W41" s="2173"/>
      <c r="X41" s="2173"/>
      <c r="Y41" s="2173"/>
      <c r="Z41" s="2173"/>
      <c r="AA41" s="2173"/>
      <c r="AB41" s="2174"/>
      <c r="AC41" s="2172" t="str">
        <f>INDEX(PT_DIFFERENTIATION_NTAR,MATCH(A41,PT_DIFFERENTIATION_NTAR_ID,0))</f>
        <v/>
      </c>
      <c r="AD41" s="2173"/>
      <c r="AE41" s="2173"/>
      <c r="AF41" s="2173"/>
      <c r="AG41" s="2173"/>
      <c r="AH41" s="2173"/>
      <c r="AI41" s="2173"/>
      <c r="AJ41" s="2174"/>
      <c r="AK41" s="1183"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41" s="435"/>
      <c r="AN41" s="435" t="str">
        <f t="shared" ref="AN41:AN53" si="1">IF(T41="","",T41)</f>
        <v>Наименование тарифа</v>
      </c>
      <c r="AO41" s="435"/>
      <c r="AP41" s="435"/>
      <c r="AQ41" s="1080">
        <v>23</v>
      </c>
    </row>
    <row r="42" spans="1:43" ht="24" customHeight="1">
      <c r="A42" s="1288" t="s">
        <v>225</v>
      </c>
      <c r="B42" s="1288" t="s">
        <v>226</v>
      </c>
      <c r="C42" s="1288"/>
      <c r="D42" s="1288"/>
      <c r="E42" s="2187"/>
      <c r="F42" s="2186">
        <v>1</v>
      </c>
      <c r="G42" s="1288"/>
      <c r="H42" s="1288"/>
      <c r="I42" s="1288"/>
      <c r="J42" s="1288"/>
      <c r="K42" s="1288"/>
      <c r="L42" s="1289"/>
      <c r="M42" s="1290"/>
      <c r="N42" s="1290"/>
      <c r="O42" s="1290"/>
      <c r="P42" s="1281"/>
      <c r="Q42" s="287"/>
      <c r="R42" s="288"/>
      <c r="S42" s="1283" t="str">
        <f>INDEX(PT_DIFFERENTIATION_NUM_TER,MATCH(B42,PT_DIFFERENTIATION_TER_ID,0))</f>
        <v>.</v>
      </c>
      <c r="T42" s="244" t="s">
        <v>396</v>
      </c>
      <c r="U42" s="236"/>
      <c r="V42" s="2172"/>
      <c r="W42" s="2173"/>
      <c r="X42" s="2173"/>
      <c r="Y42" s="2173"/>
      <c r="Z42" s="2173"/>
      <c r="AA42" s="2173"/>
      <c r="AB42" s="2174"/>
      <c r="AC42" s="2172" t="str">
        <f>INDEX(PT_DIFFERENTIATION_TER,MATCH(B42,PT_DIFFERENTIATION_TER_ID,0))</f>
        <v/>
      </c>
      <c r="AD42" s="2173"/>
      <c r="AE42" s="2173"/>
      <c r="AF42" s="2173"/>
      <c r="AG42" s="2173"/>
      <c r="AH42" s="2173"/>
      <c r="AI42" s="2173"/>
      <c r="AJ42" s="2174"/>
      <c r="AK42" s="1183" t="s">
        <v>397</v>
      </c>
      <c r="AM42" s="435"/>
      <c r="AN42" s="435" t="str">
        <f t="shared" si="1"/>
        <v>Территория действия тарифа</v>
      </c>
      <c r="AO42" s="435"/>
      <c r="AP42" s="435"/>
      <c r="AQ42" s="1080">
        <v>23</v>
      </c>
    </row>
    <row r="43" spans="1:43" ht="24" customHeight="1">
      <c r="A43" s="1288" t="s">
        <v>225</v>
      </c>
      <c r="B43" s="1288" t="s">
        <v>226</v>
      </c>
      <c r="C43" s="1288" t="s">
        <v>227</v>
      </c>
      <c r="D43" s="1288"/>
      <c r="E43" s="2187"/>
      <c r="F43" s="2187"/>
      <c r="G43" s="2186">
        <v>1</v>
      </c>
      <c r="H43" s="1288"/>
      <c r="I43" s="1288"/>
      <c r="J43" s="1288"/>
      <c r="K43" s="1288"/>
      <c r="L43" s="1289"/>
      <c r="M43" s="1290"/>
      <c r="N43" s="1290"/>
      <c r="O43" s="1290"/>
      <c r="P43" s="289"/>
      <c r="Q43" s="287"/>
      <c r="R43" s="288"/>
      <c r="S43" s="1283" t="str">
        <f>INDEX(PT_DIFFERENTIATION_NUM_CS,MATCH(C43,PT_DIFFERENTIATION_CS_ID,0))</f>
        <v>..</v>
      </c>
      <c r="T43" s="245" t="s">
        <v>480</v>
      </c>
      <c r="U43" s="236"/>
      <c r="V43" s="2172"/>
      <c r="W43" s="2173"/>
      <c r="X43" s="2173"/>
      <c r="Y43" s="2173"/>
      <c r="Z43" s="2173"/>
      <c r="AA43" s="2173"/>
      <c r="AB43" s="2174"/>
      <c r="AC43" s="2172" t="str">
        <f>INDEX(PT_DIFFERENTIATION_CS,MATCH(C43,PT_DIFFERENTIATION_CS_ID,0))</f>
        <v/>
      </c>
      <c r="AD43" s="2173"/>
      <c r="AE43" s="2173"/>
      <c r="AF43" s="2173"/>
      <c r="AG43" s="2173"/>
      <c r="AH43" s="2173"/>
      <c r="AI43" s="2173"/>
      <c r="AJ43" s="2174"/>
      <c r="AK43" s="1183" t="s">
        <v>481</v>
      </c>
      <c r="AM43" s="435"/>
      <c r="AN43" s="435" t="str">
        <f t="shared" si="1"/>
        <v>Наименование централизованной системы холодного водоснабжения</v>
      </c>
      <c r="AO43" s="435"/>
      <c r="AP43" s="435"/>
      <c r="AQ43" s="1080">
        <v>23</v>
      </c>
    </row>
    <row r="44" spans="1:43" ht="24" customHeight="1">
      <c r="A44" s="1288" t="s">
        <v>225</v>
      </c>
      <c r="B44" s="1288" t="s">
        <v>226</v>
      </c>
      <c r="C44" s="1288" t="s">
        <v>227</v>
      </c>
      <c r="D44" s="1288" t="s">
        <v>494</v>
      </c>
      <c r="E44" s="2187"/>
      <c r="F44" s="2187"/>
      <c r="G44" s="2187"/>
      <c r="H44" s="2187"/>
      <c r="I44" s="2184" t="str">
        <f>S43&amp;".1"</f>
        <v>...1</v>
      </c>
      <c r="J44" s="1288"/>
      <c r="K44" s="1288"/>
      <c r="L44" s="1289"/>
      <c r="P44" s="2185">
        <v>1</v>
      </c>
      <c r="Q44" s="1279"/>
      <c r="R44" s="291"/>
      <c r="S44" s="1283" t="str">
        <f>$I44</f>
        <v>...1</v>
      </c>
      <c r="T44" s="221" t="s">
        <v>482</v>
      </c>
      <c r="U44" s="236"/>
      <c r="V44" s="2253"/>
      <c r="W44" s="2254"/>
      <c r="X44" s="2254"/>
      <c r="Y44" s="2254"/>
      <c r="Z44" s="2254"/>
      <c r="AA44" s="2254"/>
      <c r="AB44" s="2255"/>
      <c r="AC44" s="2256"/>
      <c r="AD44" s="2257"/>
      <c r="AE44" s="2257"/>
      <c r="AF44" s="2257"/>
      <c r="AG44" s="2257"/>
      <c r="AH44" s="2257"/>
      <c r="AI44" s="2257"/>
      <c r="AJ44" s="2258"/>
      <c r="AK44" s="1183" t="s">
        <v>483</v>
      </c>
      <c r="AM44" s="435"/>
      <c r="AN44" s="435" t="str">
        <f t="shared" si="1"/>
        <v>Наименование признака дифференциации</v>
      </c>
      <c r="AO44" s="435"/>
      <c r="AP44" s="435"/>
      <c r="AQ44" s="1080">
        <v>23</v>
      </c>
    </row>
    <row r="45" spans="1:43" ht="24" customHeight="1">
      <c r="A45" s="1288" t="s">
        <v>225</v>
      </c>
      <c r="B45" s="1288" t="s">
        <v>226</v>
      </c>
      <c r="C45" s="1288" t="s">
        <v>227</v>
      </c>
      <c r="D45" s="1288" t="s">
        <v>494</v>
      </c>
      <c r="E45" s="2187"/>
      <c r="F45" s="2187"/>
      <c r="G45" s="2187"/>
      <c r="H45" s="2187"/>
      <c r="I45" s="2207"/>
      <c r="J45" s="2184" t="str">
        <f>I44&amp;".1"</f>
        <v>...1.1</v>
      </c>
      <c r="K45" s="1288"/>
      <c r="L45" s="1289" t="s">
        <v>405</v>
      </c>
      <c r="P45" s="2185"/>
      <c r="Q45" s="2185">
        <v>1</v>
      </c>
      <c r="R45" s="292"/>
      <c r="S45" s="1283" t="str">
        <f>$J45</f>
        <v>...1.1</v>
      </c>
      <c r="T45" s="222" t="s">
        <v>406</v>
      </c>
      <c r="U45" s="236"/>
      <c r="V45" s="2175"/>
      <c r="W45" s="2176"/>
      <c r="X45" s="2176"/>
      <c r="Y45" s="2176"/>
      <c r="Z45" s="2176"/>
      <c r="AA45" s="2176"/>
      <c r="AB45" s="2177"/>
      <c r="AC45" s="2175"/>
      <c r="AD45" s="2176"/>
      <c r="AE45" s="2176"/>
      <c r="AF45" s="2176"/>
      <c r="AG45" s="2176"/>
      <c r="AH45" s="2176"/>
      <c r="AI45" s="2176"/>
      <c r="AJ45" s="2177"/>
      <c r="AK45" s="1232" t="s">
        <v>484</v>
      </c>
      <c r="AM45" s="435"/>
      <c r="AN45" s="435" t="str">
        <f t="shared" si="1"/>
        <v>Группа потребителей</v>
      </c>
      <c r="AO45" s="435"/>
      <c r="AP45" s="435"/>
      <c r="AQ45" s="1080">
        <v>23</v>
      </c>
    </row>
    <row r="46" spans="1:43" ht="24" customHeight="1">
      <c r="A46" s="1288" t="s">
        <v>225</v>
      </c>
      <c r="B46" s="1288" t="s">
        <v>226</v>
      </c>
      <c r="C46" s="1288" t="s">
        <v>227</v>
      </c>
      <c r="D46" s="1288" t="s">
        <v>494</v>
      </c>
      <c r="E46" s="2187"/>
      <c r="F46" s="2187"/>
      <c r="G46" s="2187"/>
      <c r="H46" s="2187"/>
      <c r="I46" s="2207"/>
      <c r="J46" s="2207"/>
      <c r="K46" s="2184" t="str">
        <f>J45&amp;".1"</f>
        <v>...1.1.1</v>
      </c>
      <c r="L46" s="1289"/>
      <c r="P46" s="2185"/>
      <c r="Q46" s="2185"/>
      <c r="R46" s="292">
        <v>1</v>
      </c>
      <c r="S46" s="1283" t="str">
        <f>$K46</f>
        <v>...1.1.1</v>
      </c>
      <c r="T46" s="1362"/>
      <c r="U46" s="236"/>
      <c r="V46" s="1285"/>
      <c r="W46" s="1285"/>
      <c r="X46" s="1286"/>
      <c r="Y46" s="2191"/>
      <c r="Z46" s="2192" t="s">
        <v>66</v>
      </c>
      <c r="AA46" s="2191"/>
      <c r="AB46" s="2192" t="s">
        <v>66</v>
      </c>
      <c r="AC46" s="686"/>
      <c r="AD46" s="686"/>
      <c r="AE46" s="1182"/>
      <c r="AF46" s="2189"/>
      <c r="AG46" s="2047" t="s">
        <v>66</v>
      </c>
      <c r="AH46" s="2208"/>
      <c r="AI46" s="2047" t="s">
        <v>19</v>
      </c>
      <c r="AJ46" s="1363"/>
      <c r="AK46" s="2252"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46" s="446" t="e">
        <f ca="1">STRCHECKDATE(V47:AJ47)</f>
        <v>#NAME?</v>
      </c>
      <c r="AM46" s="435"/>
      <c r="AN46" s="435" t="str">
        <f t="shared" si="1"/>
        <v/>
      </c>
      <c r="AO46" s="435"/>
      <c r="AP46" s="435"/>
      <c r="AQ46" s="1080">
        <v>23</v>
      </c>
    </row>
    <row r="47" spans="1:43" ht="0" hidden="1" customHeight="1">
      <c r="A47" s="1288" t="s">
        <v>225</v>
      </c>
      <c r="B47" s="1288" t="s">
        <v>226</v>
      </c>
      <c r="C47" s="1288" t="s">
        <v>227</v>
      </c>
      <c r="D47" s="1288" t="s">
        <v>494</v>
      </c>
      <c r="E47" s="2187"/>
      <c r="F47" s="2187"/>
      <c r="G47" s="2187"/>
      <c r="H47" s="2187"/>
      <c r="I47" s="2207"/>
      <c r="J47" s="2207"/>
      <c r="K47" s="2184"/>
      <c r="L47" s="1289"/>
      <c r="P47" s="2185"/>
      <c r="Q47" s="2185"/>
      <c r="R47" s="292"/>
      <c r="S47" s="1284"/>
      <c r="T47" s="236"/>
      <c r="U47" s="236"/>
      <c r="V47" s="1285"/>
      <c r="W47" s="1285"/>
      <c r="X47" s="264" t="str">
        <f>Y46&amp;"-"&amp;AA46</f>
        <v>-</v>
      </c>
      <c r="Y47" s="2192"/>
      <c r="Z47" s="2192"/>
      <c r="AA47" s="2192"/>
      <c r="AB47" s="2192"/>
      <c r="AC47" s="261"/>
      <c r="AD47" s="261"/>
      <c r="AE47" s="264" t="str">
        <f>AF46&amp;"-"&amp;AH46</f>
        <v>-</v>
      </c>
      <c r="AF47" s="2190"/>
      <c r="AG47" s="2047"/>
      <c r="AH47" s="2209"/>
      <c r="AI47" s="2047"/>
      <c r="AJ47" s="1364"/>
      <c r="AK47" s="2252"/>
      <c r="AM47" s="435"/>
      <c r="AN47" s="435" t="str">
        <f t="shared" si="1"/>
        <v/>
      </c>
      <c r="AO47" s="435"/>
      <c r="AP47" s="435"/>
      <c r="AQ47" s="1080">
        <v>0</v>
      </c>
    </row>
    <row r="48" spans="1:43" ht="21" customHeight="1">
      <c r="A48" s="1288" t="s">
        <v>225</v>
      </c>
      <c r="B48" s="1288" t="s">
        <v>226</v>
      </c>
      <c r="C48" s="1288" t="s">
        <v>227</v>
      </c>
      <c r="D48" s="1288" t="s">
        <v>494</v>
      </c>
      <c r="E48" s="2187"/>
      <c r="F48" s="2187"/>
      <c r="G48" s="2187"/>
      <c r="H48" s="2187"/>
      <c r="I48" s="2207"/>
      <c r="J48" s="2184"/>
      <c r="K48" s="1288"/>
      <c r="L48" s="1289"/>
      <c r="P48" s="2185"/>
      <c r="Q48" s="2185"/>
      <c r="R48" s="291"/>
      <c r="S48" s="1203"/>
      <c r="T48" s="223" t="s">
        <v>485</v>
      </c>
      <c r="U48" s="302"/>
      <c r="V48" s="302"/>
      <c r="W48" s="302"/>
      <c r="X48" s="302"/>
      <c r="Y48" s="302"/>
      <c r="Z48" s="302"/>
      <c r="AA48" s="302"/>
      <c r="AB48" s="302"/>
      <c r="AC48" s="302"/>
      <c r="AD48" s="302"/>
      <c r="AE48" s="302"/>
      <c r="AF48" s="302"/>
      <c r="AG48" s="302"/>
      <c r="AH48" s="302"/>
      <c r="AI48" s="302"/>
      <c r="AJ48" s="302"/>
      <c r="AK48" s="1183" t="s">
        <v>486</v>
      </c>
      <c r="AM48" s="435"/>
      <c r="AN48" s="435" t="str">
        <f t="shared" si="1"/>
        <v>Добавить значение признака дифференциации</v>
      </c>
      <c r="AO48" s="435"/>
      <c r="AP48" s="435"/>
      <c r="AQ48" s="1080">
        <v>20</v>
      </c>
    </row>
    <row r="49" spans="1:43" ht="21.95" customHeight="1">
      <c r="A49" s="1288" t="s">
        <v>225</v>
      </c>
      <c r="B49" s="1288" t="s">
        <v>226</v>
      </c>
      <c r="C49" s="1288" t="s">
        <v>227</v>
      </c>
      <c r="D49" s="1288" t="s">
        <v>494</v>
      </c>
      <c r="E49" s="2187"/>
      <c r="F49" s="2187"/>
      <c r="G49" s="2187"/>
      <c r="H49" s="2187"/>
      <c r="I49" s="2184"/>
      <c r="J49" s="1288"/>
      <c r="K49" s="1288"/>
      <c r="L49" s="1289"/>
      <c r="P49" s="2185"/>
      <c r="Q49" s="1279"/>
      <c r="R49" s="291"/>
      <c r="S49" s="1203"/>
      <c r="T49" s="300" t="s">
        <v>411</v>
      </c>
      <c r="U49" s="302"/>
      <c r="V49" s="302"/>
      <c r="W49" s="302"/>
      <c r="X49" s="302"/>
      <c r="Y49" s="302"/>
      <c r="Z49" s="302"/>
      <c r="AA49" s="302"/>
      <c r="AB49" s="301"/>
      <c r="AC49" s="302"/>
      <c r="AD49" s="302"/>
      <c r="AE49" s="302"/>
      <c r="AF49" s="302"/>
      <c r="AG49" s="302"/>
      <c r="AH49" s="302"/>
      <c r="AI49" s="301"/>
      <c r="AJ49" s="302"/>
      <c r="AK49" s="1365"/>
      <c r="AM49" s="435"/>
      <c r="AN49" s="435" t="str">
        <f t="shared" si="1"/>
        <v>Добавить группу потребителей</v>
      </c>
      <c r="AO49" s="435"/>
      <c r="AP49" s="435"/>
      <c r="AQ49" s="1080">
        <v>21</v>
      </c>
    </row>
    <row r="50" spans="1:43" ht="21.95" customHeight="1">
      <c r="A50" s="1288" t="s">
        <v>225</v>
      </c>
      <c r="B50" s="1288" t="s">
        <v>226</v>
      </c>
      <c r="C50" s="1288" t="s">
        <v>227</v>
      </c>
      <c r="D50" s="1288" t="s">
        <v>494</v>
      </c>
      <c r="E50" s="2187"/>
      <c r="F50" s="2187"/>
      <c r="G50" s="2187"/>
      <c r="H50" s="2186"/>
      <c r="I50" s="1288"/>
      <c r="J50" s="1288"/>
      <c r="K50" s="1288"/>
      <c r="L50" s="1289"/>
      <c r="M50" s="1290"/>
      <c r="N50" s="1290"/>
      <c r="O50" s="472"/>
      <c r="P50" s="295"/>
      <c r="Q50" s="310"/>
      <c r="R50" s="290"/>
      <c r="S50" s="1203"/>
      <c r="T50" s="307" t="s">
        <v>487</v>
      </c>
      <c r="U50" s="302"/>
      <c r="V50" s="302"/>
      <c r="W50" s="302"/>
      <c r="X50" s="302"/>
      <c r="Y50" s="302"/>
      <c r="Z50" s="302"/>
      <c r="AA50" s="302"/>
      <c r="AB50" s="301"/>
      <c r="AC50" s="302"/>
      <c r="AD50" s="302"/>
      <c r="AE50" s="302"/>
      <c r="AF50" s="302"/>
      <c r="AG50" s="302"/>
      <c r="AH50" s="302"/>
      <c r="AI50" s="301"/>
      <c r="AJ50" s="302"/>
      <c r="AK50" s="239"/>
      <c r="AM50" s="435"/>
      <c r="AN50" s="435" t="str">
        <f t="shared" si="1"/>
        <v>Добавить наименование признака дифференциации</v>
      </c>
      <c r="AO50" s="435"/>
      <c r="AP50" s="435"/>
      <c r="AQ50" s="1080">
        <v>21</v>
      </c>
    </row>
    <row r="51" spans="1:43" s="1567" customFormat="1" ht="0" hidden="1" customHeight="1">
      <c r="A51" s="1268" t="s">
        <v>225</v>
      </c>
      <c r="B51" s="1268" t="s">
        <v>226</v>
      </c>
      <c r="C51" s="1239"/>
      <c r="D51" s="1239"/>
      <c r="E51" s="2187"/>
      <c r="F51" s="2186"/>
      <c r="G51" s="1239"/>
      <c r="H51" s="1239"/>
      <c r="I51" s="1239"/>
      <c r="J51" s="1239"/>
      <c r="K51" s="1239"/>
      <c r="L51" s="1351"/>
      <c r="M51" s="1246"/>
      <c r="N51" s="1246"/>
      <c r="P51" s="1241"/>
      <c r="Q51" s="1242"/>
      <c r="R51" s="1241"/>
      <c r="S51" s="1247"/>
      <c r="T51" s="1250" t="s">
        <v>414</v>
      </c>
      <c r="U51" s="1249"/>
      <c r="V51" s="1249"/>
      <c r="W51" s="1249"/>
      <c r="X51" s="1249"/>
      <c r="Y51" s="1249"/>
      <c r="Z51" s="1249"/>
      <c r="AA51" s="1249"/>
      <c r="AB51" s="1249"/>
      <c r="AC51" s="1249"/>
      <c r="AD51" s="1249"/>
      <c r="AE51" s="1249"/>
      <c r="AF51" s="1249"/>
      <c r="AG51" s="1249"/>
      <c r="AH51" s="1249"/>
      <c r="AI51" s="1249"/>
      <c r="AJ51" s="1249"/>
      <c r="AK51" s="1249"/>
      <c r="AM51" s="718"/>
      <c r="AN51" s="718" t="str">
        <f t="shared" si="1"/>
        <v>Добавить централизованную систему для дифференциации</v>
      </c>
      <c r="AO51" s="718"/>
      <c r="AP51" s="718"/>
      <c r="AQ51" s="453">
        <v>0</v>
      </c>
    </row>
    <row r="52" spans="1:43" s="1567" customFormat="1" ht="0" hidden="1" customHeight="1">
      <c r="A52" s="1268" t="s">
        <v>225</v>
      </c>
      <c r="B52" s="1268"/>
      <c r="C52" s="1268"/>
      <c r="D52" s="1268"/>
      <c r="E52" s="2186"/>
      <c r="F52" s="1268"/>
      <c r="G52" s="1268"/>
      <c r="H52" s="1268"/>
      <c r="I52" s="1268"/>
      <c r="J52" s="1268"/>
      <c r="K52" s="1268"/>
      <c r="L52" s="1271"/>
      <c r="M52" s="1246"/>
      <c r="N52" s="1246"/>
      <c r="O52" s="453"/>
      <c r="P52" s="315"/>
      <c r="Q52" s="1269"/>
      <c r="R52" s="315"/>
      <c r="S52" s="1247"/>
      <c r="T52" s="1250" t="s">
        <v>415</v>
      </c>
      <c r="U52" s="1249"/>
      <c r="V52" s="1249"/>
      <c r="W52" s="1249"/>
      <c r="X52" s="1249"/>
      <c r="Y52" s="1249"/>
      <c r="Z52" s="1249"/>
      <c r="AA52" s="1249"/>
      <c r="AB52" s="1249"/>
      <c r="AC52" s="1249"/>
      <c r="AD52" s="1249"/>
      <c r="AE52" s="1249"/>
      <c r="AF52" s="1249"/>
      <c r="AG52" s="1249"/>
      <c r="AH52" s="1249"/>
      <c r="AI52" s="1249"/>
      <c r="AJ52" s="1249"/>
      <c r="AK52" s="1249"/>
      <c r="AM52" s="435"/>
      <c r="AN52" s="435" t="str">
        <f t="shared" si="1"/>
        <v>Добавить территорию для дифференциации</v>
      </c>
      <c r="AO52" s="435"/>
      <c r="AP52" s="435"/>
      <c r="AQ52" s="446">
        <v>0</v>
      </c>
    </row>
    <row r="53" spans="1:43" s="1567" customFormat="1" ht="0" hidden="1" customHeight="1">
      <c r="A53" s="1239"/>
      <c r="B53" s="1239"/>
      <c r="C53" s="1239"/>
      <c r="D53" s="1239"/>
      <c r="E53" s="1268"/>
      <c r="F53" s="1239"/>
      <c r="G53" s="1239"/>
      <c r="H53" s="1239"/>
      <c r="I53" s="1239"/>
      <c r="J53" s="1239"/>
      <c r="K53" s="1239"/>
      <c r="L53" s="1351"/>
      <c r="M53" s="1246"/>
      <c r="N53" s="1246"/>
      <c r="P53" s="1241"/>
      <c r="Q53" s="1242"/>
      <c r="R53" s="1241"/>
      <c r="S53" s="1247"/>
      <c r="T53" s="1250" t="s">
        <v>447</v>
      </c>
      <c r="U53" s="1249"/>
      <c r="V53" s="1249"/>
      <c r="W53" s="1249"/>
      <c r="X53" s="1249"/>
      <c r="Y53" s="1249"/>
      <c r="Z53" s="1249"/>
      <c r="AA53" s="1249"/>
      <c r="AB53" s="1249"/>
      <c r="AC53" s="1249"/>
      <c r="AD53" s="1249"/>
      <c r="AE53" s="1249"/>
      <c r="AF53" s="1249"/>
      <c r="AG53" s="1249"/>
      <c r="AH53" s="1249"/>
      <c r="AI53" s="1249"/>
      <c r="AJ53" s="1249"/>
      <c r="AK53" s="1249"/>
      <c r="AM53" s="718"/>
      <c r="AN53" s="718" t="str">
        <f t="shared" si="1"/>
        <v>Добавить наименование тарифа</v>
      </c>
      <c r="AO53" s="718"/>
      <c r="AP53" s="718"/>
      <c r="AQ53" s="453">
        <v>0</v>
      </c>
    </row>
    <row r="54" spans="1:43" ht="11.45" customHeight="1">
      <c r="M54" s="1085"/>
      <c r="N54" s="1085"/>
      <c r="O54" s="472"/>
      <c r="P54" s="1080"/>
      <c r="Q54" s="1080"/>
      <c r="R54" s="1080"/>
      <c r="S54" s="1080"/>
      <c r="AL54" s="1080"/>
      <c r="AM54" s="1080"/>
      <c r="AN54" s="1080"/>
      <c r="AO54" s="1080"/>
      <c r="AP54" s="1080"/>
      <c r="AQ54" s="1080">
        <v>11</v>
      </c>
    </row>
    <row r="55" spans="1:43" ht="14.65" customHeight="1">
      <c r="O55" s="472"/>
      <c r="S55" s="1178"/>
      <c r="T55" s="2206"/>
      <c r="U55" s="2206"/>
      <c r="V55" s="2206"/>
      <c r="W55" s="2206"/>
      <c r="X55" s="2206"/>
      <c r="Y55" s="2206"/>
      <c r="Z55" s="2206"/>
      <c r="AA55" s="2206"/>
      <c r="AB55" s="2206"/>
      <c r="AC55" s="2206"/>
      <c r="AD55" s="2206"/>
      <c r="AE55" s="2206"/>
      <c r="AF55" s="2206"/>
      <c r="AG55" s="2206"/>
      <c r="AH55" s="2206"/>
      <c r="AI55" s="2206"/>
      <c r="AJ55" s="2206"/>
      <c r="AK55" s="2206"/>
      <c r="AQ55" s="1080">
        <v>14</v>
      </c>
    </row>
    <row r="56" spans="1:43" ht="14.65" customHeight="1">
      <c r="O56" s="472"/>
      <c r="AQ56" s="1080">
        <v>14</v>
      </c>
    </row>
    <row r="57" spans="1:43" ht="14.65" customHeight="1">
      <c r="O57" s="472"/>
      <c r="S57" s="1178"/>
      <c r="T57" s="2206"/>
      <c r="U57" s="2206"/>
      <c r="V57" s="2206"/>
      <c r="W57" s="2206"/>
      <c r="X57" s="2206"/>
      <c r="Y57" s="2206"/>
      <c r="Z57" s="2206"/>
      <c r="AA57" s="2206"/>
      <c r="AB57" s="2206"/>
      <c r="AC57" s="2206"/>
      <c r="AD57" s="2206"/>
      <c r="AE57" s="2206"/>
      <c r="AF57" s="2206"/>
      <c r="AG57" s="2206"/>
      <c r="AH57" s="2206"/>
      <c r="AI57" s="2206"/>
      <c r="AJ57" s="2206"/>
      <c r="AK57" s="2206"/>
      <c r="AQ57" s="1080">
        <v>14</v>
      </c>
    </row>
    <row r="58" spans="1:43" ht="22.5" hidden="1" customHeight="1">
      <c r="A58" s="1085" t="s">
        <v>82</v>
      </c>
      <c r="B58" s="1085">
        <v>0</v>
      </c>
      <c r="C58" s="1085">
        <v>0</v>
      </c>
      <c r="D58" s="1085">
        <v>0</v>
      </c>
      <c r="E58" s="1085">
        <v>0</v>
      </c>
      <c r="F58" s="1085">
        <v>0</v>
      </c>
      <c r="G58" s="1085">
        <v>0</v>
      </c>
      <c r="H58" s="1085">
        <v>0</v>
      </c>
      <c r="I58" s="1085">
        <v>0</v>
      </c>
      <c r="J58" s="1085">
        <v>0</v>
      </c>
      <c r="K58" s="1085">
        <v>0</v>
      </c>
      <c r="L58" s="1346">
        <v>0</v>
      </c>
      <c r="M58" s="1287">
        <v>0</v>
      </c>
      <c r="N58" s="1287">
        <v>0</v>
      </c>
      <c r="O58" s="1287">
        <v>0</v>
      </c>
      <c r="P58" s="1276">
        <v>3</v>
      </c>
      <c r="Q58" s="280">
        <v>3</v>
      </c>
      <c r="R58" s="280">
        <v>3</v>
      </c>
      <c r="S58" s="516">
        <v>12</v>
      </c>
      <c r="T58" s="1080">
        <v>35</v>
      </c>
      <c r="U58" s="1080">
        <v>0</v>
      </c>
      <c r="V58" s="1080">
        <v>0</v>
      </c>
      <c r="W58" s="1080">
        <v>0</v>
      </c>
      <c r="X58" s="1080">
        <v>0</v>
      </c>
      <c r="Y58" s="1080">
        <v>0</v>
      </c>
      <c r="Z58" s="1080">
        <v>0</v>
      </c>
      <c r="AA58" s="1080">
        <v>0</v>
      </c>
      <c r="AB58" s="1080">
        <v>0</v>
      </c>
      <c r="AC58" s="1080">
        <v>24</v>
      </c>
      <c r="AD58" s="1080">
        <v>24</v>
      </c>
      <c r="AE58" s="1080">
        <v>24</v>
      </c>
      <c r="AF58" s="1080">
        <v>11</v>
      </c>
      <c r="AG58" s="1080">
        <v>3</v>
      </c>
      <c r="AH58" s="1080">
        <v>11</v>
      </c>
      <c r="AI58" s="1080">
        <v>0</v>
      </c>
      <c r="AJ58" s="1080">
        <v>4</v>
      </c>
      <c r="AK58" s="1080">
        <v>115</v>
      </c>
      <c r="AL58" s="446">
        <v>10</v>
      </c>
      <c r="AM58" s="446">
        <v>10</v>
      </c>
      <c r="AN58" s="446">
        <v>10</v>
      </c>
      <c r="AO58" s="446">
        <v>10</v>
      </c>
      <c r="AP58" s="446">
        <v>10</v>
      </c>
      <c r="AQ58" s="1080">
        <v>23</v>
      </c>
    </row>
  </sheetData>
  <sheetProtection formatColumns="0" formatRows="0" insertRows="0" deleteColumns="0" deleteRows="0" sort="0" autoFilter="0"/>
  <mergeCells count="101">
    <mergeCell ref="E2:E13"/>
    <mergeCell ref="V2:AB2"/>
    <mergeCell ref="AC2:AJ2"/>
    <mergeCell ref="F3:F12"/>
    <mergeCell ref="V3:AB3"/>
    <mergeCell ref="AC3:AJ3"/>
    <mergeCell ref="G4:G11"/>
    <mergeCell ref="V4:AB4"/>
    <mergeCell ref="AC4:AJ4"/>
    <mergeCell ref="H5:H11"/>
    <mergeCell ref="AI7:AI8"/>
    <mergeCell ref="K7:K8"/>
    <mergeCell ref="Y7:Y8"/>
    <mergeCell ref="Z7:Z8"/>
    <mergeCell ref="AA7:AA8"/>
    <mergeCell ref="AB7:AB8"/>
    <mergeCell ref="I5:I10"/>
    <mergeCell ref="P5:P10"/>
    <mergeCell ref="V5:AB5"/>
    <mergeCell ref="AC5:AJ5"/>
    <mergeCell ref="J6:J9"/>
    <mergeCell ref="Q6:Q9"/>
    <mergeCell ref="V6:AB6"/>
    <mergeCell ref="AC6:AJ6"/>
    <mergeCell ref="AK7:AK8"/>
    <mergeCell ref="S24:AH24"/>
    <mergeCell ref="S25:AH25"/>
    <mergeCell ref="S27:T27"/>
    <mergeCell ref="V27:AA27"/>
    <mergeCell ref="AC27:AH27"/>
    <mergeCell ref="S28:T28"/>
    <mergeCell ref="V28:AA28"/>
    <mergeCell ref="AC28:AH28"/>
    <mergeCell ref="AG7:AG8"/>
    <mergeCell ref="AH7:AH8"/>
    <mergeCell ref="AF15:AF16"/>
    <mergeCell ref="AG15:AG16"/>
    <mergeCell ref="AH15:AH16"/>
    <mergeCell ref="AI15:AI16"/>
    <mergeCell ref="AF7:AF8"/>
    <mergeCell ref="AC29:AH29"/>
    <mergeCell ref="S30:T30"/>
    <mergeCell ref="V30:AA30"/>
    <mergeCell ref="AC30:AH30"/>
    <mergeCell ref="V35:AB35"/>
    <mergeCell ref="AC35:AI35"/>
    <mergeCell ref="S36:AJ36"/>
    <mergeCell ref="AK36:AK39"/>
    <mergeCell ref="S37:S39"/>
    <mergeCell ref="T37:T39"/>
    <mergeCell ref="V37:AA37"/>
    <mergeCell ref="AB37:AB39"/>
    <mergeCell ref="AC37:AH37"/>
    <mergeCell ref="AI37:AI39"/>
    <mergeCell ref="S32:T32"/>
    <mergeCell ref="V32:AA32"/>
    <mergeCell ref="AC32:AH32"/>
    <mergeCell ref="S33:T33"/>
    <mergeCell ref="V33:AA33"/>
    <mergeCell ref="AC33:AH33"/>
    <mergeCell ref="S29:T29"/>
    <mergeCell ref="V29:AA29"/>
    <mergeCell ref="AJ37:AJ39"/>
    <mergeCell ref="W38:X38"/>
    <mergeCell ref="E41:E52"/>
    <mergeCell ref="V41:AB41"/>
    <mergeCell ref="AC41:AJ41"/>
    <mergeCell ref="F42:F51"/>
    <mergeCell ref="V42:AB42"/>
    <mergeCell ref="AC42:AJ42"/>
    <mergeCell ref="G43:G50"/>
    <mergeCell ref="Y38:AA38"/>
    <mergeCell ref="AD38:AE38"/>
    <mergeCell ref="AF38:AH38"/>
    <mergeCell ref="Z39:AA39"/>
    <mergeCell ref="H44:H50"/>
    <mergeCell ref="I44:I49"/>
    <mergeCell ref="P44:P49"/>
    <mergeCell ref="V44:AB44"/>
    <mergeCell ref="AC44:AJ44"/>
    <mergeCell ref="J45:J48"/>
    <mergeCell ref="AG39:AH39"/>
    <mergeCell ref="Z40:AA40"/>
    <mergeCell ref="AG40:AH40"/>
    <mergeCell ref="K46:K47"/>
    <mergeCell ref="Y46:Y47"/>
    <mergeCell ref="V43:AB43"/>
    <mergeCell ref="AC43:AJ43"/>
    <mergeCell ref="T55:AK55"/>
    <mergeCell ref="T57:AK57"/>
    <mergeCell ref="Q45:Q48"/>
    <mergeCell ref="V45:AB45"/>
    <mergeCell ref="AC45:AJ45"/>
    <mergeCell ref="Z46:Z47"/>
    <mergeCell ref="AA46:AA47"/>
    <mergeCell ref="AB46:AB47"/>
    <mergeCell ref="AF46:AF47"/>
    <mergeCell ref="AG46:AG47"/>
    <mergeCell ref="AK46:AK47"/>
    <mergeCell ref="AH46:AH47"/>
    <mergeCell ref="AI46:AI47"/>
  </mergeCells>
  <dataValidations count="8">
    <dataValidation allowBlank="1" promptTitle="checkPeriodRange" sqref="X65579 X131115 X196651 X262187 X327723 X393259 X458795 X524331 X589867 X655403 X720939 X786475 X852011 X917547 X983083 AE16 AE65579 AE131115 AE196651 AE262187 AE327723 AE393259 AE458795 AE524331 AE589867 AE655403 AE720939 AE786475 AE852011 AE917547 AE983083 AE47 AE8 X8 X47"/>
    <dataValidation type="list" allowBlank="1" showInputMessage="1" showErrorMessage="1" errorTitle="Ошибка" error="Выберите значение из списка" sqref="V983080 V65576 V131112 V196648 V262184 V327720 V393256 V458792 V524328 V589864 V655400 V720936 V786472 V852008 V917544 AC983080 AC65576 AC131112 AC196648 AC262184 AC327720 AC393256 AC458792 AC524328 AC589864 AC655400 AC720936 AC786472 AC852008 AC917544">
      <formula1>kind_of_scheme_in</formula1>
    </dataValidation>
    <dataValidation type="textLength" operator="lessThanOrEqual" allowBlank="1" showInputMessage="1" showErrorMessage="1" errorTitle="Ошибка" error="Допускается ввод не более 900 символов!" sqref="AK65572:AK65579 AK131108:AK131115 AK196644:AK196651 AK262180:AK262187 AK327716:AK327723 AK393252:AK393259 AK458788:AK458795 AK524324:AK524331 AK589860:AK589867 AK655396:AK655403 AK720932:AK720939 AK786468:AK786475 AK852004:AK852011 AK917540:AK917547 AK983076:AK983083 T46 T7 AC5:AJ5 AC44:AJ44">
      <formula1>900</formula1>
    </dataValidation>
    <dataValidation type="list" allowBlank="1" showInputMessage="1" showErrorMessage="1" errorTitle="Ошибка" error="Выберите значение из списка" sqref="T65578 T131114 T196650 T262186 T327722 T393258 T458794 T524330 T589866 T655402 T720938 T786474 T852010 T917546 T983082">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Y65578 Y131114 Y196650 Y262186 Y327722 Y393258 Y458794 Y524330 Y589866 Y655402 Y720938 Y786474 Y852010 Y917546 Y983082 AA65578 AA131114 AA196650 AA262186 AA327722 AA393258 AA458794 AA524330 AA589866 AA655402 AA720938 AA786474 AA852010 AA917546 AA983082 AF15 AF65578 AF131114 AF196650 AF262186 AF327722 AF393258 AF458794 AF524330 AF589866 AF655402 AF720938 AF786474 AF852010 AF917546 AF983082 AH65578 AH131114 AH196650 AH262186 AH327722 AH393258 AH458794 AH524330 AH589866 AH655402 AH720938 AH786474 AH852010 AH917546 AH983082 AH46 AF46 AH15 AH7 AF7 Y7 AA7 Y46 AA46"/>
    <dataValidation allowBlank="1" showInputMessage="1" showErrorMessage="1" prompt="Для выбора выполните двойной щелчок левой клавиши мыши по соответствующей ячейке." sqref="Z65578 Z131114 Z196650 Z262186 Z327722 Z393258 Z458794 Z524330 Z589866 Z655402 Z720938 Z786474 Z852010 Z917546 Z983082 AB131114 AB458794 AB196650 AB262186 AB327722 AB393258 AB524330 AB589866 AB655402 AB720938 AB786474 AB852010 AB917546 AB983082 AB65578 AG65578 AG131114 AG196650 AG262186 AG327722 AG393258 AG458794 AG524330 AG589866 AG655402 AG720938 AG786474 AG852010 AG917546 AG983082 AI524330 AI196650 AI589866 AI655402 AI15 AI720938 AI786474 AI852010 AI917546 AI983082 AI65578 AI131114 AI458794 AI262186 AI7 AG46 AI327722 AG15 AG7 Z7 AB7 AI393258 AI46 Z46 AB46"/>
    <dataValidation allowBlank="1" sqref="S131116:AK131122 S196652:AK196658 S262188:AK262194 S327724:AK327730 S393260:AK393266 S458796:AK458802 S524332:AK524338 S589868:AK589874 S655404:AK655410 S720940:AK720946 S786476:AK786482 S852012:AK852018 S917548:AK917554 S983084:AK983090 S65580:AK65586"/>
    <dataValidation type="list" allowBlank="1" showInputMessage="1" errorTitle="Ошибка" error="Выберите значение из списка" prompt="Выберите значение из списка" sqref="V983081:AJ983081 V65577:AJ65577 V131113:AJ131113 V196649:AJ196649 V262185:AJ262185 V327721:AJ327721 V393257:AJ393257 V458793:AJ458793 V524329:AJ524329 V589865:AJ589865 V655401:AJ655401 V720937:AJ720937 V786473:AJ786473 V852009:AJ852009 V917545:AJ917545">
      <formula1>kind_of_cons</formula1>
    </dataValidation>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6" tint="0.39997558519241921"/>
  </sheetPr>
  <dimension ref="A1:AQ58"/>
  <sheetViews>
    <sheetView showGridLines="0" zoomScale="90" workbookViewId="0">
      <pane xSplit="28" ySplit="40" topLeftCell="AC41" activePane="bottomRight" state="frozen"/>
      <selection pane="topRight" activeCell="AC1" sqref="AC1"/>
      <selection pane="bottomLeft" activeCell="A41" sqref="A41"/>
      <selection pane="bottomRight"/>
    </sheetView>
  </sheetViews>
  <sheetFormatPr defaultColWidth="10.5703125" defaultRowHeight="14.25" customHeight="1"/>
  <cols>
    <col min="1" max="1" width="10.5703125" style="1291" hidden="1"/>
    <col min="2" max="2" width="11" style="1291" hidden="1" customWidth="1"/>
    <col min="3" max="3" width="10.5703125" style="1291" hidden="1"/>
    <col min="4" max="4" width="11.85546875" style="1291" hidden="1" customWidth="1"/>
    <col min="5" max="5" width="10" style="1291" hidden="1" customWidth="1"/>
    <col min="6" max="6" width="8.7109375" style="1291" hidden="1" customWidth="1"/>
    <col min="7" max="7" width="7.5703125" style="1291" hidden="1" customWidth="1"/>
    <col min="8" max="8" width="11.42578125" style="1291" hidden="1" customWidth="1"/>
    <col min="9" max="9" width="14.140625" style="1291" hidden="1" customWidth="1"/>
    <col min="10" max="10" width="9.85546875" style="1291" hidden="1" customWidth="1"/>
    <col min="11" max="11" width="14.7109375" style="1291" hidden="1" customWidth="1"/>
    <col min="12" max="12" width="19.140625" style="2002" hidden="1" customWidth="1"/>
    <col min="13" max="14" width="12.28515625" style="1701" hidden="1" customWidth="1"/>
    <col min="15" max="15" width="23.42578125" style="1701" hidden="1" customWidth="1"/>
    <col min="16" max="16" width="3" style="2000" customWidth="1"/>
    <col min="17" max="18" width="3" style="280" customWidth="1"/>
    <col min="19" max="19" width="12" style="2001" customWidth="1"/>
    <col min="20" max="20" width="35" style="1560" customWidth="1"/>
    <col min="21" max="21" width="0.140625" style="1560" customWidth="1"/>
    <col min="22" max="24" width="24.7109375" style="1560" hidden="1" customWidth="1"/>
    <col min="25" max="25" width="11.7109375" style="1560" hidden="1" customWidth="1"/>
    <col min="26" max="26" width="3.7109375" style="1560" hidden="1" customWidth="1"/>
    <col min="27" max="27" width="11.7109375" style="1560" hidden="1" customWidth="1"/>
    <col min="28" max="28" width="8.5703125" style="1560" hidden="1" customWidth="1"/>
    <col min="29" max="29" width="24.7109375" style="1560" customWidth="1"/>
    <col min="30" max="31" width="24" style="1560" customWidth="1"/>
    <col min="32" max="32" width="11" style="1560" customWidth="1"/>
    <col min="33" max="33" width="3.7109375" style="1560" customWidth="1"/>
    <col min="34" max="34" width="11" style="1560" customWidth="1"/>
    <col min="35" max="35" width="8.5703125" style="1560" hidden="1" customWidth="1"/>
    <col min="36" max="36" width="4" style="1560" customWidth="1"/>
    <col min="37" max="37" width="115" style="1560" customWidth="1"/>
    <col min="38" max="42" width="10" style="1567" customWidth="1"/>
    <col min="43" max="43" width="10.5703125" style="1560" hidden="1"/>
  </cols>
  <sheetData>
    <row r="1" spans="1:43" ht="22.5" hidden="1" customHeight="1">
      <c r="X1" s="263"/>
      <c r="Y1" s="263"/>
      <c r="AE1" s="263"/>
      <c r="AF1" s="263"/>
      <c r="AQ1" s="1080" t="s">
        <v>14</v>
      </c>
    </row>
    <row r="2" spans="1:43" ht="23.25" hidden="1" customHeight="1">
      <c r="A2" s="1288"/>
      <c r="B2" s="1288"/>
      <c r="C2" s="1288"/>
      <c r="D2" s="1288"/>
      <c r="E2" s="2186">
        <v>1</v>
      </c>
      <c r="F2" s="1288"/>
      <c r="G2" s="1288"/>
      <c r="H2" s="1288"/>
      <c r="I2" s="1288"/>
      <c r="J2" s="1288"/>
      <c r="K2" s="1288"/>
      <c r="L2" s="1289"/>
      <c r="M2" s="1290"/>
      <c r="N2" s="1290"/>
      <c r="O2" s="1290"/>
      <c r="P2" s="296"/>
      <c r="Q2" s="295"/>
      <c r="R2" s="290"/>
      <c r="S2" s="1382" t="e">
        <f>INDEX(PT_DIFFERENTIATION_NUM_NTAR,MATCH(A2,PT_DIFFERENTIATION_NTAR_ID,0))</f>
        <v>#N/A</v>
      </c>
      <c r="T2" s="234" t="s">
        <v>124</v>
      </c>
      <c r="U2" s="236"/>
      <c r="V2" s="2172"/>
      <c r="W2" s="2173"/>
      <c r="X2" s="2173"/>
      <c r="Y2" s="2173"/>
      <c r="Z2" s="2173"/>
      <c r="AA2" s="2173"/>
      <c r="AB2" s="2174"/>
      <c r="AC2" s="2172" t="e">
        <f>INDEX(PT_DIFFERENTIATION_NTAR,MATCH(A2,PT_DIFFERENTIATION_NTAR_ID,0))</f>
        <v>#N/A</v>
      </c>
      <c r="AD2" s="2173"/>
      <c r="AE2" s="2173"/>
      <c r="AF2" s="2173"/>
      <c r="AG2" s="2173"/>
      <c r="AH2" s="2173"/>
      <c r="AI2" s="2173"/>
      <c r="AJ2" s="2174"/>
      <c r="AK2" s="1183"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2" s="435"/>
      <c r="AN2" s="435" t="str">
        <f t="shared" ref="AN2:AN13" si="0">IF(T2="","",T2)</f>
        <v>Наименование тарифа</v>
      </c>
      <c r="AO2" s="435"/>
      <c r="AP2" s="435"/>
      <c r="AQ2" s="1080">
        <v>0</v>
      </c>
    </row>
    <row r="3" spans="1:43" ht="23.25" hidden="1" customHeight="1">
      <c r="A3" s="1288"/>
      <c r="B3" s="1288"/>
      <c r="C3" s="1288"/>
      <c r="D3" s="1288"/>
      <c r="E3" s="2187"/>
      <c r="F3" s="2186">
        <v>1</v>
      </c>
      <c r="G3" s="1288"/>
      <c r="H3" s="1288"/>
      <c r="I3" s="1288"/>
      <c r="J3" s="1288"/>
      <c r="K3" s="1288"/>
      <c r="L3" s="1289"/>
      <c r="M3" s="1290"/>
      <c r="N3" s="1290"/>
      <c r="O3" s="1290"/>
      <c r="P3" s="1378"/>
      <c r="Q3" s="287"/>
      <c r="R3" s="288"/>
      <c r="S3" s="1382" t="e">
        <f>INDEX(PT_DIFFERENTIATION_NUM_TER,MATCH(B3,PT_DIFFERENTIATION_TER_ID,0))</f>
        <v>#N/A</v>
      </c>
      <c r="T3" s="244" t="s">
        <v>396</v>
      </c>
      <c r="U3" s="236"/>
      <c r="V3" s="2172"/>
      <c r="W3" s="2173"/>
      <c r="X3" s="2173"/>
      <c r="Y3" s="2173"/>
      <c r="Z3" s="2173"/>
      <c r="AA3" s="2173"/>
      <c r="AB3" s="2174"/>
      <c r="AC3" s="2172" t="e">
        <f>INDEX(PT_DIFFERENTIATION_TER,MATCH(B3,PT_DIFFERENTIATION_TER_ID,0))</f>
        <v>#N/A</v>
      </c>
      <c r="AD3" s="2173"/>
      <c r="AE3" s="2173"/>
      <c r="AF3" s="2173"/>
      <c r="AG3" s="2173"/>
      <c r="AH3" s="2173"/>
      <c r="AI3" s="2173"/>
      <c r="AJ3" s="2174"/>
      <c r="AK3" s="1183" t="s">
        <v>397</v>
      </c>
      <c r="AM3" s="435"/>
      <c r="AN3" s="435" t="str">
        <f t="shared" si="0"/>
        <v>Территория действия тарифа</v>
      </c>
      <c r="AO3" s="435"/>
      <c r="AP3" s="435"/>
      <c r="AQ3" s="1080">
        <v>0</v>
      </c>
    </row>
    <row r="4" spans="1:43" ht="23.25" hidden="1" customHeight="1">
      <c r="A4" s="1288"/>
      <c r="B4" s="1288"/>
      <c r="C4" s="1288"/>
      <c r="D4" s="1288"/>
      <c r="E4" s="2187"/>
      <c r="F4" s="2187"/>
      <c r="G4" s="2186">
        <v>1</v>
      </c>
      <c r="H4" s="1288"/>
      <c r="I4" s="1288"/>
      <c r="J4" s="1288"/>
      <c r="K4" s="1288"/>
      <c r="L4" s="1289"/>
      <c r="M4" s="1290"/>
      <c r="N4" s="1290"/>
      <c r="O4" s="1290"/>
      <c r="P4" s="289"/>
      <c r="Q4" s="287"/>
      <c r="R4" s="288"/>
      <c r="S4" s="1382" t="e">
        <f>INDEX(PT_DIFFERENTIATION_NUM_CS,MATCH(C4,PT_DIFFERENTIATION_CS_ID,0))</f>
        <v>#N/A</v>
      </c>
      <c r="T4" s="245" t="s">
        <v>480</v>
      </c>
      <c r="U4" s="236"/>
      <c r="V4" s="2172"/>
      <c r="W4" s="2173"/>
      <c r="X4" s="2173"/>
      <c r="Y4" s="2173"/>
      <c r="Z4" s="2173"/>
      <c r="AA4" s="2173"/>
      <c r="AB4" s="2174"/>
      <c r="AC4" s="2172" t="e">
        <f>INDEX(PT_DIFFERENTIATION_CS,MATCH(C4,PT_DIFFERENTIATION_CS_ID,0))</f>
        <v>#N/A</v>
      </c>
      <c r="AD4" s="2173"/>
      <c r="AE4" s="2173"/>
      <c r="AF4" s="2173"/>
      <c r="AG4" s="2173"/>
      <c r="AH4" s="2173"/>
      <c r="AI4" s="2173"/>
      <c r="AJ4" s="2174"/>
      <c r="AK4" s="1183" t="s">
        <v>481</v>
      </c>
      <c r="AM4" s="435"/>
      <c r="AN4" s="435" t="str">
        <f t="shared" si="0"/>
        <v>Наименование централизованной системы холодного водоснабжения</v>
      </c>
      <c r="AO4" s="435"/>
      <c r="AP4" s="435"/>
      <c r="AQ4" s="1080">
        <v>0</v>
      </c>
    </row>
    <row r="5" spans="1:43" ht="23.25" hidden="1" customHeight="1">
      <c r="A5" s="1288"/>
      <c r="B5" s="1288"/>
      <c r="C5" s="1288"/>
      <c r="D5" s="1288"/>
      <c r="E5" s="2187"/>
      <c r="F5" s="2187"/>
      <c r="G5" s="2187"/>
      <c r="H5" s="2187"/>
      <c r="I5" s="2184" t="e">
        <f>S4&amp;".1"</f>
        <v>#N/A</v>
      </c>
      <c r="J5" s="1288"/>
      <c r="K5" s="1288"/>
      <c r="L5" s="1289"/>
      <c r="P5" s="2185">
        <v>1</v>
      </c>
      <c r="Q5" s="1375"/>
      <c r="R5" s="291"/>
      <c r="S5" s="1382" t="e">
        <f>$I5</f>
        <v>#N/A</v>
      </c>
      <c r="T5" s="221" t="s">
        <v>482</v>
      </c>
      <c r="U5" s="236"/>
      <c r="V5" s="2253"/>
      <c r="W5" s="2254"/>
      <c r="X5" s="2254"/>
      <c r="Y5" s="2254"/>
      <c r="Z5" s="2254"/>
      <c r="AA5" s="2254"/>
      <c r="AB5" s="2255"/>
      <c r="AC5" s="2256"/>
      <c r="AD5" s="2257"/>
      <c r="AE5" s="2257"/>
      <c r="AF5" s="2257"/>
      <c r="AG5" s="2257"/>
      <c r="AH5" s="2257"/>
      <c r="AI5" s="2257"/>
      <c r="AJ5" s="2258"/>
      <c r="AK5" s="1183" t="s">
        <v>483</v>
      </c>
      <c r="AM5" s="435"/>
      <c r="AN5" s="435" t="str">
        <f t="shared" si="0"/>
        <v>Наименование признака дифференциации</v>
      </c>
      <c r="AO5" s="435"/>
      <c r="AP5" s="435"/>
      <c r="AQ5" s="1080">
        <v>0</v>
      </c>
    </row>
    <row r="6" spans="1:43" ht="23.25" hidden="1" customHeight="1">
      <c r="A6" s="1288"/>
      <c r="B6" s="1288"/>
      <c r="C6" s="1288"/>
      <c r="D6" s="1288"/>
      <c r="E6" s="2187"/>
      <c r="F6" s="2187"/>
      <c r="G6" s="2187"/>
      <c r="H6" s="2187"/>
      <c r="I6" s="2207"/>
      <c r="J6" s="2184" t="e">
        <f>I5&amp;".1"</f>
        <v>#N/A</v>
      </c>
      <c r="K6" s="1288"/>
      <c r="L6" s="1289" t="s">
        <v>405</v>
      </c>
      <c r="P6" s="2185"/>
      <c r="Q6" s="2185">
        <v>1</v>
      </c>
      <c r="R6" s="292"/>
      <c r="S6" s="1382" t="e">
        <f>$J6</f>
        <v>#N/A</v>
      </c>
      <c r="T6" s="222" t="s">
        <v>406</v>
      </c>
      <c r="U6" s="236"/>
      <c r="V6" s="2175"/>
      <c r="W6" s="2176"/>
      <c r="X6" s="2176"/>
      <c r="Y6" s="2176"/>
      <c r="Z6" s="2176"/>
      <c r="AA6" s="2176"/>
      <c r="AB6" s="2177"/>
      <c r="AC6" s="2175"/>
      <c r="AD6" s="2176"/>
      <c r="AE6" s="2176"/>
      <c r="AF6" s="2176"/>
      <c r="AG6" s="2176"/>
      <c r="AH6" s="2176"/>
      <c r="AI6" s="2176"/>
      <c r="AJ6" s="2177"/>
      <c r="AK6" s="1232" t="s">
        <v>484</v>
      </c>
      <c r="AM6" s="435"/>
      <c r="AN6" s="435" t="str">
        <f t="shared" si="0"/>
        <v>Группа потребителей</v>
      </c>
      <c r="AO6" s="435"/>
      <c r="AP6" s="435"/>
      <c r="AQ6" s="1080">
        <v>0</v>
      </c>
    </row>
    <row r="7" spans="1:43" ht="23.25" hidden="1" customHeight="1">
      <c r="A7" s="1288"/>
      <c r="B7" s="1288"/>
      <c r="C7" s="1288"/>
      <c r="D7" s="1288"/>
      <c r="E7" s="2187"/>
      <c r="F7" s="2187"/>
      <c r="G7" s="2187"/>
      <c r="H7" s="2187"/>
      <c r="I7" s="2207"/>
      <c r="J7" s="2207"/>
      <c r="K7" s="2184" t="e">
        <f>J6&amp;".1"</f>
        <v>#N/A</v>
      </c>
      <c r="L7" s="1289"/>
      <c r="P7" s="2185"/>
      <c r="Q7" s="2185"/>
      <c r="R7" s="292">
        <v>1</v>
      </c>
      <c r="S7" s="1382" t="e">
        <f>$K7</f>
        <v>#N/A</v>
      </c>
      <c r="T7" s="1362"/>
      <c r="U7" s="236"/>
      <c r="V7" s="686"/>
      <c r="W7" s="686"/>
      <c r="X7" s="1182"/>
      <c r="Y7" s="2189"/>
      <c r="Z7" s="2047" t="s">
        <v>66</v>
      </c>
      <c r="AA7" s="2189"/>
      <c r="AB7" s="2047" t="s">
        <v>66</v>
      </c>
      <c r="AC7" s="686"/>
      <c r="AD7" s="686"/>
      <c r="AE7" s="1182"/>
      <c r="AF7" s="2189"/>
      <c r="AG7" s="2047" t="s">
        <v>66</v>
      </c>
      <c r="AH7" s="2208"/>
      <c r="AI7" s="2047" t="s">
        <v>66</v>
      </c>
      <c r="AJ7" s="1363"/>
      <c r="AK7" s="2252"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7" s="446" t="e">
        <f ca="1">STRCHECKDATE(V8:AJ8)</f>
        <v>#NAME?</v>
      </c>
      <c r="AM7" s="435"/>
      <c r="AN7" s="435" t="str">
        <f t="shared" si="0"/>
        <v/>
      </c>
      <c r="AO7" s="435"/>
      <c r="AP7" s="435"/>
      <c r="AQ7" s="1080">
        <v>0</v>
      </c>
    </row>
    <row r="8" spans="1:43" ht="14.25" hidden="1" customHeight="1">
      <c r="A8" s="1288"/>
      <c r="B8" s="1288"/>
      <c r="C8" s="1288"/>
      <c r="D8" s="1288"/>
      <c r="E8" s="2187"/>
      <c r="F8" s="2187"/>
      <c r="G8" s="2187"/>
      <c r="H8" s="2187"/>
      <c r="I8" s="2207"/>
      <c r="J8" s="2207"/>
      <c r="K8" s="2184"/>
      <c r="L8" s="1289"/>
      <c r="P8" s="2185"/>
      <c r="Q8" s="2185"/>
      <c r="R8" s="292"/>
      <c r="S8" s="1381"/>
      <c r="T8" s="236"/>
      <c r="U8" s="236"/>
      <c r="V8" s="261"/>
      <c r="W8" s="261"/>
      <c r="X8" s="264" t="str">
        <f>Y7&amp;"-"&amp;AA7</f>
        <v>-</v>
      </c>
      <c r="Y8" s="2190"/>
      <c r="Z8" s="2047"/>
      <c r="AA8" s="2190"/>
      <c r="AB8" s="2047"/>
      <c r="AC8" s="261"/>
      <c r="AD8" s="261"/>
      <c r="AE8" s="264" t="str">
        <f>AF7&amp;"-"&amp;AH7</f>
        <v>-</v>
      </c>
      <c r="AF8" s="2190"/>
      <c r="AG8" s="2047"/>
      <c r="AH8" s="2209"/>
      <c r="AI8" s="2047"/>
      <c r="AJ8" s="1364"/>
      <c r="AK8" s="2252"/>
      <c r="AM8" s="435"/>
      <c r="AN8" s="435" t="str">
        <f t="shared" si="0"/>
        <v/>
      </c>
      <c r="AO8" s="435"/>
      <c r="AP8" s="435"/>
      <c r="AQ8" s="1080">
        <v>0</v>
      </c>
    </row>
    <row r="9" spans="1:43" ht="21" hidden="1" customHeight="1">
      <c r="A9" s="1288"/>
      <c r="B9" s="1288"/>
      <c r="C9" s="1288"/>
      <c r="D9" s="1288"/>
      <c r="E9" s="2187"/>
      <c r="F9" s="2187"/>
      <c r="G9" s="2187"/>
      <c r="H9" s="2187"/>
      <c r="I9" s="2207"/>
      <c r="J9" s="2184"/>
      <c r="K9" s="1288"/>
      <c r="L9" s="1289"/>
      <c r="P9" s="2185"/>
      <c r="Q9" s="2185"/>
      <c r="R9" s="291"/>
      <c r="S9" s="1203"/>
      <c r="T9" s="223" t="s">
        <v>485</v>
      </c>
      <c r="U9" s="302"/>
      <c r="V9" s="302"/>
      <c r="W9" s="302"/>
      <c r="X9" s="302"/>
      <c r="Y9" s="302"/>
      <c r="Z9" s="302"/>
      <c r="AA9" s="302"/>
      <c r="AB9" s="302"/>
      <c r="AC9" s="302"/>
      <c r="AD9" s="302"/>
      <c r="AE9" s="302"/>
      <c r="AF9" s="302"/>
      <c r="AG9" s="302"/>
      <c r="AH9" s="302"/>
      <c r="AI9" s="302"/>
      <c r="AJ9" s="302"/>
      <c r="AK9" s="1183" t="s">
        <v>486</v>
      </c>
      <c r="AM9" s="435"/>
      <c r="AN9" s="435" t="str">
        <f t="shared" si="0"/>
        <v>Добавить значение признака дифференциации</v>
      </c>
      <c r="AO9" s="435"/>
      <c r="AP9" s="435"/>
      <c r="AQ9" s="1080">
        <v>0</v>
      </c>
    </row>
    <row r="10" spans="1:43" ht="21" hidden="1" customHeight="1">
      <c r="A10" s="1288"/>
      <c r="B10" s="1288"/>
      <c r="C10" s="1288"/>
      <c r="D10" s="1288"/>
      <c r="E10" s="2187"/>
      <c r="F10" s="2187"/>
      <c r="G10" s="2187"/>
      <c r="H10" s="2187"/>
      <c r="I10" s="2184"/>
      <c r="J10" s="1288"/>
      <c r="K10" s="1288"/>
      <c r="L10" s="1289"/>
      <c r="P10" s="2185"/>
      <c r="Q10" s="1375"/>
      <c r="R10" s="291"/>
      <c r="S10" s="1203"/>
      <c r="T10" s="300" t="s">
        <v>411</v>
      </c>
      <c r="U10" s="302"/>
      <c r="V10" s="302"/>
      <c r="W10" s="302"/>
      <c r="X10" s="302"/>
      <c r="Y10" s="302"/>
      <c r="Z10" s="302"/>
      <c r="AA10" s="302"/>
      <c r="AB10" s="301"/>
      <c r="AC10" s="302"/>
      <c r="AD10" s="302"/>
      <c r="AE10" s="302"/>
      <c r="AF10" s="302"/>
      <c r="AG10" s="302"/>
      <c r="AH10" s="302"/>
      <c r="AI10" s="301"/>
      <c r="AJ10" s="302"/>
      <c r="AK10" s="1365"/>
      <c r="AM10" s="435"/>
      <c r="AN10" s="435" t="str">
        <f t="shared" si="0"/>
        <v>Добавить группу потребителей</v>
      </c>
      <c r="AO10" s="435"/>
      <c r="AP10" s="435"/>
      <c r="AQ10" s="1080">
        <v>0</v>
      </c>
    </row>
    <row r="11" spans="1:43" ht="21" hidden="1" customHeight="1">
      <c r="A11" s="1288"/>
      <c r="B11" s="1288"/>
      <c r="C11" s="1288"/>
      <c r="D11" s="1288"/>
      <c r="E11" s="2187"/>
      <c r="F11" s="2187"/>
      <c r="G11" s="2187"/>
      <c r="H11" s="2186"/>
      <c r="I11" s="1288"/>
      <c r="J11" s="1288"/>
      <c r="K11" s="1288"/>
      <c r="L11" s="1289"/>
      <c r="M11" s="1290"/>
      <c r="N11" s="1290"/>
      <c r="O11" s="472"/>
      <c r="P11" s="295"/>
      <c r="Q11" s="310"/>
      <c r="R11" s="290"/>
      <c r="S11" s="1203"/>
      <c r="T11" s="307" t="s">
        <v>487</v>
      </c>
      <c r="U11" s="302"/>
      <c r="V11" s="302"/>
      <c r="W11" s="302"/>
      <c r="X11" s="302"/>
      <c r="Y11" s="302"/>
      <c r="Z11" s="302"/>
      <c r="AA11" s="302"/>
      <c r="AB11" s="301"/>
      <c r="AC11" s="302"/>
      <c r="AD11" s="302"/>
      <c r="AE11" s="302"/>
      <c r="AF11" s="302"/>
      <c r="AG11" s="302"/>
      <c r="AH11" s="302"/>
      <c r="AI11" s="301"/>
      <c r="AJ11" s="302"/>
      <c r="AK11" s="239"/>
      <c r="AM11" s="435"/>
      <c r="AN11" s="435" t="str">
        <f t="shared" si="0"/>
        <v>Добавить наименование признака дифференциации</v>
      </c>
      <c r="AO11" s="435"/>
      <c r="AP11" s="435"/>
      <c r="AQ11" s="1080">
        <v>0</v>
      </c>
    </row>
    <row r="12" spans="1:43" s="1567" customFormat="1" ht="14.25" hidden="1" customHeight="1">
      <c r="A12" s="1268"/>
      <c r="B12" s="1268"/>
      <c r="C12" s="1239"/>
      <c r="D12" s="1239"/>
      <c r="E12" s="2187"/>
      <c r="F12" s="2186"/>
      <c r="G12" s="1239"/>
      <c r="H12" s="1239"/>
      <c r="I12" s="1239"/>
      <c r="J12" s="1239"/>
      <c r="K12" s="1239"/>
      <c r="L12" s="1383"/>
      <c r="M12" s="1246"/>
      <c r="N12" s="1246"/>
      <c r="P12" s="1241"/>
      <c r="Q12" s="1242"/>
      <c r="R12" s="1241"/>
      <c r="S12" s="1247"/>
      <c r="T12" s="1250" t="s">
        <v>414</v>
      </c>
      <c r="U12" s="1249"/>
      <c r="V12" s="1249"/>
      <c r="W12" s="1249"/>
      <c r="X12" s="1249"/>
      <c r="Y12" s="1249"/>
      <c r="Z12" s="1249"/>
      <c r="AA12" s="1249"/>
      <c r="AB12" s="1249"/>
      <c r="AC12" s="1249"/>
      <c r="AD12" s="1249"/>
      <c r="AE12" s="1249"/>
      <c r="AF12" s="1249"/>
      <c r="AG12" s="1249"/>
      <c r="AH12" s="1249"/>
      <c r="AI12" s="1249"/>
      <c r="AJ12" s="1249"/>
      <c r="AK12" s="1249"/>
      <c r="AM12" s="718"/>
      <c r="AN12" s="718" t="str">
        <f t="shared" si="0"/>
        <v>Добавить централизованную систему для дифференциации</v>
      </c>
      <c r="AO12" s="718"/>
      <c r="AP12" s="718"/>
      <c r="AQ12" s="453">
        <v>0</v>
      </c>
    </row>
    <row r="13" spans="1:43" s="1567" customFormat="1" ht="14.25" hidden="1" customHeight="1">
      <c r="A13" s="1268"/>
      <c r="B13" s="1268"/>
      <c r="C13" s="1268"/>
      <c r="D13" s="1268"/>
      <c r="E13" s="2186"/>
      <c r="F13" s="1268"/>
      <c r="G13" s="1268"/>
      <c r="H13" s="1268"/>
      <c r="I13" s="1268"/>
      <c r="J13" s="1268"/>
      <c r="K13" s="1268"/>
      <c r="L13" s="1271"/>
      <c r="M13" s="1246"/>
      <c r="N13" s="1246"/>
      <c r="O13" s="453"/>
      <c r="P13" s="315"/>
      <c r="Q13" s="1269"/>
      <c r="R13" s="315"/>
      <c r="S13" s="1247"/>
      <c r="T13" s="1250" t="s">
        <v>415</v>
      </c>
      <c r="U13" s="1249"/>
      <c r="V13" s="1249"/>
      <c r="W13" s="1249"/>
      <c r="X13" s="1249"/>
      <c r="Y13" s="1249"/>
      <c r="Z13" s="1249"/>
      <c r="AA13" s="1249"/>
      <c r="AB13" s="1249"/>
      <c r="AC13" s="1249"/>
      <c r="AD13" s="1249"/>
      <c r="AE13" s="1249"/>
      <c r="AF13" s="1249"/>
      <c r="AG13" s="1249"/>
      <c r="AH13" s="1249"/>
      <c r="AI13" s="1249"/>
      <c r="AJ13" s="1249"/>
      <c r="AK13" s="1249"/>
      <c r="AM13" s="435"/>
      <c r="AN13" s="435" t="str">
        <f t="shared" si="0"/>
        <v>Добавить территорию для дифференциации</v>
      </c>
      <c r="AO13" s="435"/>
      <c r="AP13" s="435"/>
      <c r="AQ13" s="446">
        <v>0</v>
      </c>
    </row>
    <row r="14" spans="1:43" ht="14.25" hidden="1" customHeight="1">
      <c r="AB14" s="263"/>
      <c r="AI14" s="263"/>
      <c r="AQ14" s="1080">
        <v>0</v>
      </c>
    </row>
    <row r="15" spans="1:43" ht="14.25" hidden="1" customHeight="1">
      <c r="AC15" s="1285"/>
      <c r="AD15" s="1285"/>
      <c r="AE15" s="1286"/>
      <c r="AF15" s="2191"/>
      <c r="AG15" s="2192" t="s">
        <v>66</v>
      </c>
      <c r="AH15" s="2191"/>
      <c r="AI15" s="2192" t="s">
        <v>66</v>
      </c>
      <c r="AQ15" s="1080">
        <v>0</v>
      </c>
    </row>
    <row r="16" spans="1:43" ht="14.25" hidden="1" customHeight="1">
      <c r="AC16" s="1285"/>
      <c r="AD16" s="1285"/>
      <c r="AE16" s="264" t="str">
        <f>AF15&amp;"-"&amp;AH15</f>
        <v>-</v>
      </c>
      <c r="AF16" s="2192"/>
      <c r="AG16" s="2192"/>
      <c r="AH16" s="2192"/>
      <c r="AI16" s="2192"/>
      <c r="AQ16" s="1080">
        <v>0</v>
      </c>
    </row>
    <row r="17" spans="1:43" ht="14.25" hidden="1" customHeight="1">
      <c r="AI17" s="263"/>
      <c r="AQ17" s="1080">
        <v>0</v>
      </c>
    </row>
    <row r="18" spans="1:43" s="1291" customFormat="1" ht="22.5" hidden="1" customHeight="1">
      <c r="L18" s="1372"/>
      <c r="M18" s="1287"/>
      <c r="N18" s="1287"/>
      <c r="O18" s="1292" t="s">
        <v>416</v>
      </c>
      <c r="P18" s="1287"/>
      <c r="Q18" s="1296"/>
      <c r="R18" s="1296"/>
      <c r="S18" s="664"/>
      <c r="Y18" s="1292"/>
      <c r="AA18" s="1292"/>
      <c r="AF18" s="1292"/>
      <c r="AH18" s="1292"/>
      <c r="AL18" s="446"/>
      <c r="AM18" s="446"/>
      <c r="AN18" s="446"/>
      <c r="AO18" s="446"/>
      <c r="AP18" s="446"/>
      <c r="AQ18" s="1085">
        <v>0</v>
      </c>
    </row>
    <row r="19" spans="1:43" s="1291" customFormat="1" ht="14.25" hidden="1" customHeight="1">
      <c r="L19" s="1372"/>
      <c r="M19" s="1287"/>
      <c r="N19" s="1287"/>
      <c r="O19" s="1287"/>
      <c r="P19" s="1287"/>
      <c r="Q19" s="1296"/>
      <c r="R19" s="1296"/>
      <c r="S19" s="664"/>
      <c r="AL19" s="446"/>
      <c r="AM19" s="446"/>
      <c r="AN19" s="446"/>
      <c r="AO19" s="446"/>
      <c r="AP19" s="446"/>
      <c r="AQ19" s="1085">
        <v>0</v>
      </c>
    </row>
    <row r="20" spans="1:43" s="1291" customFormat="1" ht="12" hidden="1" customHeight="1">
      <c r="L20" s="1372"/>
      <c r="M20" s="1287"/>
      <c r="N20" s="1287"/>
      <c r="O20" s="1289" t="s">
        <v>417</v>
      </c>
      <c r="P20" s="1287"/>
      <c r="Q20" s="1367"/>
      <c r="R20" s="1367"/>
      <c r="S20" s="664"/>
      <c r="T20" s="1085" t="s">
        <v>418</v>
      </c>
      <c r="Z20" s="122" t="s">
        <v>419</v>
      </c>
      <c r="AB20" s="122" t="s">
        <v>420</v>
      </c>
      <c r="AC20" s="1085" t="s">
        <v>418</v>
      </c>
      <c r="AG20" s="122" t="s">
        <v>421</v>
      </c>
      <c r="AI20" s="122" t="s">
        <v>420</v>
      </c>
      <c r="AQ20" s="1085">
        <v>0</v>
      </c>
    </row>
    <row r="21" spans="1:43" ht="14.25" hidden="1" customHeight="1">
      <c r="O21" s="1289"/>
      <c r="AQ21" s="1080">
        <v>0</v>
      </c>
    </row>
    <row r="22" spans="1:43" ht="14.25" hidden="1" customHeight="1">
      <c r="O22" s="1289"/>
      <c r="AQ22" s="1080">
        <v>0</v>
      </c>
    </row>
    <row r="23" spans="1:43" ht="14.65" customHeight="1">
      <c r="Q23" s="311"/>
      <c r="R23" s="311"/>
      <c r="S23" s="1200"/>
      <c r="T23" s="298"/>
      <c r="U23" s="298"/>
      <c r="V23" s="444"/>
      <c r="W23" s="444"/>
      <c r="X23" s="444"/>
      <c r="Y23" s="444"/>
      <c r="Z23" s="444"/>
      <c r="AA23" s="444"/>
      <c r="AB23" s="444"/>
      <c r="AC23" s="444"/>
      <c r="AD23" s="444"/>
      <c r="AE23" s="444"/>
      <c r="AF23" s="444"/>
      <c r="AG23" s="444"/>
      <c r="AH23" s="444"/>
      <c r="AI23" s="444"/>
      <c r="AQ23" s="1080">
        <v>14</v>
      </c>
    </row>
    <row r="24" spans="1:43" ht="14.65" customHeight="1">
      <c r="Q24" s="311"/>
      <c r="R24" s="311"/>
      <c r="S24" s="2170" t="str">
        <f>IF(TEMPLATE_GROUP="P",PT_P_FORM_COLDVSNA_4_NAME_FORM,PT_R_FORM_COLDVSNA_16_NAME_FORM)</f>
        <v>Форма 13. Информация о предложении организации холодного водоснабжения об установлении расчетной величины тарифов в сфере холодного водоснабжения</v>
      </c>
      <c r="T24" s="2170"/>
      <c r="U24" s="2170"/>
      <c r="V24" s="2170"/>
      <c r="W24" s="2170"/>
      <c r="X24" s="2170"/>
      <c r="Y24" s="2170"/>
      <c r="Z24" s="2170"/>
      <c r="AA24" s="2170"/>
      <c r="AB24" s="2170"/>
      <c r="AC24" s="2170"/>
      <c r="AD24" s="2170"/>
      <c r="AE24" s="2170"/>
      <c r="AF24" s="2170"/>
      <c r="AG24" s="2170"/>
      <c r="AH24" s="2170"/>
      <c r="AI24" s="1168"/>
      <c r="AQ24" s="1080">
        <v>14</v>
      </c>
    </row>
    <row r="25" spans="1:43" ht="14.65" customHeight="1">
      <c r="Q25" s="311"/>
      <c r="R25" s="311"/>
      <c r="S25" s="2115" t="str">
        <f>IF(org=0,"Не определено",org)</f>
        <v>ООО "ЗЕНИТ ЭНЕРГО"</v>
      </c>
      <c r="T25" s="2115"/>
      <c r="U25" s="2115"/>
      <c r="V25" s="2115"/>
      <c r="W25" s="2115"/>
      <c r="X25" s="2115"/>
      <c r="Y25" s="2115"/>
      <c r="Z25" s="2115"/>
      <c r="AA25" s="2115"/>
      <c r="AB25" s="2115"/>
      <c r="AC25" s="2115"/>
      <c r="AD25" s="2115"/>
      <c r="AE25" s="2115"/>
      <c r="AF25" s="2115"/>
      <c r="AG25" s="2115"/>
      <c r="AH25" s="2115"/>
      <c r="AI25" s="1168"/>
      <c r="AQ25" s="1080">
        <v>14</v>
      </c>
    </row>
    <row r="26" spans="1:43" ht="14.25" hidden="1" customHeight="1">
      <c r="Q26" s="311"/>
      <c r="R26" s="311"/>
      <c r="S26" s="1200"/>
      <c r="T26" s="298"/>
      <c r="U26" s="298"/>
      <c r="V26" s="258"/>
      <c r="W26" s="258"/>
      <c r="X26" s="258"/>
      <c r="Y26" s="258"/>
      <c r="Z26" s="258"/>
      <c r="AA26" s="258"/>
      <c r="AB26" s="258"/>
      <c r="AC26" s="258"/>
      <c r="AD26" s="258"/>
      <c r="AE26" s="258"/>
      <c r="AF26" s="258"/>
      <c r="AG26" s="258"/>
      <c r="AH26" s="258"/>
      <c r="AI26" s="258"/>
      <c r="AJ26" s="444"/>
      <c r="AQ26" s="1080">
        <v>0</v>
      </c>
    </row>
    <row r="27" spans="1:43" s="1777" customFormat="1" ht="25.5" hidden="1" customHeight="1">
      <c r="A27" s="1293"/>
      <c r="B27" s="1293"/>
      <c r="C27" s="1293"/>
      <c r="D27" s="1293"/>
      <c r="E27" s="1293"/>
      <c r="F27" s="1293"/>
      <c r="G27" s="1293"/>
      <c r="H27" s="1293"/>
      <c r="I27" s="1293"/>
      <c r="J27" s="1293"/>
      <c r="K27" s="1293"/>
      <c r="L27" s="1294"/>
      <c r="M27" s="1293"/>
      <c r="N27" s="1293"/>
      <c r="O27" s="1293"/>
      <c r="S27" s="2178" t="s">
        <v>42</v>
      </c>
      <c r="T27" s="2178"/>
      <c r="U27" s="1297"/>
      <c r="V27" s="2179" t="str">
        <f>IF(TITLE_NAME_OR_PR_CHANGE="",IF(TITLE_NAME_OR_PR="","",TITLE_NAME_OR_PR),TITLE_NAME_OR_PR_CHANGE)</f>
        <v/>
      </c>
      <c r="W27" s="2179"/>
      <c r="X27" s="2179"/>
      <c r="Y27" s="2179"/>
      <c r="Z27" s="2179"/>
      <c r="AA27" s="2179"/>
      <c r="AB27" s="262"/>
      <c r="AC27" s="2179" t="str">
        <f>IF(TITLE_NAME_OR_PR_CHANGE="",IF(TITLE_NAME_OR_PR="","",TITLE_NAME_OR_PR),TITLE_NAME_OR_PR_CHANGE)</f>
        <v/>
      </c>
      <c r="AD27" s="2179"/>
      <c r="AE27" s="2179"/>
      <c r="AF27" s="2179"/>
      <c r="AG27" s="2179"/>
      <c r="AH27" s="2179"/>
      <c r="AI27" s="262"/>
      <c r="AJ27" s="262"/>
      <c r="AK27" s="216"/>
      <c r="AL27" s="303"/>
      <c r="AM27" s="303"/>
      <c r="AN27" s="303"/>
      <c r="AO27" s="303"/>
      <c r="AP27" s="303"/>
      <c r="AQ27" s="353">
        <v>0</v>
      </c>
    </row>
    <row r="28" spans="1:43" s="1777" customFormat="1" ht="18.75" hidden="1" customHeight="1">
      <c r="A28" s="1293"/>
      <c r="B28" s="1293"/>
      <c r="C28" s="1293"/>
      <c r="D28" s="1293"/>
      <c r="E28" s="1293"/>
      <c r="F28" s="1293"/>
      <c r="G28" s="1293"/>
      <c r="H28" s="1293"/>
      <c r="I28" s="1293"/>
      <c r="J28" s="1293"/>
      <c r="K28" s="1293"/>
      <c r="L28" s="1294"/>
      <c r="M28" s="1293"/>
      <c r="N28" s="1293"/>
      <c r="O28" s="1293"/>
      <c r="S28" s="2178" t="s">
        <v>422</v>
      </c>
      <c r="T28" s="2178"/>
      <c r="U28" s="1297"/>
      <c r="V28" s="2188" t="str">
        <f>IF(TITLE_DATE_PR_CHANGE="",IF(TITLE_DATE_PR="","",TITLE_DATE_PR),TITLE_DATE_PR_CHANGE)</f>
        <v/>
      </c>
      <c r="W28" s="2188"/>
      <c r="X28" s="2188"/>
      <c r="Y28" s="2188"/>
      <c r="Z28" s="2188"/>
      <c r="AA28" s="2188"/>
      <c r="AB28" s="262"/>
      <c r="AC28" s="2188" t="str">
        <f>IF(TITLE_DATE_PR_CHANGE="",IF(TITLE_DATE_PR="","",TITLE_DATE_PR),TITLE_DATE_PR_CHANGE)</f>
        <v/>
      </c>
      <c r="AD28" s="2188"/>
      <c r="AE28" s="2188"/>
      <c r="AF28" s="2188"/>
      <c r="AG28" s="2188"/>
      <c r="AH28" s="2188"/>
      <c r="AI28" s="262"/>
      <c r="AJ28" s="262"/>
      <c r="AK28" s="216"/>
      <c r="AL28" s="303"/>
      <c r="AM28" s="303"/>
      <c r="AN28" s="303"/>
      <c r="AO28" s="303"/>
      <c r="AP28" s="303"/>
      <c r="AQ28" s="353">
        <v>0</v>
      </c>
    </row>
    <row r="29" spans="1:43" s="1777" customFormat="1" ht="18.75" hidden="1" customHeight="1">
      <c r="A29" s="1293"/>
      <c r="B29" s="1293"/>
      <c r="C29" s="1293"/>
      <c r="D29" s="1293"/>
      <c r="E29" s="1293"/>
      <c r="F29" s="1293"/>
      <c r="G29" s="1293"/>
      <c r="H29" s="1293"/>
      <c r="I29" s="1293"/>
      <c r="J29" s="1293"/>
      <c r="K29" s="1293"/>
      <c r="L29" s="1294"/>
      <c r="M29" s="1293"/>
      <c r="N29" s="1293"/>
      <c r="O29" s="1293"/>
      <c r="S29" s="2178" t="s">
        <v>423</v>
      </c>
      <c r="T29" s="2178"/>
      <c r="U29" s="1297"/>
      <c r="V29" s="2179" t="str">
        <f>IF(TITLE_NUMBER_PR_CHANGE="",IF(TITLE_NUMBER_PR="","",TITLE_NUMBER_PR),TITLE_NUMBER_PR_CHANGE)</f>
        <v/>
      </c>
      <c r="W29" s="2179"/>
      <c r="X29" s="2179"/>
      <c r="Y29" s="2179"/>
      <c r="Z29" s="2179"/>
      <c r="AA29" s="2179"/>
      <c r="AB29" s="262"/>
      <c r="AC29" s="2179" t="str">
        <f>IF(TITLE_NUMBER_PR_CHANGE="",IF(TITLE_NUMBER_PR="","",TITLE_NUMBER_PR),TITLE_NUMBER_PR_CHANGE)</f>
        <v/>
      </c>
      <c r="AD29" s="2179"/>
      <c r="AE29" s="2179"/>
      <c r="AF29" s="2179"/>
      <c r="AG29" s="2179"/>
      <c r="AH29" s="2179"/>
      <c r="AI29" s="262"/>
      <c r="AJ29" s="262"/>
      <c r="AK29" s="216"/>
      <c r="AL29" s="303"/>
      <c r="AM29" s="303"/>
      <c r="AN29" s="303"/>
      <c r="AO29" s="303"/>
      <c r="AP29" s="303"/>
      <c r="AQ29" s="353">
        <v>0</v>
      </c>
    </row>
    <row r="30" spans="1:43" s="1777" customFormat="1" ht="18.75" hidden="1" customHeight="1">
      <c r="A30" s="1293"/>
      <c r="B30" s="1293"/>
      <c r="C30" s="1293"/>
      <c r="D30" s="1293"/>
      <c r="E30" s="1293"/>
      <c r="F30" s="1293"/>
      <c r="G30" s="1293"/>
      <c r="H30" s="1293"/>
      <c r="I30" s="1293"/>
      <c r="J30" s="1293"/>
      <c r="K30" s="1293"/>
      <c r="L30" s="1294"/>
      <c r="M30" s="1293"/>
      <c r="N30" s="1293"/>
      <c r="O30" s="1293"/>
      <c r="S30" s="2178" t="s">
        <v>43</v>
      </c>
      <c r="T30" s="2178"/>
      <c r="U30" s="1297"/>
      <c r="V30" s="2179" t="str">
        <f>IF(TITLE_IST_PUB_CHANGE="",IF(TITLE_IST_PUB="","",TITLE_IST_PUB),TITLE_IST_PUB_CHANGE)</f>
        <v/>
      </c>
      <c r="W30" s="2179"/>
      <c r="X30" s="2179"/>
      <c r="Y30" s="2179"/>
      <c r="Z30" s="2179"/>
      <c r="AA30" s="2179"/>
      <c r="AB30" s="262"/>
      <c r="AC30" s="2179" t="str">
        <f>IF(TITLE_IST_PUB_CHANGE="",IF(TITLE_IST_PUB="","",TITLE_IST_PUB),TITLE_IST_PUB_CHANGE)</f>
        <v/>
      </c>
      <c r="AD30" s="2179"/>
      <c r="AE30" s="2179"/>
      <c r="AF30" s="2179"/>
      <c r="AG30" s="2179"/>
      <c r="AH30" s="2179"/>
      <c r="AI30" s="262"/>
      <c r="AJ30" s="262"/>
      <c r="AK30" s="216"/>
      <c r="AL30" s="303"/>
      <c r="AM30" s="303"/>
      <c r="AN30" s="303"/>
      <c r="AO30" s="303"/>
      <c r="AP30" s="303"/>
      <c r="AQ30" s="353">
        <v>0</v>
      </c>
    </row>
    <row r="31" spans="1:43" ht="14.25" hidden="1" customHeight="1">
      <c r="Q31" s="311"/>
      <c r="R31" s="311"/>
      <c r="S31" s="1200"/>
      <c r="T31" s="298"/>
      <c r="U31" s="298"/>
      <c r="V31" s="258"/>
      <c r="W31" s="258"/>
      <c r="X31" s="258"/>
      <c r="Y31" s="258"/>
      <c r="Z31" s="258"/>
      <c r="AA31" s="258"/>
      <c r="AB31" s="258"/>
      <c r="AC31" s="258"/>
      <c r="AD31" s="258"/>
      <c r="AE31" s="258"/>
      <c r="AF31" s="258"/>
      <c r="AG31" s="258"/>
      <c r="AH31" s="258"/>
      <c r="AI31" s="258"/>
      <c r="AJ31" s="444"/>
      <c r="AQ31" s="1080">
        <v>0</v>
      </c>
    </row>
    <row r="32" spans="1:43" s="1777" customFormat="1" ht="18.75" hidden="1" customHeight="1">
      <c r="A32" s="1293"/>
      <c r="B32" s="1293"/>
      <c r="C32" s="1293"/>
      <c r="D32" s="1293"/>
      <c r="E32" s="1293"/>
      <c r="F32" s="1293"/>
      <c r="G32" s="1293"/>
      <c r="H32" s="1293"/>
      <c r="I32" s="1293"/>
      <c r="J32" s="1293"/>
      <c r="K32" s="1293"/>
      <c r="L32" s="1294"/>
      <c r="M32" s="1293"/>
      <c r="N32" s="1293"/>
      <c r="O32" s="1293"/>
      <c r="S32" s="2178" t="s">
        <v>424</v>
      </c>
      <c r="T32" s="2178"/>
      <c r="U32" s="1297"/>
      <c r="V32" s="2188" t="str">
        <f>IF(TITLE_DATE_PR_CHANGE="",IF(TITLE_DATE_PR="","",TITLE_DATE_PR),TITLE_DATE_PR_CHANGE)</f>
        <v/>
      </c>
      <c r="W32" s="2188"/>
      <c r="X32" s="2188"/>
      <c r="Y32" s="2188"/>
      <c r="Z32" s="2188"/>
      <c r="AA32" s="2188"/>
      <c r="AB32" s="262"/>
      <c r="AC32" s="2188" t="str">
        <f>IF(TITLE_DATE_PR_CHANGE="",IF(TITLE_DATE_PR="","",TITLE_DATE_PR),TITLE_DATE_PR_CHANGE)</f>
        <v/>
      </c>
      <c r="AD32" s="2188"/>
      <c r="AE32" s="2188"/>
      <c r="AF32" s="2188"/>
      <c r="AG32" s="2188"/>
      <c r="AH32" s="2188"/>
      <c r="AI32" s="262"/>
      <c r="AJ32" s="262"/>
      <c r="AK32" s="216"/>
      <c r="AL32" s="303"/>
      <c r="AM32" s="303"/>
      <c r="AN32" s="303"/>
      <c r="AO32" s="303"/>
      <c r="AP32" s="303"/>
      <c r="AQ32" s="353">
        <v>0</v>
      </c>
    </row>
    <row r="33" spans="1:43" s="1777" customFormat="1" ht="18.75" hidden="1" customHeight="1">
      <c r="A33" s="1293"/>
      <c r="B33" s="1293"/>
      <c r="C33" s="1293"/>
      <c r="D33" s="1293"/>
      <c r="E33" s="1293"/>
      <c r="F33" s="1293"/>
      <c r="G33" s="1293"/>
      <c r="H33" s="1293"/>
      <c r="I33" s="1293"/>
      <c r="J33" s="1293"/>
      <c r="K33" s="1293"/>
      <c r="L33" s="1294"/>
      <c r="M33" s="1293"/>
      <c r="N33" s="1293"/>
      <c r="O33" s="1293"/>
      <c r="S33" s="2178" t="s">
        <v>425</v>
      </c>
      <c r="T33" s="2178"/>
      <c r="U33" s="1297"/>
      <c r="V33" s="2179" t="str">
        <f>IF(TITLE_NUMBER_PR_CHANGE="",IF(TITLE_NUMBER_PR="","",TITLE_NUMBER_PR),TITLE_NUMBER_PR_CHANGE)</f>
        <v/>
      </c>
      <c r="W33" s="2179"/>
      <c r="X33" s="2179"/>
      <c r="Y33" s="2179"/>
      <c r="Z33" s="2179"/>
      <c r="AA33" s="2179"/>
      <c r="AB33" s="262"/>
      <c r="AC33" s="2179" t="str">
        <f>IF(TITLE_NUMBER_PR_CHANGE="",IF(TITLE_NUMBER_PR="","",TITLE_NUMBER_PR),TITLE_NUMBER_PR_CHANGE)</f>
        <v/>
      </c>
      <c r="AD33" s="2179"/>
      <c r="AE33" s="2179"/>
      <c r="AF33" s="2179"/>
      <c r="AG33" s="2179"/>
      <c r="AH33" s="2179"/>
      <c r="AI33" s="262"/>
      <c r="AJ33" s="262"/>
      <c r="AK33" s="216"/>
      <c r="AL33" s="303"/>
      <c r="AM33" s="303"/>
      <c r="AN33" s="303"/>
      <c r="AO33" s="303"/>
      <c r="AP33" s="303"/>
      <c r="AQ33" s="353">
        <v>0</v>
      </c>
    </row>
    <row r="34" spans="1:43" s="1777" customFormat="1" ht="1.1499999999999999" customHeight="1">
      <c r="A34" s="1293"/>
      <c r="B34" s="1293"/>
      <c r="C34" s="1293"/>
      <c r="D34" s="1293"/>
      <c r="E34" s="1293"/>
      <c r="F34" s="1293"/>
      <c r="G34" s="1293"/>
      <c r="H34" s="1293"/>
      <c r="I34" s="1293"/>
      <c r="J34" s="1293"/>
      <c r="K34" s="1293"/>
      <c r="L34" s="1294"/>
      <c r="M34" s="1293"/>
      <c r="N34" s="1293"/>
      <c r="O34" s="1293"/>
      <c r="S34" s="259"/>
      <c r="T34" s="259"/>
      <c r="U34" s="1379"/>
      <c r="V34" s="262"/>
      <c r="W34" s="262"/>
      <c r="X34" s="262"/>
      <c r="Y34" s="262"/>
      <c r="Z34" s="262"/>
      <c r="AA34" s="262"/>
      <c r="AB34" s="214" t="s">
        <v>426</v>
      </c>
      <c r="AC34" s="262"/>
      <c r="AD34" s="262"/>
      <c r="AE34" s="262"/>
      <c r="AF34" s="262"/>
      <c r="AG34" s="262"/>
      <c r="AH34" s="262"/>
      <c r="AI34" s="214" t="s">
        <v>426</v>
      </c>
      <c r="AL34" s="303"/>
      <c r="AM34" s="303"/>
      <c r="AN34" s="303"/>
      <c r="AO34" s="303"/>
      <c r="AP34" s="303"/>
      <c r="AQ34" s="353">
        <v>1</v>
      </c>
    </row>
    <row r="35" spans="1:43" ht="14.65" customHeight="1">
      <c r="Q35" s="311"/>
      <c r="R35" s="311"/>
      <c r="S35" s="1200"/>
      <c r="T35" s="298"/>
      <c r="U35" s="1169"/>
      <c r="V35" s="2180"/>
      <c r="W35" s="2180"/>
      <c r="X35" s="2180"/>
      <c r="Y35" s="2180"/>
      <c r="Z35" s="2180"/>
      <c r="AA35" s="2180"/>
      <c r="AB35" s="2180"/>
      <c r="AC35" s="2180"/>
      <c r="AD35" s="2180"/>
      <c r="AE35" s="2180"/>
      <c r="AF35" s="2180"/>
      <c r="AG35" s="2180"/>
      <c r="AH35" s="2180"/>
      <c r="AI35" s="2180"/>
      <c r="AQ35" s="1080">
        <v>14</v>
      </c>
    </row>
    <row r="36" spans="1:43" ht="14.65" customHeight="1">
      <c r="Q36" s="311"/>
      <c r="R36" s="311"/>
      <c r="S36" s="2066" t="s">
        <v>299</v>
      </c>
      <c r="T36" s="2066"/>
      <c r="U36" s="2066"/>
      <c r="V36" s="2066"/>
      <c r="W36" s="2066"/>
      <c r="X36" s="2066"/>
      <c r="Y36" s="2066"/>
      <c r="Z36" s="2066"/>
      <c r="AA36" s="2066"/>
      <c r="AB36" s="2066"/>
      <c r="AC36" s="2066"/>
      <c r="AD36" s="2066"/>
      <c r="AE36" s="2066"/>
      <c r="AF36" s="2066"/>
      <c r="AG36" s="2066"/>
      <c r="AH36" s="2066"/>
      <c r="AI36" s="2066"/>
      <c r="AJ36" s="2066"/>
      <c r="AK36" s="2066" t="s">
        <v>300</v>
      </c>
      <c r="AQ36" s="1080">
        <v>14</v>
      </c>
    </row>
    <row r="37" spans="1:43" ht="14.65" customHeight="1">
      <c r="Q37" s="311"/>
      <c r="R37" s="311"/>
      <c r="S37" s="2194" t="s">
        <v>88</v>
      </c>
      <c r="T37" s="2145" t="s">
        <v>427</v>
      </c>
      <c r="U37" s="237"/>
      <c r="V37" s="2195" t="s">
        <v>428</v>
      </c>
      <c r="W37" s="2196"/>
      <c r="X37" s="2196"/>
      <c r="Y37" s="2196"/>
      <c r="Z37" s="2196"/>
      <c r="AA37" s="2197"/>
      <c r="AB37" s="2198" t="s">
        <v>429</v>
      </c>
      <c r="AC37" s="2195" t="s">
        <v>428</v>
      </c>
      <c r="AD37" s="2196"/>
      <c r="AE37" s="2196"/>
      <c r="AF37" s="2196"/>
      <c r="AG37" s="2196"/>
      <c r="AH37" s="2197"/>
      <c r="AI37" s="2198" t="s">
        <v>430</v>
      </c>
      <c r="AJ37" s="2201" t="s">
        <v>431</v>
      </c>
      <c r="AK37" s="2066"/>
      <c r="AQ37" s="1080">
        <v>14</v>
      </c>
    </row>
    <row r="38" spans="1:43" ht="35.65" customHeight="1">
      <c r="Q38" s="311"/>
      <c r="R38" s="311"/>
      <c r="S38" s="2194"/>
      <c r="T38" s="2145"/>
      <c r="U38" s="959"/>
      <c r="V38" s="1377" t="s">
        <v>488</v>
      </c>
      <c r="W38" s="2038" t="s">
        <v>434</v>
      </c>
      <c r="X38" s="2037"/>
      <c r="Y38" s="2038" t="s">
        <v>435</v>
      </c>
      <c r="Z38" s="2043"/>
      <c r="AA38" s="2037"/>
      <c r="AB38" s="2199"/>
      <c r="AC38" s="1377" t="s">
        <v>488</v>
      </c>
      <c r="AD38" s="2038" t="s">
        <v>434</v>
      </c>
      <c r="AE38" s="2037"/>
      <c r="AF38" s="2038" t="s">
        <v>435</v>
      </c>
      <c r="AG38" s="2043"/>
      <c r="AH38" s="2037"/>
      <c r="AI38" s="2199"/>
      <c r="AJ38" s="2202"/>
      <c r="AK38" s="2066"/>
      <c r="AQ38" s="1080">
        <v>34</v>
      </c>
    </row>
    <row r="39" spans="1:43" ht="35.65" customHeight="1">
      <c r="A39" s="1295"/>
      <c r="B39" s="1295" t="s">
        <v>136</v>
      </c>
      <c r="C39" s="1295" t="s">
        <v>137</v>
      </c>
      <c r="D39" s="1295" t="s">
        <v>138</v>
      </c>
      <c r="E39" s="1289" t="s">
        <v>436</v>
      </c>
      <c r="F39" s="1289" t="s">
        <v>437</v>
      </c>
      <c r="G39" s="1289" t="s">
        <v>438</v>
      </c>
      <c r="H39" s="1289"/>
      <c r="I39" s="1289" t="s">
        <v>489</v>
      </c>
      <c r="J39" s="1289" t="s">
        <v>441</v>
      </c>
      <c r="K39" s="1289" t="s">
        <v>490</v>
      </c>
      <c r="L39" s="1289" t="s">
        <v>417</v>
      </c>
      <c r="Q39" s="311"/>
      <c r="R39" s="311"/>
      <c r="S39" s="2194"/>
      <c r="T39" s="2145"/>
      <c r="U39" s="238"/>
      <c r="V39" s="1377" t="s">
        <v>491</v>
      </c>
      <c r="W39" s="1147" t="s">
        <v>492</v>
      </c>
      <c r="X39" s="1147" t="s">
        <v>493</v>
      </c>
      <c r="Y39" s="1380" t="s">
        <v>445</v>
      </c>
      <c r="Z39" s="2154" t="s">
        <v>446</v>
      </c>
      <c r="AA39" s="2156"/>
      <c r="AB39" s="2200"/>
      <c r="AC39" s="1377" t="s">
        <v>491</v>
      </c>
      <c r="AD39" s="1147" t="s">
        <v>492</v>
      </c>
      <c r="AE39" s="1147" t="s">
        <v>493</v>
      </c>
      <c r="AF39" s="1380" t="s">
        <v>445</v>
      </c>
      <c r="AG39" s="2154" t="s">
        <v>446</v>
      </c>
      <c r="AH39" s="2156"/>
      <c r="AI39" s="2200"/>
      <c r="AJ39" s="2203"/>
      <c r="AK39" s="2066"/>
      <c r="AQ39" s="1080">
        <v>34</v>
      </c>
    </row>
    <row r="40" spans="1:43" s="1566" customFormat="1" ht="0" hidden="1" customHeight="1">
      <c r="A40" s="1295"/>
      <c r="B40" s="1295"/>
      <c r="C40" s="1295"/>
      <c r="D40" s="1295"/>
      <c r="E40" s="1295"/>
      <c r="F40" s="1295"/>
      <c r="G40" s="1295"/>
      <c r="H40" s="1295"/>
      <c r="I40" s="1295"/>
      <c r="J40" s="1295"/>
      <c r="K40" s="1295"/>
      <c r="L40" s="1289"/>
      <c r="M40" s="1287"/>
      <c r="N40" s="1287"/>
      <c r="O40" s="1287"/>
      <c r="P40" s="1171"/>
      <c r="Q40" s="1172"/>
      <c r="R40" s="1179">
        <v>1</v>
      </c>
      <c r="S40" s="1202" t="s">
        <v>109</v>
      </c>
      <c r="T40" s="1180" t="s">
        <v>110</v>
      </c>
      <c r="U40" s="1170" t="str">
        <f ca="1">OFFSET(U40,0,-1)</f>
        <v>2</v>
      </c>
      <c r="V40" s="1376">
        <f ca="1">OFFSET(V40,0,-1)+1</f>
        <v>3</v>
      </c>
      <c r="W40" s="1376">
        <f ca="1">OFFSET(W40,0,-1)+1</f>
        <v>4</v>
      </c>
      <c r="X40" s="1376">
        <f ca="1">OFFSET(X40,0,-1)+1</f>
        <v>5</v>
      </c>
      <c r="Y40" s="1376">
        <f ca="1">OFFSET(Y40,0,-1)+1</f>
        <v>6</v>
      </c>
      <c r="Z40" s="2193">
        <f ca="1">OFFSET(Z40,0,-1)+1</f>
        <v>7</v>
      </c>
      <c r="AA40" s="2193"/>
      <c r="AB40" s="1376">
        <f ca="1">OFFSET(AB40,0,-2)+1</f>
        <v>8</v>
      </c>
      <c r="AC40" s="1376">
        <f ca="1">OFFSET(AC40,0,-1)+1</f>
        <v>9</v>
      </c>
      <c r="AD40" s="1376">
        <f ca="1">OFFSET(AD40,0,-1)+1</f>
        <v>10</v>
      </c>
      <c r="AE40" s="1376">
        <f ca="1">OFFSET(AE40,0,-1)+1</f>
        <v>11</v>
      </c>
      <c r="AF40" s="1376">
        <f ca="1">OFFSET(AF40,0,-1)+1</f>
        <v>12</v>
      </c>
      <c r="AG40" s="2193">
        <f ca="1">OFFSET(AG40,0,-1)+1</f>
        <v>13</v>
      </c>
      <c r="AH40" s="2193"/>
      <c r="AI40" s="1376">
        <f ca="1">OFFSET(AI40,0,-2)+1</f>
        <v>14</v>
      </c>
      <c r="AJ40" s="1170">
        <f ca="1">OFFSET(AJ40,0,-1)</f>
        <v>14</v>
      </c>
      <c r="AK40" s="1376">
        <f ca="1">OFFSET(AK40,0,-1)+1</f>
        <v>15</v>
      </c>
      <c r="AL40" s="446"/>
      <c r="AM40" s="446"/>
      <c r="AN40" s="446"/>
      <c r="AO40" s="446"/>
      <c r="AP40" s="446"/>
      <c r="AQ40" s="431">
        <v>0</v>
      </c>
    </row>
    <row r="41" spans="1:43" ht="24" customHeight="1">
      <c r="A41" s="1288" t="s">
        <v>230</v>
      </c>
      <c r="B41" s="1288"/>
      <c r="C41" s="1288"/>
      <c r="D41" s="1288"/>
      <c r="E41" s="2186">
        <v>1</v>
      </c>
      <c r="F41" s="1288"/>
      <c r="G41" s="1288"/>
      <c r="H41" s="1288"/>
      <c r="I41" s="1288"/>
      <c r="J41" s="1288"/>
      <c r="K41" s="1288"/>
      <c r="L41" s="1289"/>
      <c r="M41" s="1290"/>
      <c r="N41" s="1290"/>
      <c r="O41" s="1290"/>
      <c r="P41" s="296"/>
      <c r="Q41" s="295"/>
      <c r="R41" s="290"/>
      <c r="S41" s="1382">
        <f>INDEX(PT_DIFFERENTIATION_NUM_NTAR,MATCH(A41,PT_DIFFERENTIATION_NTAR_ID,0))</f>
        <v>0</v>
      </c>
      <c r="T41" s="234" t="s">
        <v>124</v>
      </c>
      <c r="U41" s="236"/>
      <c r="V41" s="2172"/>
      <c r="W41" s="2173"/>
      <c r="X41" s="2173"/>
      <c r="Y41" s="2173"/>
      <c r="Z41" s="2173"/>
      <c r="AA41" s="2173"/>
      <c r="AB41" s="2174"/>
      <c r="AC41" s="2172" t="str">
        <f>INDEX(PT_DIFFERENTIATION_NTAR,MATCH(A41,PT_DIFFERENTIATION_NTAR_ID,0))</f>
        <v/>
      </c>
      <c r="AD41" s="2173"/>
      <c r="AE41" s="2173"/>
      <c r="AF41" s="2173"/>
      <c r="AG41" s="2173"/>
      <c r="AH41" s="2173"/>
      <c r="AI41" s="2173"/>
      <c r="AJ41" s="2174"/>
      <c r="AK41" s="1183"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41" s="435"/>
      <c r="AN41" s="435" t="str">
        <f t="shared" ref="AN41:AN53" si="1">IF(T41="","",T41)</f>
        <v>Наименование тарифа</v>
      </c>
      <c r="AO41" s="435"/>
      <c r="AP41" s="435"/>
      <c r="AQ41" s="1080">
        <v>23</v>
      </c>
    </row>
    <row r="42" spans="1:43" ht="24" customHeight="1">
      <c r="A42" s="1288" t="s">
        <v>230</v>
      </c>
      <c r="B42" s="1288" t="s">
        <v>231</v>
      </c>
      <c r="C42" s="1288"/>
      <c r="D42" s="1288"/>
      <c r="E42" s="2187"/>
      <c r="F42" s="2186">
        <v>1</v>
      </c>
      <c r="G42" s="1288"/>
      <c r="H42" s="1288"/>
      <c r="I42" s="1288"/>
      <c r="J42" s="1288"/>
      <c r="K42" s="1288"/>
      <c r="L42" s="1289"/>
      <c r="M42" s="1290"/>
      <c r="N42" s="1290"/>
      <c r="O42" s="1290"/>
      <c r="P42" s="1378"/>
      <c r="Q42" s="287"/>
      <c r="R42" s="288"/>
      <c r="S42" s="1382" t="str">
        <f>INDEX(PT_DIFFERENTIATION_NUM_TER,MATCH(B42,PT_DIFFERENTIATION_TER_ID,0))</f>
        <v>.</v>
      </c>
      <c r="T42" s="244" t="s">
        <v>396</v>
      </c>
      <c r="U42" s="236"/>
      <c r="V42" s="2172"/>
      <c r="W42" s="2173"/>
      <c r="X42" s="2173"/>
      <c r="Y42" s="2173"/>
      <c r="Z42" s="2173"/>
      <c r="AA42" s="2173"/>
      <c r="AB42" s="2174"/>
      <c r="AC42" s="2172" t="str">
        <f>INDEX(PT_DIFFERENTIATION_TER,MATCH(B42,PT_DIFFERENTIATION_TER_ID,0))</f>
        <v/>
      </c>
      <c r="AD42" s="2173"/>
      <c r="AE42" s="2173"/>
      <c r="AF42" s="2173"/>
      <c r="AG42" s="2173"/>
      <c r="AH42" s="2173"/>
      <c r="AI42" s="2173"/>
      <c r="AJ42" s="2174"/>
      <c r="AK42" s="1183" t="s">
        <v>397</v>
      </c>
      <c r="AM42" s="435"/>
      <c r="AN42" s="435" t="str">
        <f t="shared" si="1"/>
        <v>Территория действия тарифа</v>
      </c>
      <c r="AO42" s="435"/>
      <c r="AP42" s="435"/>
      <c r="AQ42" s="1080">
        <v>23</v>
      </c>
    </row>
    <row r="43" spans="1:43" ht="24" customHeight="1">
      <c r="A43" s="1288" t="s">
        <v>230</v>
      </c>
      <c r="B43" s="1288" t="s">
        <v>231</v>
      </c>
      <c r="C43" s="1288" t="s">
        <v>232</v>
      </c>
      <c r="D43" s="1288"/>
      <c r="E43" s="2187"/>
      <c r="F43" s="2187"/>
      <c r="G43" s="2186">
        <v>1</v>
      </c>
      <c r="H43" s="1288"/>
      <c r="I43" s="1288"/>
      <c r="J43" s="1288"/>
      <c r="K43" s="1288"/>
      <c r="L43" s="1289"/>
      <c r="M43" s="1290"/>
      <c r="N43" s="1290"/>
      <c r="O43" s="1290"/>
      <c r="P43" s="289"/>
      <c r="Q43" s="287"/>
      <c r="R43" s="288"/>
      <c r="S43" s="1382" t="str">
        <f>INDEX(PT_DIFFERENTIATION_NUM_CS,MATCH(C43,PT_DIFFERENTIATION_CS_ID,0))</f>
        <v>..</v>
      </c>
      <c r="T43" s="245" t="s">
        <v>480</v>
      </c>
      <c r="U43" s="236"/>
      <c r="V43" s="2172"/>
      <c r="W43" s="2173"/>
      <c r="X43" s="2173"/>
      <c r="Y43" s="2173"/>
      <c r="Z43" s="2173"/>
      <c r="AA43" s="2173"/>
      <c r="AB43" s="2174"/>
      <c r="AC43" s="2172" t="str">
        <f>INDEX(PT_DIFFERENTIATION_CS,MATCH(C43,PT_DIFFERENTIATION_CS_ID,0))</f>
        <v/>
      </c>
      <c r="AD43" s="2173"/>
      <c r="AE43" s="2173"/>
      <c r="AF43" s="2173"/>
      <c r="AG43" s="2173"/>
      <c r="AH43" s="2173"/>
      <c r="AI43" s="2173"/>
      <c r="AJ43" s="2174"/>
      <c r="AK43" s="1183" t="s">
        <v>481</v>
      </c>
      <c r="AM43" s="435"/>
      <c r="AN43" s="435" t="str">
        <f t="shared" si="1"/>
        <v>Наименование централизованной системы холодного водоснабжения</v>
      </c>
      <c r="AO43" s="435"/>
      <c r="AP43" s="435"/>
      <c r="AQ43" s="1080">
        <v>23</v>
      </c>
    </row>
    <row r="44" spans="1:43" ht="24" customHeight="1">
      <c r="A44" s="1288" t="s">
        <v>230</v>
      </c>
      <c r="B44" s="1288" t="s">
        <v>231</v>
      </c>
      <c r="C44" s="1288" t="s">
        <v>232</v>
      </c>
      <c r="D44" s="1288" t="s">
        <v>495</v>
      </c>
      <c r="E44" s="2187"/>
      <c r="F44" s="2187"/>
      <c r="G44" s="2187"/>
      <c r="H44" s="2187"/>
      <c r="I44" s="2184" t="str">
        <f>S43&amp;".1"</f>
        <v>...1</v>
      </c>
      <c r="J44" s="1288"/>
      <c r="K44" s="1288"/>
      <c r="L44" s="1289"/>
      <c r="P44" s="2185">
        <v>1</v>
      </c>
      <c r="Q44" s="1375"/>
      <c r="R44" s="291"/>
      <c r="S44" s="1382" t="str">
        <f>$I44</f>
        <v>...1</v>
      </c>
      <c r="T44" s="221" t="s">
        <v>482</v>
      </c>
      <c r="U44" s="236"/>
      <c r="V44" s="2253"/>
      <c r="W44" s="2254"/>
      <c r="X44" s="2254"/>
      <c r="Y44" s="2254"/>
      <c r="Z44" s="2254"/>
      <c r="AA44" s="2254"/>
      <c r="AB44" s="2255"/>
      <c r="AC44" s="2256"/>
      <c r="AD44" s="2257"/>
      <c r="AE44" s="2257"/>
      <c r="AF44" s="2257"/>
      <c r="AG44" s="2257"/>
      <c r="AH44" s="2257"/>
      <c r="AI44" s="2257"/>
      <c r="AJ44" s="2258"/>
      <c r="AK44" s="1183" t="s">
        <v>483</v>
      </c>
      <c r="AM44" s="435"/>
      <c r="AN44" s="435" t="str">
        <f t="shared" si="1"/>
        <v>Наименование признака дифференциации</v>
      </c>
      <c r="AO44" s="435"/>
      <c r="AP44" s="435"/>
      <c r="AQ44" s="1080">
        <v>23</v>
      </c>
    </row>
    <row r="45" spans="1:43" ht="24" customHeight="1">
      <c r="A45" s="1288" t="s">
        <v>230</v>
      </c>
      <c r="B45" s="1288" t="s">
        <v>231</v>
      </c>
      <c r="C45" s="1288" t="s">
        <v>232</v>
      </c>
      <c r="D45" s="1288" t="s">
        <v>495</v>
      </c>
      <c r="E45" s="2187"/>
      <c r="F45" s="2187"/>
      <c r="G45" s="2187"/>
      <c r="H45" s="2187"/>
      <c r="I45" s="2207"/>
      <c r="J45" s="2184" t="str">
        <f>I44&amp;".1"</f>
        <v>...1.1</v>
      </c>
      <c r="K45" s="1288"/>
      <c r="L45" s="1289" t="s">
        <v>405</v>
      </c>
      <c r="P45" s="2185"/>
      <c r="Q45" s="2185">
        <v>1</v>
      </c>
      <c r="R45" s="292"/>
      <c r="S45" s="1382" t="str">
        <f>$J45</f>
        <v>...1.1</v>
      </c>
      <c r="T45" s="222" t="s">
        <v>406</v>
      </c>
      <c r="U45" s="236"/>
      <c r="V45" s="2175"/>
      <c r="W45" s="2176"/>
      <c r="X45" s="2176"/>
      <c r="Y45" s="2176"/>
      <c r="Z45" s="2176"/>
      <c r="AA45" s="2176"/>
      <c r="AB45" s="2177"/>
      <c r="AC45" s="2175"/>
      <c r="AD45" s="2176"/>
      <c r="AE45" s="2176"/>
      <c r="AF45" s="2176"/>
      <c r="AG45" s="2176"/>
      <c r="AH45" s="2176"/>
      <c r="AI45" s="2176"/>
      <c r="AJ45" s="2177"/>
      <c r="AK45" s="1232" t="s">
        <v>484</v>
      </c>
      <c r="AM45" s="435"/>
      <c r="AN45" s="435" t="str">
        <f t="shared" si="1"/>
        <v>Группа потребителей</v>
      </c>
      <c r="AO45" s="435"/>
      <c r="AP45" s="435"/>
      <c r="AQ45" s="1080">
        <v>23</v>
      </c>
    </row>
    <row r="46" spans="1:43" ht="24" customHeight="1">
      <c r="A46" s="1288" t="s">
        <v>230</v>
      </c>
      <c r="B46" s="1288" t="s">
        <v>231</v>
      </c>
      <c r="C46" s="1288" t="s">
        <v>232</v>
      </c>
      <c r="D46" s="1288" t="s">
        <v>495</v>
      </c>
      <c r="E46" s="2187"/>
      <c r="F46" s="2187"/>
      <c r="G46" s="2187"/>
      <c r="H46" s="2187"/>
      <c r="I46" s="2207"/>
      <c r="J46" s="2207"/>
      <c r="K46" s="2184" t="str">
        <f>J45&amp;".1"</f>
        <v>...1.1.1</v>
      </c>
      <c r="L46" s="1289"/>
      <c r="P46" s="2185"/>
      <c r="Q46" s="2185"/>
      <c r="R46" s="292">
        <v>1</v>
      </c>
      <c r="S46" s="1382" t="str">
        <f>$K46</f>
        <v>...1.1.1</v>
      </c>
      <c r="T46" s="1362"/>
      <c r="U46" s="236"/>
      <c r="V46" s="686"/>
      <c r="W46" s="686"/>
      <c r="X46" s="1182"/>
      <c r="Y46" s="2189"/>
      <c r="Z46" s="2047" t="s">
        <v>66</v>
      </c>
      <c r="AA46" s="2189"/>
      <c r="AB46" s="2047" t="s">
        <v>66</v>
      </c>
      <c r="AC46" s="686"/>
      <c r="AD46" s="686"/>
      <c r="AE46" s="1182"/>
      <c r="AF46" s="2189"/>
      <c r="AG46" s="2047" t="s">
        <v>66</v>
      </c>
      <c r="AH46" s="2208"/>
      <c r="AI46" s="2047" t="s">
        <v>66</v>
      </c>
      <c r="AJ46" s="1363"/>
      <c r="AK46" s="2252"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46" s="446" t="e">
        <f ca="1">STRCHECKDATE(V47:AJ47)</f>
        <v>#NAME?</v>
      </c>
      <c r="AM46" s="435"/>
      <c r="AN46" s="435" t="str">
        <f t="shared" si="1"/>
        <v/>
      </c>
      <c r="AO46" s="435"/>
      <c r="AP46" s="435"/>
      <c r="AQ46" s="1080">
        <v>23</v>
      </c>
    </row>
    <row r="47" spans="1:43" ht="0" hidden="1" customHeight="1">
      <c r="A47" s="1288" t="s">
        <v>230</v>
      </c>
      <c r="B47" s="1288" t="s">
        <v>231</v>
      </c>
      <c r="C47" s="1288" t="s">
        <v>232</v>
      </c>
      <c r="D47" s="1288" t="s">
        <v>495</v>
      </c>
      <c r="E47" s="2187"/>
      <c r="F47" s="2187"/>
      <c r="G47" s="2187"/>
      <c r="H47" s="2187"/>
      <c r="I47" s="2207"/>
      <c r="J47" s="2207"/>
      <c r="K47" s="2184"/>
      <c r="L47" s="1289"/>
      <c r="P47" s="2185"/>
      <c r="Q47" s="2185"/>
      <c r="R47" s="292"/>
      <c r="S47" s="1381"/>
      <c r="T47" s="236"/>
      <c r="U47" s="236"/>
      <c r="V47" s="261"/>
      <c r="W47" s="261"/>
      <c r="X47" s="264" t="str">
        <f>Y46&amp;"-"&amp;AA46</f>
        <v>-</v>
      </c>
      <c r="Y47" s="2190"/>
      <c r="Z47" s="2047"/>
      <c r="AA47" s="2190"/>
      <c r="AB47" s="2047"/>
      <c r="AC47" s="261"/>
      <c r="AD47" s="261"/>
      <c r="AE47" s="264" t="str">
        <f>AF46&amp;"-"&amp;AH46</f>
        <v>-</v>
      </c>
      <c r="AF47" s="2190"/>
      <c r="AG47" s="2047"/>
      <c r="AH47" s="2209"/>
      <c r="AI47" s="2047"/>
      <c r="AJ47" s="1364"/>
      <c r="AK47" s="2252"/>
      <c r="AM47" s="435"/>
      <c r="AN47" s="435" t="str">
        <f t="shared" si="1"/>
        <v/>
      </c>
      <c r="AO47" s="435"/>
      <c r="AP47" s="435"/>
      <c r="AQ47" s="1080">
        <v>0</v>
      </c>
    </row>
    <row r="48" spans="1:43" ht="21" customHeight="1">
      <c r="A48" s="1288" t="s">
        <v>230</v>
      </c>
      <c r="B48" s="1288" t="s">
        <v>231</v>
      </c>
      <c r="C48" s="1288" t="s">
        <v>232</v>
      </c>
      <c r="D48" s="1288" t="s">
        <v>495</v>
      </c>
      <c r="E48" s="2187"/>
      <c r="F48" s="2187"/>
      <c r="G48" s="2187"/>
      <c r="H48" s="2187"/>
      <c r="I48" s="2207"/>
      <c r="J48" s="2184"/>
      <c r="K48" s="1288"/>
      <c r="L48" s="1289"/>
      <c r="P48" s="2185"/>
      <c r="Q48" s="2185"/>
      <c r="R48" s="291"/>
      <c r="S48" s="1203"/>
      <c r="T48" s="223" t="s">
        <v>485</v>
      </c>
      <c r="U48" s="302"/>
      <c r="V48" s="302"/>
      <c r="W48" s="302"/>
      <c r="X48" s="302"/>
      <c r="Y48" s="302"/>
      <c r="Z48" s="302"/>
      <c r="AA48" s="302"/>
      <c r="AB48" s="302"/>
      <c r="AC48" s="302"/>
      <c r="AD48" s="302"/>
      <c r="AE48" s="302"/>
      <c r="AF48" s="302"/>
      <c r="AG48" s="302"/>
      <c r="AH48" s="302"/>
      <c r="AI48" s="302"/>
      <c r="AJ48" s="302"/>
      <c r="AK48" s="1183" t="s">
        <v>486</v>
      </c>
      <c r="AM48" s="435"/>
      <c r="AN48" s="435" t="str">
        <f t="shared" si="1"/>
        <v>Добавить значение признака дифференциации</v>
      </c>
      <c r="AO48" s="435"/>
      <c r="AP48" s="435"/>
      <c r="AQ48" s="1080">
        <v>20</v>
      </c>
    </row>
    <row r="49" spans="1:43" ht="21.95" customHeight="1">
      <c r="A49" s="1288" t="s">
        <v>230</v>
      </c>
      <c r="B49" s="1288" t="s">
        <v>231</v>
      </c>
      <c r="C49" s="1288" t="s">
        <v>232</v>
      </c>
      <c r="D49" s="1288" t="s">
        <v>495</v>
      </c>
      <c r="E49" s="2187"/>
      <c r="F49" s="2187"/>
      <c r="G49" s="2187"/>
      <c r="H49" s="2187"/>
      <c r="I49" s="2184"/>
      <c r="J49" s="1288"/>
      <c r="K49" s="1288"/>
      <c r="L49" s="1289"/>
      <c r="P49" s="2185"/>
      <c r="Q49" s="1375"/>
      <c r="R49" s="291"/>
      <c r="S49" s="1203"/>
      <c r="T49" s="300" t="s">
        <v>411</v>
      </c>
      <c r="U49" s="302"/>
      <c r="V49" s="302"/>
      <c r="W49" s="302"/>
      <c r="X49" s="302"/>
      <c r="Y49" s="302"/>
      <c r="Z49" s="302"/>
      <c r="AA49" s="302"/>
      <c r="AB49" s="301"/>
      <c r="AC49" s="302"/>
      <c r="AD49" s="302"/>
      <c r="AE49" s="302"/>
      <c r="AF49" s="302"/>
      <c r="AG49" s="302"/>
      <c r="AH49" s="302"/>
      <c r="AI49" s="301"/>
      <c r="AJ49" s="302"/>
      <c r="AK49" s="1365"/>
      <c r="AM49" s="435"/>
      <c r="AN49" s="435" t="str">
        <f t="shared" si="1"/>
        <v>Добавить группу потребителей</v>
      </c>
      <c r="AO49" s="435"/>
      <c r="AP49" s="435"/>
      <c r="AQ49" s="1080">
        <v>21</v>
      </c>
    </row>
    <row r="50" spans="1:43" ht="21.95" customHeight="1">
      <c r="A50" s="1288" t="s">
        <v>230</v>
      </c>
      <c r="B50" s="1288" t="s">
        <v>231</v>
      </c>
      <c r="C50" s="1288" t="s">
        <v>232</v>
      </c>
      <c r="D50" s="1288" t="s">
        <v>495</v>
      </c>
      <c r="E50" s="2187"/>
      <c r="F50" s="2187"/>
      <c r="G50" s="2187"/>
      <c r="H50" s="2186"/>
      <c r="I50" s="1288"/>
      <c r="J50" s="1288"/>
      <c r="K50" s="1288"/>
      <c r="L50" s="1289"/>
      <c r="M50" s="1290"/>
      <c r="N50" s="1290"/>
      <c r="O50" s="472"/>
      <c r="P50" s="295"/>
      <c r="Q50" s="310"/>
      <c r="R50" s="290"/>
      <c r="S50" s="1203"/>
      <c r="T50" s="307" t="s">
        <v>487</v>
      </c>
      <c r="U50" s="302"/>
      <c r="V50" s="302"/>
      <c r="W50" s="302"/>
      <c r="X50" s="302"/>
      <c r="Y50" s="302"/>
      <c r="Z50" s="302"/>
      <c r="AA50" s="302"/>
      <c r="AB50" s="301"/>
      <c r="AC50" s="302"/>
      <c r="AD50" s="302"/>
      <c r="AE50" s="302"/>
      <c r="AF50" s="302"/>
      <c r="AG50" s="302"/>
      <c r="AH50" s="302"/>
      <c r="AI50" s="301"/>
      <c r="AJ50" s="302"/>
      <c r="AK50" s="239"/>
      <c r="AM50" s="435"/>
      <c r="AN50" s="435" t="str">
        <f t="shared" si="1"/>
        <v>Добавить наименование признака дифференциации</v>
      </c>
      <c r="AO50" s="435"/>
      <c r="AP50" s="435"/>
      <c r="AQ50" s="1080">
        <v>21</v>
      </c>
    </row>
    <row r="51" spans="1:43" s="1567" customFormat="1" ht="0" hidden="1" customHeight="1">
      <c r="A51" s="1268" t="s">
        <v>230</v>
      </c>
      <c r="B51" s="1268" t="s">
        <v>231</v>
      </c>
      <c r="C51" s="1239"/>
      <c r="D51" s="1239"/>
      <c r="E51" s="2187"/>
      <c r="F51" s="2186"/>
      <c r="G51" s="1239"/>
      <c r="H51" s="1239"/>
      <c r="I51" s="1239"/>
      <c r="J51" s="1239"/>
      <c r="K51" s="1239"/>
      <c r="L51" s="1383"/>
      <c r="M51" s="1246"/>
      <c r="N51" s="1246"/>
      <c r="P51" s="1241"/>
      <c r="Q51" s="1242"/>
      <c r="R51" s="1241"/>
      <c r="S51" s="1247"/>
      <c r="T51" s="1250" t="s">
        <v>414</v>
      </c>
      <c r="U51" s="1249"/>
      <c r="V51" s="1249"/>
      <c r="W51" s="1249"/>
      <c r="X51" s="1249"/>
      <c r="Y51" s="1249"/>
      <c r="Z51" s="1249"/>
      <c r="AA51" s="1249"/>
      <c r="AB51" s="1249"/>
      <c r="AC51" s="1249"/>
      <c r="AD51" s="1249"/>
      <c r="AE51" s="1249"/>
      <c r="AF51" s="1249"/>
      <c r="AG51" s="1249"/>
      <c r="AH51" s="1249"/>
      <c r="AI51" s="1249"/>
      <c r="AJ51" s="1249"/>
      <c r="AK51" s="1249"/>
      <c r="AM51" s="718"/>
      <c r="AN51" s="718" t="str">
        <f t="shared" si="1"/>
        <v>Добавить централизованную систему для дифференциации</v>
      </c>
      <c r="AO51" s="718"/>
      <c r="AP51" s="718"/>
      <c r="AQ51" s="453">
        <v>0</v>
      </c>
    </row>
    <row r="52" spans="1:43" s="1567" customFormat="1" ht="0" hidden="1" customHeight="1">
      <c r="A52" s="1268" t="s">
        <v>230</v>
      </c>
      <c r="B52" s="1268"/>
      <c r="C52" s="1268"/>
      <c r="D52" s="1268"/>
      <c r="E52" s="2186"/>
      <c r="F52" s="1268"/>
      <c r="G52" s="1268"/>
      <c r="H52" s="1268"/>
      <c r="I52" s="1268"/>
      <c r="J52" s="1268"/>
      <c r="K52" s="1268"/>
      <c r="L52" s="1271"/>
      <c r="M52" s="1246"/>
      <c r="N52" s="1246"/>
      <c r="O52" s="453"/>
      <c r="P52" s="315"/>
      <c r="Q52" s="1269"/>
      <c r="R52" s="315"/>
      <c r="S52" s="1247"/>
      <c r="T52" s="1250" t="s">
        <v>415</v>
      </c>
      <c r="U52" s="1249"/>
      <c r="V52" s="1249"/>
      <c r="W52" s="1249"/>
      <c r="X52" s="1249"/>
      <c r="Y52" s="1249"/>
      <c r="Z52" s="1249"/>
      <c r="AA52" s="1249"/>
      <c r="AB52" s="1249"/>
      <c r="AC52" s="1249"/>
      <c r="AD52" s="1249"/>
      <c r="AE52" s="1249"/>
      <c r="AF52" s="1249"/>
      <c r="AG52" s="1249"/>
      <c r="AH52" s="1249"/>
      <c r="AI52" s="1249"/>
      <c r="AJ52" s="1249"/>
      <c r="AK52" s="1249"/>
      <c r="AM52" s="435"/>
      <c r="AN52" s="435" t="str">
        <f t="shared" si="1"/>
        <v>Добавить территорию для дифференциации</v>
      </c>
      <c r="AO52" s="435"/>
      <c r="AP52" s="435"/>
      <c r="AQ52" s="446">
        <v>0</v>
      </c>
    </row>
    <row r="53" spans="1:43" s="1567" customFormat="1" ht="0" hidden="1" customHeight="1">
      <c r="A53" s="1239"/>
      <c r="B53" s="1239"/>
      <c r="C53" s="1239"/>
      <c r="D53" s="1239"/>
      <c r="E53" s="1268"/>
      <c r="F53" s="1239"/>
      <c r="G53" s="1239"/>
      <c r="H53" s="1239"/>
      <c r="I53" s="1239"/>
      <c r="J53" s="1239"/>
      <c r="K53" s="1239"/>
      <c r="L53" s="1383"/>
      <c r="M53" s="1246"/>
      <c r="N53" s="1246"/>
      <c r="P53" s="1241"/>
      <c r="Q53" s="1242"/>
      <c r="R53" s="1241"/>
      <c r="S53" s="1247"/>
      <c r="T53" s="1250" t="s">
        <v>447</v>
      </c>
      <c r="U53" s="1249"/>
      <c r="V53" s="1249"/>
      <c r="W53" s="1249"/>
      <c r="X53" s="1249"/>
      <c r="Y53" s="1249"/>
      <c r="Z53" s="1249"/>
      <c r="AA53" s="1249"/>
      <c r="AB53" s="1249"/>
      <c r="AC53" s="1249"/>
      <c r="AD53" s="1249"/>
      <c r="AE53" s="1249"/>
      <c r="AF53" s="1249"/>
      <c r="AG53" s="1249"/>
      <c r="AH53" s="1249"/>
      <c r="AI53" s="1249"/>
      <c r="AJ53" s="1249"/>
      <c r="AK53" s="1249"/>
      <c r="AM53" s="718"/>
      <c r="AN53" s="718" t="str">
        <f t="shared" si="1"/>
        <v>Добавить наименование тарифа</v>
      </c>
      <c r="AO53" s="718"/>
      <c r="AP53" s="718"/>
      <c r="AQ53" s="453">
        <v>0</v>
      </c>
    </row>
    <row r="54" spans="1:43" ht="11.45" customHeight="1">
      <c r="M54" s="1085"/>
      <c r="N54" s="1085"/>
      <c r="O54" s="472"/>
      <c r="P54" s="1080"/>
      <c r="Q54" s="1080"/>
      <c r="R54" s="1080"/>
      <c r="S54" s="1080"/>
      <c r="AL54" s="1080"/>
      <c r="AM54" s="1080"/>
      <c r="AN54" s="1080"/>
      <c r="AO54" s="1080"/>
      <c r="AP54" s="1080"/>
      <c r="AQ54" s="1080">
        <v>11</v>
      </c>
    </row>
    <row r="55" spans="1:43" ht="14.65" customHeight="1">
      <c r="O55" s="472"/>
      <c r="S55" s="1178"/>
      <c r="T55" s="2206"/>
      <c r="U55" s="2206"/>
      <c r="V55" s="2206"/>
      <c r="W55" s="2206"/>
      <c r="X55" s="2206"/>
      <c r="Y55" s="2206"/>
      <c r="Z55" s="2206"/>
      <c r="AA55" s="2206"/>
      <c r="AB55" s="2206"/>
      <c r="AC55" s="2206"/>
      <c r="AD55" s="2206"/>
      <c r="AE55" s="2206"/>
      <c r="AF55" s="2206"/>
      <c r="AG55" s="2206"/>
      <c r="AH55" s="2206"/>
      <c r="AI55" s="2206"/>
      <c r="AJ55" s="2206"/>
      <c r="AK55" s="2206"/>
      <c r="AQ55" s="1080">
        <v>14</v>
      </c>
    </row>
    <row r="56" spans="1:43" ht="14.65" customHeight="1">
      <c r="O56" s="472"/>
      <c r="AQ56" s="1080">
        <v>14</v>
      </c>
    </row>
    <row r="57" spans="1:43" ht="14.65" customHeight="1">
      <c r="O57" s="472"/>
      <c r="S57" s="1178"/>
      <c r="T57" s="2206"/>
      <c r="U57" s="2206"/>
      <c r="V57" s="2206"/>
      <c r="W57" s="2206"/>
      <c r="X57" s="2206"/>
      <c r="Y57" s="2206"/>
      <c r="Z57" s="2206"/>
      <c r="AA57" s="2206"/>
      <c r="AB57" s="2206"/>
      <c r="AC57" s="2206"/>
      <c r="AD57" s="2206"/>
      <c r="AE57" s="2206"/>
      <c r="AF57" s="2206"/>
      <c r="AG57" s="2206"/>
      <c r="AH57" s="2206"/>
      <c r="AI57" s="2206"/>
      <c r="AJ57" s="2206"/>
      <c r="AK57" s="2206"/>
      <c r="AQ57" s="1080">
        <v>14</v>
      </c>
    </row>
    <row r="58" spans="1:43" ht="22.5" hidden="1" customHeight="1">
      <c r="A58" s="1085" t="s">
        <v>82</v>
      </c>
      <c r="B58" s="1085">
        <v>0</v>
      </c>
      <c r="C58" s="1085">
        <v>0</v>
      </c>
      <c r="D58" s="1085">
        <v>0</v>
      </c>
      <c r="E58" s="1085">
        <v>0</v>
      </c>
      <c r="F58" s="1085">
        <v>0</v>
      </c>
      <c r="G58" s="1085">
        <v>0</v>
      </c>
      <c r="H58" s="1085">
        <v>0</v>
      </c>
      <c r="I58" s="1085">
        <v>0</v>
      </c>
      <c r="J58" s="1085">
        <v>0</v>
      </c>
      <c r="K58" s="1085">
        <v>0</v>
      </c>
      <c r="L58" s="1372">
        <v>0</v>
      </c>
      <c r="M58" s="1287">
        <v>0</v>
      </c>
      <c r="N58" s="1287">
        <v>0</v>
      </c>
      <c r="O58" s="1287">
        <v>0</v>
      </c>
      <c r="P58" s="1371">
        <v>3</v>
      </c>
      <c r="Q58" s="280">
        <v>3</v>
      </c>
      <c r="R58" s="280">
        <v>3</v>
      </c>
      <c r="S58" s="516">
        <v>12</v>
      </c>
      <c r="T58" s="1080">
        <v>35</v>
      </c>
      <c r="U58" s="1080">
        <v>0</v>
      </c>
      <c r="V58" s="1080">
        <v>0</v>
      </c>
      <c r="W58" s="1080">
        <v>0</v>
      </c>
      <c r="X58" s="1080">
        <v>0</v>
      </c>
      <c r="Y58" s="1080">
        <v>0</v>
      </c>
      <c r="Z58" s="1080">
        <v>0</v>
      </c>
      <c r="AA58" s="1080">
        <v>0</v>
      </c>
      <c r="AB58" s="1080">
        <v>0</v>
      </c>
      <c r="AC58" s="1080">
        <v>24</v>
      </c>
      <c r="AD58" s="1080">
        <v>24</v>
      </c>
      <c r="AE58" s="1080">
        <v>24</v>
      </c>
      <c r="AF58" s="1080">
        <v>11</v>
      </c>
      <c r="AG58" s="1080">
        <v>3</v>
      </c>
      <c r="AH58" s="1080">
        <v>11</v>
      </c>
      <c r="AI58" s="1080">
        <v>0</v>
      </c>
      <c r="AJ58" s="1080">
        <v>4</v>
      </c>
      <c r="AK58" s="1080">
        <v>115</v>
      </c>
      <c r="AL58" s="446">
        <v>10</v>
      </c>
      <c r="AM58" s="446">
        <v>10</v>
      </c>
      <c r="AN58" s="446">
        <v>10</v>
      </c>
      <c r="AO58" s="446">
        <v>10</v>
      </c>
      <c r="AP58" s="446">
        <v>10</v>
      </c>
      <c r="AQ58" s="1080">
        <v>23</v>
      </c>
    </row>
  </sheetData>
  <sheetProtection formatColumns="0" formatRows="0" insertRows="0" deleteColumns="0" deleteRows="0" sort="0" autoFilter="0"/>
  <mergeCells count="101">
    <mergeCell ref="E41:E52"/>
    <mergeCell ref="V41:AB41"/>
    <mergeCell ref="AC41:AJ41"/>
    <mergeCell ref="F42:F51"/>
    <mergeCell ref="V42:AB42"/>
    <mergeCell ref="AC42:AJ42"/>
    <mergeCell ref="G43:G50"/>
    <mergeCell ref="V43:AB43"/>
    <mergeCell ref="AC43:AJ43"/>
    <mergeCell ref="H44:H50"/>
    <mergeCell ref="I44:I49"/>
    <mergeCell ref="P44:P49"/>
    <mergeCell ref="V44:AB44"/>
    <mergeCell ref="AC44:AJ44"/>
    <mergeCell ref="J45:J48"/>
    <mergeCell ref="Q45:Q48"/>
    <mergeCell ref="V45:AB45"/>
    <mergeCell ref="K46:K47"/>
    <mergeCell ref="Y46:Y47"/>
    <mergeCell ref="E2:E13"/>
    <mergeCell ref="V2:AB2"/>
    <mergeCell ref="AC2:AJ2"/>
    <mergeCell ref="AI37:AI39"/>
    <mergeCell ref="V29:AA29"/>
    <mergeCell ref="AC29:AH29"/>
    <mergeCell ref="V30:AA30"/>
    <mergeCell ref="AC30:AH30"/>
    <mergeCell ref="Z39:AA39"/>
    <mergeCell ref="AG39:AH39"/>
    <mergeCell ref="AI7:AI8"/>
    <mergeCell ref="S30:T30"/>
    <mergeCell ref="S24:AH24"/>
    <mergeCell ref="S25:AH25"/>
    <mergeCell ref="S27:T27"/>
    <mergeCell ref="V27:AA27"/>
    <mergeCell ref="AC27:AH27"/>
    <mergeCell ref="S28:T28"/>
    <mergeCell ref="V28:AA28"/>
    <mergeCell ref="Y38:AA38"/>
    <mergeCell ref="AD38:AE38"/>
    <mergeCell ref="AF38:AH38"/>
    <mergeCell ref="AG7:AG8"/>
    <mergeCell ref="AH7:AH8"/>
    <mergeCell ref="AK7:AK8"/>
    <mergeCell ref="AF15:AF16"/>
    <mergeCell ref="AG15:AG16"/>
    <mergeCell ref="AH15:AH16"/>
    <mergeCell ref="AI15:AI16"/>
    <mergeCell ref="Z46:Z47"/>
    <mergeCell ref="AC45:AJ45"/>
    <mergeCell ref="AA46:AA47"/>
    <mergeCell ref="AB46:AB47"/>
    <mergeCell ref="AF46:AF47"/>
    <mergeCell ref="AK46:AK47"/>
    <mergeCell ref="S29:T29"/>
    <mergeCell ref="F3:F12"/>
    <mergeCell ref="V3:AB3"/>
    <mergeCell ref="AC3:AJ3"/>
    <mergeCell ref="G4:G11"/>
    <mergeCell ref="V4:AB4"/>
    <mergeCell ref="AC4:AJ4"/>
    <mergeCell ref="H5:H11"/>
    <mergeCell ref="I5:I10"/>
    <mergeCell ref="P5:P10"/>
    <mergeCell ref="V5:AB5"/>
    <mergeCell ref="AC5:AJ5"/>
    <mergeCell ref="J6:J9"/>
    <mergeCell ref="Q6:Q9"/>
    <mergeCell ref="K7:K8"/>
    <mergeCell ref="Y7:Y8"/>
    <mergeCell ref="V6:AB6"/>
    <mergeCell ref="AC6:AJ6"/>
    <mergeCell ref="AC28:AH28"/>
    <mergeCell ref="Z7:Z8"/>
    <mergeCell ref="AA7:AA8"/>
    <mergeCell ref="AB7:AB8"/>
    <mergeCell ref="AF7:AF8"/>
    <mergeCell ref="T55:AK55"/>
    <mergeCell ref="T57:AK57"/>
    <mergeCell ref="V35:AB35"/>
    <mergeCell ref="S32:T32"/>
    <mergeCell ref="V32:AA32"/>
    <mergeCell ref="AC32:AH32"/>
    <mergeCell ref="S33:T33"/>
    <mergeCell ref="V33:AA33"/>
    <mergeCell ref="AC33:AH33"/>
    <mergeCell ref="AC35:AI35"/>
    <mergeCell ref="Z40:AA40"/>
    <mergeCell ref="AG40:AH40"/>
    <mergeCell ref="S36:AJ36"/>
    <mergeCell ref="AK36:AK39"/>
    <mergeCell ref="S37:S39"/>
    <mergeCell ref="T37:T39"/>
    <mergeCell ref="V37:AA37"/>
    <mergeCell ref="AB37:AB39"/>
    <mergeCell ref="AG46:AG47"/>
    <mergeCell ref="AH46:AH47"/>
    <mergeCell ref="AI46:AI47"/>
    <mergeCell ref="AJ37:AJ39"/>
    <mergeCell ref="AC37:AH37"/>
    <mergeCell ref="W38:X38"/>
  </mergeCells>
  <dataValidations count="8">
    <dataValidation allowBlank="1" sqref="S131116:AK131122 S196652:AK196658 S262188:AK262194 S327724:AK327730 S393260:AK393266 S458796:AK458802 S524332:AK524338 S589868:AK589874 S655404:AK655410 S720940:AK720946 S786476:AK786482 S852012:AK852018 S917548:AK917554 S983084:AK983090 S65580:AK65586"/>
    <dataValidation type="list" allowBlank="1" showInputMessage="1" errorTitle="Ошибка" error="Выберите значение из списка" prompt="Выберите значение из списка" sqref="V983081:AJ983081 V65577:AJ65577 V131113:AJ131113 V196649:AJ196649 V262185:AJ262185 V327721:AJ327721 V393257:AJ393257 V458793:AJ458793 V524329:AJ524329 V589865:AJ589865 V655401:AJ655401 V720937:AJ720937 V786473:AJ786473 V852009:AJ852009 V917545:AJ917545">
      <formula1>kind_of_cons</formula1>
    </dataValidation>
    <dataValidation allowBlank="1" promptTitle="checkPeriodRange" sqref="X65579 X131115 X196651 X262187 X327723 X393259 X458795 X524331 X589867 X655403 X720939 X786475 X852011 X917547 X983083 AE16 AE65579 AE131115 AE196651 AE262187 AE327723 AE393259 AE458795 AE524331 AE589867 AE655403 AE720939 AE786475 AE852011 AE917547 AE983083 X47 AE8 X8 AE47"/>
    <dataValidation type="list" allowBlank="1" showInputMessage="1" showErrorMessage="1" errorTitle="Ошибка" error="Выберите значение из списка" sqref="V983080 V65576 V131112 V196648 V262184 V327720 V393256 V458792 V524328 V589864 V655400 V720936 V786472 V852008 V917544 AC983080 AC65576 AC131112 AC196648 AC262184 AC327720 AC393256 AC458792 AC524328 AC589864 AC655400 AC720936 AC786472 AC852008 AC917544">
      <formula1>kind_of_scheme_in</formula1>
    </dataValidation>
    <dataValidation type="textLength" operator="lessThanOrEqual" allowBlank="1" showInputMessage="1" showErrorMessage="1" errorTitle="Ошибка" error="Допускается ввод не более 900 символов!" sqref="AK65572:AK65579 AK131108:AK131115 AK196644:AK196651 AK262180:AK262187 AK327716:AK327723 AK393252:AK393259 AK458788:AK458795 AK524324:AK524331 AK589860:AK589867 AK655396:AK655403 AK720932:AK720939 AK786468:AK786475 AK852004:AK852011 AK917540:AK917547 AK983076:AK983083 T46 T7 AC44:AJ44 AC5:AJ5">
      <formula1>900</formula1>
    </dataValidation>
    <dataValidation type="list" allowBlank="1" showInputMessage="1" showErrorMessage="1" errorTitle="Ошибка" error="Выберите значение из списка" sqref="T65578 T131114 T196650 T262186 T327722 T393258 T458794 T524330 T589866 T655402 T720938 T786474 T852010 T917546 T983082">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Y65578 Y131114 Y196650 Y262186 Y327722 Y393258 Y458794 Y524330 Y589866 Y655402 Y720938 Y786474 Y852010 Y917546 Y983082 AA65578 AA131114 AA196650 AA262186 AA327722 AA393258 AA458794 AA524330 AA589866 AA655402 AA720938 AA786474 AA852010 AA917546 AA983082 AF15 AF65578 AF131114 AF196650 AF262186 AF327722 AF393258 AF458794 AF524330 AF589866 AF655402 AF720938 AF786474 AF852010 AF917546 AF983082 AH65578 AH131114 AH196650 AH262186 AH327722 AH393258 AH458794 AH524330 AH589866 AH655402 AH720938 AH786474 AH852010 AH917546 AH983082 AH46 AF46 AH15 Y46 AA46 AH7 AF7 Y7 AA7"/>
    <dataValidation allowBlank="1" showInputMessage="1" showErrorMessage="1" prompt="Для выбора выполните двойной щелчок левой клавиши мыши по соответствующей ячейке." sqref="Z65578 Z131114 Z196650 Z262186 Z327722 Z393258 Z458794 Z524330 Z589866 Z655402 Z720938 Z786474 Z852010 Z917546 Z983082 AB131114 AB458794 AB196650 AB262186 AB327722 AB393258 AB524330 AB589866 AB655402 AB720938 AB786474 AB852010 AB917546 AB983082 AB65578 AG65578 AG131114 AG196650 AG262186 AG327722 AG393258 AG458794 AG524330 AG589866 AG655402 AG720938 AG786474 AG852010 AG917546 AG983082 AI46 AI524330 AI196650 AI589866 AI655402 AI15 AI720938 AI786474 AI852010 AI917546 AI983082 AI65578 AI131114 AI458794 AI262186 AG46 AI7 Z46 AB46 AG15 AG7 Z7 AB7 AI327722 AI393258"/>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6" tint="0.39997558519241921"/>
  </sheetPr>
  <dimension ref="A1:AQ58"/>
  <sheetViews>
    <sheetView showGridLines="0" zoomScale="90" workbookViewId="0">
      <pane xSplit="28" ySplit="40" topLeftCell="AC41" activePane="bottomRight" state="frozen"/>
      <selection pane="topRight" activeCell="AC1" sqref="AC1"/>
      <selection pane="bottomLeft" activeCell="A41" sqref="A41"/>
      <selection pane="bottomRight"/>
    </sheetView>
  </sheetViews>
  <sheetFormatPr defaultColWidth="10.5703125" defaultRowHeight="14.25" customHeight="1"/>
  <cols>
    <col min="1" max="1" width="10.5703125" style="1291" hidden="1"/>
    <col min="2" max="2" width="11" style="1291" hidden="1" customWidth="1"/>
    <col min="3" max="3" width="10.5703125" style="1291" hidden="1"/>
    <col min="4" max="4" width="11.85546875" style="1291" hidden="1" customWidth="1"/>
    <col min="5" max="5" width="10" style="1291" hidden="1" customWidth="1"/>
    <col min="6" max="6" width="8.7109375" style="1291" hidden="1" customWidth="1"/>
    <col min="7" max="7" width="7.5703125" style="1291" hidden="1" customWidth="1"/>
    <col min="8" max="8" width="11.42578125" style="1291" hidden="1" customWidth="1"/>
    <col min="9" max="9" width="14.140625" style="1291" hidden="1" customWidth="1"/>
    <col min="10" max="10" width="9.85546875" style="1291" hidden="1" customWidth="1"/>
    <col min="11" max="11" width="14.7109375" style="1291" hidden="1" customWidth="1"/>
    <col min="12" max="12" width="19.140625" style="2002" hidden="1" customWidth="1"/>
    <col min="13" max="14" width="12.28515625" style="1701" hidden="1" customWidth="1"/>
    <col min="15" max="15" width="23.42578125" style="1701" hidden="1" customWidth="1"/>
    <col min="16" max="16" width="3" style="2000" customWidth="1"/>
    <col min="17" max="18" width="3" style="280" customWidth="1"/>
    <col min="19" max="19" width="12" style="2001" customWidth="1"/>
    <col min="20" max="20" width="35" style="1560" customWidth="1"/>
    <col min="21" max="21" width="0.140625" style="1560" customWidth="1"/>
    <col min="22" max="24" width="24.7109375" style="1560" hidden="1" customWidth="1"/>
    <col min="25" max="25" width="11.7109375" style="1560" hidden="1" customWidth="1"/>
    <col min="26" max="26" width="3.7109375" style="1560" hidden="1" customWidth="1"/>
    <col min="27" max="27" width="11.7109375" style="1560" hidden="1" customWidth="1"/>
    <col min="28" max="28" width="8.5703125" style="1560" hidden="1" customWidth="1"/>
    <col min="29" max="29" width="24.7109375" style="1560" customWidth="1"/>
    <col min="30" max="31" width="24" style="1560" customWidth="1"/>
    <col min="32" max="32" width="11" style="1560" customWidth="1"/>
    <col min="33" max="33" width="3.7109375" style="1560" customWidth="1"/>
    <col min="34" max="34" width="11" style="1560" customWidth="1"/>
    <col min="35" max="35" width="8.5703125" style="1560" hidden="1" customWidth="1"/>
    <col min="36" max="36" width="4" style="1560" customWidth="1"/>
    <col min="37" max="37" width="115" style="1560" customWidth="1"/>
    <col min="38" max="42" width="10" style="1567" customWidth="1"/>
    <col min="43" max="43" width="10.5703125" style="1560" hidden="1"/>
  </cols>
  <sheetData>
    <row r="1" spans="1:43" ht="22.5" hidden="1" customHeight="1">
      <c r="X1" s="263"/>
      <c r="Y1" s="263"/>
      <c r="AE1" s="263"/>
      <c r="AF1" s="263"/>
      <c r="AQ1" s="1080" t="s">
        <v>14</v>
      </c>
    </row>
    <row r="2" spans="1:43" ht="23.25" hidden="1" customHeight="1">
      <c r="A2" s="1288"/>
      <c r="B2" s="1288"/>
      <c r="C2" s="1288"/>
      <c r="D2" s="1288"/>
      <c r="E2" s="2186">
        <v>1</v>
      </c>
      <c r="F2" s="1288"/>
      <c r="G2" s="1288"/>
      <c r="H2" s="1288"/>
      <c r="I2" s="1288"/>
      <c r="J2" s="1288"/>
      <c r="K2" s="1288"/>
      <c r="L2" s="1289"/>
      <c r="M2" s="1290"/>
      <c r="N2" s="1290"/>
      <c r="O2" s="1290"/>
      <c r="P2" s="296"/>
      <c r="Q2" s="295"/>
      <c r="R2" s="290"/>
      <c r="S2" s="1382" t="e">
        <f>INDEX(PT_DIFFERENTIATION_NUM_NTAR,MATCH(A2,PT_DIFFERENTIATION_NTAR_ID,0))</f>
        <v>#N/A</v>
      </c>
      <c r="T2" s="234" t="s">
        <v>124</v>
      </c>
      <c r="U2" s="236"/>
      <c r="V2" s="2172"/>
      <c r="W2" s="2173"/>
      <c r="X2" s="2173"/>
      <c r="Y2" s="2173"/>
      <c r="Z2" s="2173"/>
      <c r="AA2" s="2173"/>
      <c r="AB2" s="2174"/>
      <c r="AC2" s="2172" t="e">
        <f>INDEX(PT_DIFFERENTIATION_NTAR,MATCH(A2,PT_DIFFERENTIATION_NTAR_ID,0))</f>
        <v>#N/A</v>
      </c>
      <c r="AD2" s="2173"/>
      <c r="AE2" s="2173"/>
      <c r="AF2" s="2173"/>
      <c r="AG2" s="2173"/>
      <c r="AH2" s="2173"/>
      <c r="AI2" s="2173"/>
      <c r="AJ2" s="2174"/>
      <c r="AK2" s="1183"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2" s="435"/>
      <c r="AN2" s="435" t="str">
        <f t="shared" ref="AN2:AN13" si="0">IF(T2="","",T2)</f>
        <v>Наименование тарифа</v>
      </c>
      <c r="AO2" s="435"/>
      <c r="AP2" s="435"/>
      <c r="AQ2" s="1080">
        <v>0</v>
      </c>
    </row>
    <row r="3" spans="1:43" ht="23.25" hidden="1" customHeight="1">
      <c r="A3" s="1288"/>
      <c r="B3" s="1288"/>
      <c r="C3" s="1288"/>
      <c r="D3" s="1288"/>
      <c r="E3" s="2187"/>
      <c r="F3" s="2186">
        <v>1</v>
      </c>
      <c r="G3" s="1288"/>
      <c r="H3" s="1288"/>
      <c r="I3" s="1288"/>
      <c r="J3" s="1288"/>
      <c r="K3" s="1288"/>
      <c r="L3" s="1289"/>
      <c r="M3" s="1290"/>
      <c r="N3" s="1290"/>
      <c r="O3" s="1290"/>
      <c r="P3" s="1378"/>
      <c r="Q3" s="287"/>
      <c r="R3" s="288"/>
      <c r="S3" s="1382" t="e">
        <f>INDEX(PT_DIFFERENTIATION_NUM_TER,MATCH(B3,PT_DIFFERENTIATION_TER_ID,0))</f>
        <v>#N/A</v>
      </c>
      <c r="T3" s="244" t="s">
        <v>396</v>
      </c>
      <c r="U3" s="236"/>
      <c r="V3" s="2172"/>
      <c r="W3" s="2173"/>
      <c r="X3" s="2173"/>
      <c r="Y3" s="2173"/>
      <c r="Z3" s="2173"/>
      <c r="AA3" s="2173"/>
      <c r="AB3" s="2174"/>
      <c r="AC3" s="2172" t="e">
        <f>INDEX(PT_DIFFERENTIATION_TER,MATCH(B3,PT_DIFFERENTIATION_TER_ID,0))</f>
        <v>#N/A</v>
      </c>
      <c r="AD3" s="2173"/>
      <c r="AE3" s="2173"/>
      <c r="AF3" s="2173"/>
      <c r="AG3" s="2173"/>
      <c r="AH3" s="2173"/>
      <c r="AI3" s="2173"/>
      <c r="AJ3" s="2174"/>
      <c r="AK3" s="1183" t="s">
        <v>397</v>
      </c>
      <c r="AM3" s="435"/>
      <c r="AN3" s="435" t="str">
        <f t="shared" si="0"/>
        <v>Территория действия тарифа</v>
      </c>
      <c r="AO3" s="435"/>
      <c r="AP3" s="435"/>
      <c r="AQ3" s="1080">
        <v>0</v>
      </c>
    </row>
    <row r="4" spans="1:43" ht="23.25" hidden="1" customHeight="1">
      <c r="A4" s="1288"/>
      <c r="B4" s="1288"/>
      <c r="C4" s="1288"/>
      <c r="D4" s="1288"/>
      <c r="E4" s="2187"/>
      <c r="F4" s="2187"/>
      <c r="G4" s="2186">
        <v>1</v>
      </c>
      <c r="H4" s="1288"/>
      <c r="I4" s="1288"/>
      <c r="J4" s="1288"/>
      <c r="K4" s="1288"/>
      <c r="L4" s="1289"/>
      <c r="M4" s="1290"/>
      <c r="N4" s="1290"/>
      <c r="O4" s="1290"/>
      <c r="P4" s="289"/>
      <c r="Q4" s="287"/>
      <c r="R4" s="288"/>
      <c r="S4" s="1382" t="e">
        <f>INDEX(PT_DIFFERENTIATION_NUM_CS,MATCH(C4,PT_DIFFERENTIATION_CS_ID,0))</f>
        <v>#N/A</v>
      </c>
      <c r="T4" s="245" t="s">
        <v>480</v>
      </c>
      <c r="U4" s="236"/>
      <c r="V4" s="2172"/>
      <c r="W4" s="2173"/>
      <c r="X4" s="2173"/>
      <c r="Y4" s="2173"/>
      <c r="Z4" s="2173"/>
      <c r="AA4" s="2173"/>
      <c r="AB4" s="2174"/>
      <c r="AC4" s="2172" t="e">
        <f>INDEX(PT_DIFFERENTIATION_CS,MATCH(C4,PT_DIFFERENTIATION_CS_ID,0))</f>
        <v>#N/A</v>
      </c>
      <c r="AD4" s="2173"/>
      <c r="AE4" s="2173"/>
      <c r="AF4" s="2173"/>
      <c r="AG4" s="2173"/>
      <c r="AH4" s="2173"/>
      <c r="AI4" s="2173"/>
      <c r="AJ4" s="2174"/>
      <c r="AK4" s="1183" t="s">
        <v>481</v>
      </c>
      <c r="AM4" s="435"/>
      <c r="AN4" s="435" t="str">
        <f t="shared" si="0"/>
        <v>Наименование централизованной системы холодного водоснабжения</v>
      </c>
      <c r="AO4" s="435"/>
      <c r="AP4" s="435"/>
      <c r="AQ4" s="1080">
        <v>0</v>
      </c>
    </row>
    <row r="5" spans="1:43" ht="23.25" hidden="1" customHeight="1">
      <c r="A5" s="1288"/>
      <c r="B5" s="1288"/>
      <c r="C5" s="1288"/>
      <c r="D5" s="1288"/>
      <c r="E5" s="2187"/>
      <c r="F5" s="2187"/>
      <c r="G5" s="2187"/>
      <c r="H5" s="2187"/>
      <c r="I5" s="2184" t="e">
        <f>S4&amp;".1"</f>
        <v>#N/A</v>
      </c>
      <c r="J5" s="1288"/>
      <c r="K5" s="1288"/>
      <c r="L5" s="1289"/>
      <c r="P5" s="2185">
        <v>1</v>
      </c>
      <c r="Q5" s="1375"/>
      <c r="R5" s="291"/>
      <c r="S5" s="1382" t="e">
        <f>$I5</f>
        <v>#N/A</v>
      </c>
      <c r="T5" s="221" t="s">
        <v>482</v>
      </c>
      <c r="U5" s="236"/>
      <c r="V5" s="2253"/>
      <c r="W5" s="2254"/>
      <c r="X5" s="2254"/>
      <c r="Y5" s="2254"/>
      <c r="Z5" s="2254"/>
      <c r="AA5" s="2254"/>
      <c r="AB5" s="2255"/>
      <c r="AC5" s="2256"/>
      <c r="AD5" s="2257"/>
      <c r="AE5" s="2257"/>
      <c r="AF5" s="2257"/>
      <c r="AG5" s="2257"/>
      <c r="AH5" s="2257"/>
      <c r="AI5" s="2257"/>
      <c r="AJ5" s="2258"/>
      <c r="AK5" s="1183" t="s">
        <v>483</v>
      </c>
      <c r="AM5" s="435"/>
      <c r="AN5" s="435" t="str">
        <f t="shared" si="0"/>
        <v>Наименование признака дифференциации</v>
      </c>
      <c r="AO5" s="435"/>
      <c r="AP5" s="435"/>
      <c r="AQ5" s="1080">
        <v>0</v>
      </c>
    </row>
    <row r="6" spans="1:43" ht="23.25" hidden="1" customHeight="1">
      <c r="A6" s="1288"/>
      <c r="B6" s="1288"/>
      <c r="C6" s="1288"/>
      <c r="D6" s="1288"/>
      <c r="E6" s="2187"/>
      <c r="F6" s="2187"/>
      <c r="G6" s="2187"/>
      <c r="H6" s="2187"/>
      <c r="I6" s="2207"/>
      <c r="J6" s="2184" t="e">
        <f>I5&amp;".1"</f>
        <v>#N/A</v>
      </c>
      <c r="K6" s="1288"/>
      <c r="L6" s="1289" t="s">
        <v>405</v>
      </c>
      <c r="P6" s="2185"/>
      <c r="Q6" s="2185">
        <v>1</v>
      </c>
      <c r="R6" s="292"/>
      <c r="S6" s="1382" t="e">
        <f>$J6</f>
        <v>#N/A</v>
      </c>
      <c r="T6" s="222" t="s">
        <v>406</v>
      </c>
      <c r="U6" s="236"/>
      <c r="V6" s="2175"/>
      <c r="W6" s="2176"/>
      <c r="X6" s="2176"/>
      <c r="Y6" s="2176"/>
      <c r="Z6" s="2176"/>
      <c r="AA6" s="2176"/>
      <c r="AB6" s="2177"/>
      <c r="AC6" s="2175"/>
      <c r="AD6" s="2176"/>
      <c r="AE6" s="2176"/>
      <c r="AF6" s="2176"/>
      <c r="AG6" s="2176"/>
      <c r="AH6" s="2176"/>
      <c r="AI6" s="2176"/>
      <c r="AJ6" s="2177"/>
      <c r="AK6" s="1232" t="s">
        <v>484</v>
      </c>
      <c r="AM6" s="435"/>
      <c r="AN6" s="435" t="str">
        <f t="shared" si="0"/>
        <v>Группа потребителей</v>
      </c>
      <c r="AO6" s="435"/>
      <c r="AP6" s="435"/>
      <c r="AQ6" s="1080">
        <v>0</v>
      </c>
    </row>
    <row r="7" spans="1:43" ht="23.25" hidden="1" customHeight="1">
      <c r="A7" s="1288"/>
      <c r="B7" s="1288"/>
      <c r="C7" s="1288"/>
      <c r="D7" s="1288"/>
      <c r="E7" s="2187"/>
      <c r="F7" s="2187"/>
      <c r="G7" s="2187"/>
      <c r="H7" s="2187"/>
      <c r="I7" s="2207"/>
      <c r="J7" s="2207"/>
      <c r="K7" s="2184" t="e">
        <f>J6&amp;".1"</f>
        <v>#N/A</v>
      </c>
      <c r="L7" s="1289"/>
      <c r="P7" s="2185"/>
      <c r="Q7" s="2185"/>
      <c r="R7" s="292">
        <v>1</v>
      </c>
      <c r="S7" s="1382" t="e">
        <f>$K7</f>
        <v>#N/A</v>
      </c>
      <c r="T7" s="1362"/>
      <c r="U7" s="236"/>
      <c r="V7" s="686"/>
      <c r="W7" s="686"/>
      <c r="X7" s="1182"/>
      <c r="Y7" s="2189"/>
      <c r="Z7" s="2047" t="s">
        <v>66</v>
      </c>
      <c r="AA7" s="2189"/>
      <c r="AB7" s="2047" t="s">
        <v>66</v>
      </c>
      <c r="AC7" s="686"/>
      <c r="AD7" s="686"/>
      <c r="AE7" s="1182"/>
      <c r="AF7" s="2189"/>
      <c r="AG7" s="2047" t="s">
        <v>66</v>
      </c>
      <c r="AH7" s="2208"/>
      <c r="AI7" s="2047" t="s">
        <v>66</v>
      </c>
      <c r="AJ7" s="1363"/>
      <c r="AK7" s="2252"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7" s="446" t="e">
        <f ca="1">STRCHECKDATE(V8:AJ8)</f>
        <v>#NAME?</v>
      </c>
      <c r="AM7" s="435"/>
      <c r="AN7" s="435" t="str">
        <f t="shared" si="0"/>
        <v/>
      </c>
      <c r="AO7" s="435"/>
      <c r="AP7" s="435"/>
      <c r="AQ7" s="1080">
        <v>0</v>
      </c>
    </row>
    <row r="8" spans="1:43" ht="14.25" hidden="1" customHeight="1">
      <c r="A8" s="1288"/>
      <c r="B8" s="1288"/>
      <c r="C8" s="1288"/>
      <c r="D8" s="1288"/>
      <c r="E8" s="2187"/>
      <c r="F8" s="2187"/>
      <c r="G8" s="2187"/>
      <c r="H8" s="2187"/>
      <c r="I8" s="2207"/>
      <c r="J8" s="2207"/>
      <c r="K8" s="2184"/>
      <c r="L8" s="1289"/>
      <c r="P8" s="2185"/>
      <c r="Q8" s="2185"/>
      <c r="R8" s="292"/>
      <c r="S8" s="1381"/>
      <c r="T8" s="236"/>
      <c r="U8" s="236"/>
      <c r="V8" s="261"/>
      <c r="W8" s="261"/>
      <c r="X8" s="264" t="str">
        <f>Y7&amp;"-"&amp;AA7</f>
        <v>-</v>
      </c>
      <c r="Y8" s="2190"/>
      <c r="Z8" s="2047"/>
      <c r="AA8" s="2190"/>
      <c r="AB8" s="2047"/>
      <c r="AC8" s="261"/>
      <c r="AD8" s="261"/>
      <c r="AE8" s="264" t="str">
        <f>AF7&amp;"-"&amp;AH7</f>
        <v>-</v>
      </c>
      <c r="AF8" s="2190"/>
      <c r="AG8" s="2047"/>
      <c r="AH8" s="2209"/>
      <c r="AI8" s="2047"/>
      <c r="AJ8" s="1364"/>
      <c r="AK8" s="2252"/>
      <c r="AM8" s="435"/>
      <c r="AN8" s="435" t="str">
        <f t="shared" si="0"/>
        <v/>
      </c>
      <c r="AO8" s="435"/>
      <c r="AP8" s="435"/>
      <c r="AQ8" s="1080">
        <v>0</v>
      </c>
    </row>
    <row r="9" spans="1:43" ht="21" hidden="1" customHeight="1">
      <c r="A9" s="1288"/>
      <c r="B9" s="1288"/>
      <c r="C9" s="1288"/>
      <c r="D9" s="1288"/>
      <c r="E9" s="2187"/>
      <c r="F9" s="2187"/>
      <c r="G9" s="2187"/>
      <c r="H9" s="2187"/>
      <c r="I9" s="2207"/>
      <c r="J9" s="2184"/>
      <c r="K9" s="1288"/>
      <c r="L9" s="1289"/>
      <c r="P9" s="2185"/>
      <c r="Q9" s="2185"/>
      <c r="R9" s="291"/>
      <c r="S9" s="1203"/>
      <c r="T9" s="223" t="s">
        <v>485</v>
      </c>
      <c r="U9" s="302"/>
      <c r="V9" s="302"/>
      <c r="W9" s="302"/>
      <c r="X9" s="302"/>
      <c r="Y9" s="302"/>
      <c r="Z9" s="302"/>
      <c r="AA9" s="302"/>
      <c r="AB9" s="302"/>
      <c r="AC9" s="302"/>
      <c r="AD9" s="302"/>
      <c r="AE9" s="302"/>
      <c r="AF9" s="302"/>
      <c r="AG9" s="302"/>
      <c r="AH9" s="302"/>
      <c r="AI9" s="302"/>
      <c r="AJ9" s="302"/>
      <c r="AK9" s="1183" t="s">
        <v>486</v>
      </c>
      <c r="AM9" s="435"/>
      <c r="AN9" s="435" t="str">
        <f t="shared" si="0"/>
        <v>Добавить значение признака дифференциации</v>
      </c>
      <c r="AO9" s="435"/>
      <c r="AP9" s="435"/>
      <c r="AQ9" s="1080">
        <v>0</v>
      </c>
    </row>
    <row r="10" spans="1:43" ht="21" hidden="1" customHeight="1">
      <c r="A10" s="1288"/>
      <c r="B10" s="1288"/>
      <c r="C10" s="1288"/>
      <c r="D10" s="1288"/>
      <c r="E10" s="2187"/>
      <c r="F10" s="2187"/>
      <c r="G10" s="2187"/>
      <c r="H10" s="2187"/>
      <c r="I10" s="2184"/>
      <c r="J10" s="1288"/>
      <c r="K10" s="1288"/>
      <c r="L10" s="1289"/>
      <c r="P10" s="2185"/>
      <c r="Q10" s="1375"/>
      <c r="R10" s="291"/>
      <c r="S10" s="1203"/>
      <c r="T10" s="300" t="s">
        <v>411</v>
      </c>
      <c r="U10" s="302"/>
      <c r="V10" s="302"/>
      <c r="W10" s="302"/>
      <c r="X10" s="302"/>
      <c r="Y10" s="302"/>
      <c r="Z10" s="302"/>
      <c r="AA10" s="302"/>
      <c r="AB10" s="301"/>
      <c r="AC10" s="302"/>
      <c r="AD10" s="302"/>
      <c r="AE10" s="302"/>
      <c r="AF10" s="302"/>
      <c r="AG10" s="302"/>
      <c r="AH10" s="302"/>
      <c r="AI10" s="301"/>
      <c r="AJ10" s="302"/>
      <c r="AK10" s="1365"/>
      <c r="AM10" s="435"/>
      <c r="AN10" s="435" t="str">
        <f t="shared" si="0"/>
        <v>Добавить группу потребителей</v>
      </c>
      <c r="AO10" s="435"/>
      <c r="AP10" s="435"/>
      <c r="AQ10" s="1080">
        <v>0</v>
      </c>
    </row>
    <row r="11" spans="1:43" ht="21" hidden="1" customHeight="1">
      <c r="A11" s="1288"/>
      <c r="B11" s="1288"/>
      <c r="C11" s="1288"/>
      <c r="D11" s="1288"/>
      <c r="E11" s="2187"/>
      <c r="F11" s="2187"/>
      <c r="G11" s="2187"/>
      <c r="H11" s="2186"/>
      <c r="I11" s="1288"/>
      <c r="J11" s="1288"/>
      <c r="K11" s="1288"/>
      <c r="L11" s="1289"/>
      <c r="M11" s="1290"/>
      <c r="N11" s="1290"/>
      <c r="O11" s="472"/>
      <c r="P11" s="295"/>
      <c r="Q11" s="310"/>
      <c r="R11" s="290"/>
      <c r="S11" s="1203"/>
      <c r="T11" s="307" t="s">
        <v>487</v>
      </c>
      <c r="U11" s="302"/>
      <c r="V11" s="302"/>
      <c r="W11" s="302"/>
      <c r="X11" s="302"/>
      <c r="Y11" s="302"/>
      <c r="Z11" s="302"/>
      <c r="AA11" s="302"/>
      <c r="AB11" s="301"/>
      <c r="AC11" s="302"/>
      <c r="AD11" s="302"/>
      <c r="AE11" s="302"/>
      <c r="AF11" s="302"/>
      <c r="AG11" s="302"/>
      <c r="AH11" s="302"/>
      <c r="AI11" s="301"/>
      <c r="AJ11" s="302"/>
      <c r="AK11" s="239"/>
      <c r="AM11" s="435"/>
      <c r="AN11" s="435" t="str">
        <f t="shared" si="0"/>
        <v>Добавить наименование признака дифференциации</v>
      </c>
      <c r="AO11" s="435"/>
      <c r="AP11" s="435"/>
      <c r="AQ11" s="1080">
        <v>0</v>
      </c>
    </row>
    <row r="12" spans="1:43" s="1567" customFormat="1" ht="14.25" hidden="1" customHeight="1">
      <c r="A12" s="1268"/>
      <c r="B12" s="1268"/>
      <c r="C12" s="1239"/>
      <c r="D12" s="1239"/>
      <c r="E12" s="2187"/>
      <c r="F12" s="2186"/>
      <c r="G12" s="1239"/>
      <c r="H12" s="1239"/>
      <c r="I12" s="1239"/>
      <c r="J12" s="1239"/>
      <c r="K12" s="1239"/>
      <c r="L12" s="1383"/>
      <c r="M12" s="1246"/>
      <c r="N12" s="1246"/>
      <c r="P12" s="1241"/>
      <c r="Q12" s="1242"/>
      <c r="R12" s="1241"/>
      <c r="S12" s="1247"/>
      <c r="T12" s="1250" t="s">
        <v>414</v>
      </c>
      <c r="U12" s="1249"/>
      <c r="V12" s="1249"/>
      <c r="W12" s="1249"/>
      <c r="X12" s="1249"/>
      <c r="Y12" s="1249"/>
      <c r="Z12" s="1249"/>
      <c r="AA12" s="1249"/>
      <c r="AB12" s="1249"/>
      <c r="AC12" s="1249"/>
      <c r="AD12" s="1249"/>
      <c r="AE12" s="1249"/>
      <c r="AF12" s="1249"/>
      <c r="AG12" s="1249"/>
      <c r="AH12" s="1249"/>
      <c r="AI12" s="1249"/>
      <c r="AJ12" s="1249"/>
      <c r="AK12" s="1249"/>
      <c r="AM12" s="718"/>
      <c r="AN12" s="718" t="str">
        <f t="shared" si="0"/>
        <v>Добавить централизованную систему для дифференциации</v>
      </c>
      <c r="AO12" s="718"/>
      <c r="AP12" s="718"/>
      <c r="AQ12" s="453">
        <v>0</v>
      </c>
    </row>
    <row r="13" spans="1:43" s="1567" customFormat="1" ht="14.25" hidden="1" customHeight="1">
      <c r="A13" s="1268"/>
      <c r="B13" s="1268"/>
      <c r="C13" s="1268"/>
      <c r="D13" s="1268"/>
      <c r="E13" s="2186"/>
      <c r="F13" s="1268"/>
      <c r="G13" s="1268"/>
      <c r="H13" s="1268"/>
      <c r="I13" s="1268"/>
      <c r="J13" s="1268"/>
      <c r="K13" s="1268"/>
      <c r="L13" s="1271"/>
      <c r="M13" s="1246"/>
      <c r="N13" s="1246"/>
      <c r="O13" s="453"/>
      <c r="P13" s="315"/>
      <c r="Q13" s="1269"/>
      <c r="R13" s="315"/>
      <c r="S13" s="1247"/>
      <c r="T13" s="1250" t="s">
        <v>415</v>
      </c>
      <c r="U13" s="1249"/>
      <c r="V13" s="1249"/>
      <c r="W13" s="1249"/>
      <c r="X13" s="1249"/>
      <c r="Y13" s="1249"/>
      <c r="Z13" s="1249"/>
      <c r="AA13" s="1249"/>
      <c r="AB13" s="1249"/>
      <c r="AC13" s="1249"/>
      <c r="AD13" s="1249"/>
      <c r="AE13" s="1249"/>
      <c r="AF13" s="1249"/>
      <c r="AG13" s="1249"/>
      <c r="AH13" s="1249"/>
      <c r="AI13" s="1249"/>
      <c r="AJ13" s="1249"/>
      <c r="AK13" s="1249"/>
      <c r="AM13" s="435"/>
      <c r="AN13" s="435" t="str">
        <f t="shared" si="0"/>
        <v>Добавить территорию для дифференциации</v>
      </c>
      <c r="AO13" s="435"/>
      <c r="AP13" s="435"/>
      <c r="AQ13" s="446">
        <v>0</v>
      </c>
    </row>
    <row r="14" spans="1:43" ht="14.25" hidden="1" customHeight="1">
      <c r="AB14" s="263"/>
      <c r="AI14" s="263"/>
      <c r="AQ14" s="1080">
        <v>0</v>
      </c>
    </row>
    <row r="15" spans="1:43" ht="14.25" hidden="1" customHeight="1">
      <c r="AC15" s="1285"/>
      <c r="AD15" s="1285"/>
      <c r="AE15" s="1286"/>
      <c r="AF15" s="2191"/>
      <c r="AG15" s="2192" t="s">
        <v>66</v>
      </c>
      <c r="AH15" s="2191"/>
      <c r="AI15" s="2192" t="s">
        <v>66</v>
      </c>
      <c r="AQ15" s="1080">
        <v>0</v>
      </c>
    </row>
    <row r="16" spans="1:43" ht="14.25" hidden="1" customHeight="1">
      <c r="AC16" s="1285"/>
      <c r="AD16" s="1285"/>
      <c r="AE16" s="264" t="str">
        <f>AF15&amp;"-"&amp;AH15</f>
        <v>-</v>
      </c>
      <c r="AF16" s="2192"/>
      <c r="AG16" s="2192"/>
      <c r="AH16" s="2192"/>
      <c r="AI16" s="2192"/>
      <c r="AQ16" s="1080">
        <v>0</v>
      </c>
    </row>
    <row r="17" spans="1:43" ht="14.25" hidden="1" customHeight="1">
      <c r="AI17" s="263"/>
      <c r="AQ17" s="1080">
        <v>0</v>
      </c>
    </row>
    <row r="18" spans="1:43" s="1291" customFormat="1" ht="22.5" hidden="1" customHeight="1">
      <c r="L18" s="1372"/>
      <c r="M18" s="1287"/>
      <c r="N18" s="1287"/>
      <c r="O18" s="1292" t="s">
        <v>416</v>
      </c>
      <c r="P18" s="1287"/>
      <c r="Q18" s="1296"/>
      <c r="R18" s="1296"/>
      <c r="S18" s="664"/>
      <c r="Y18" s="1292"/>
      <c r="AA18" s="1292"/>
      <c r="AF18" s="1292"/>
      <c r="AH18" s="1292"/>
      <c r="AL18" s="446"/>
      <c r="AM18" s="446"/>
      <c r="AN18" s="446"/>
      <c r="AO18" s="446"/>
      <c r="AP18" s="446"/>
      <c r="AQ18" s="1085">
        <v>0</v>
      </c>
    </row>
    <row r="19" spans="1:43" s="1291" customFormat="1" ht="14.25" hidden="1" customHeight="1">
      <c r="L19" s="1372"/>
      <c r="M19" s="1287"/>
      <c r="N19" s="1287"/>
      <c r="O19" s="1287"/>
      <c r="P19" s="1287"/>
      <c r="Q19" s="1296"/>
      <c r="R19" s="1296"/>
      <c r="S19" s="664"/>
      <c r="AL19" s="446"/>
      <c r="AM19" s="446"/>
      <c r="AN19" s="446"/>
      <c r="AO19" s="446"/>
      <c r="AP19" s="446"/>
      <c r="AQ19" s="1085">
        <v>0</v>
      </c>
    </row>
    <row r="20" spans="1:43" s="1291" customFormat="1" ht="12" hidden="1" customHeight="1">
      <c r="L20" s="1372"/>
      <c r="M20" s="1287"/>
      <c r="N20" s="1287"/>
      <c r="O20" s="1289" t="s">
        <v>417</v>
      </c>
      <c r="P20" s="1287"/>
      <c r="Q20" s="1367"/>
      <c r="R20" s="1367"/>
      <c r="S20" s="664"/>
      <c r="T20" s="1085" t="s">
        <v>418</v>
      </c>
      <c r="Z20" s="122" t="s">
        <v>419</v>
      </c>
      <c r="AB20" s="122" t="s">
        <v>420</v>
      </c>
      <c r="AC20" s="1085" t="s">
        <v>418</v>
      </c>
      <c r="AG20" s="122" t="s">
        <v>421</v>
      </c>
      <c r="AI20" s="122" t="s">
        <v>420</v>
      </c>
      <c r="AQ20" s="1085">
        <v>0</v>
      </c>
    </row>
    <row r="21" spans="1:43" ht="14.25" hidden="1" customHeight="1">
      <c r="O21" s="1289"/>
      <c r="AQ21" s="1080">
        <v>0</v>
      </c>
    </row>
    <row r="22" spans="1:43" ht="14.25" hidden="1" customHeight="1">
      <c r="O22" s="1289"/>
      <c r="AQ22" s="1080">
        <v>0</v>
      </c>
    </row>
    <row r="23" spans="1:43" ht="14.65" customHeight="1">
      <c r="Q23" s="311"/>
      <c r="R23" s="311"/>
      <c r="S23" s="1200"/>
      <c r="T23" s="298"/>
      <c r="U23" s="298"/>
      <c r="V23" s="444"/>
      <c r="W23" s="444"/>
      <c r="X23" s="444"/>
      <c r="Y23" s="444"/>
      <c r="Z23" s="444"/>
      <c r="AA23" s="444"/>
      <c r="AB23" s="444"/>
      <c r="AC23" s="444"/>
      <c r="AD23" s="444"/>
      <c r="AE23" s="444"/>
      <c r="AF23" s="444"/>
      <c r="AG23" s="444"/>
      <c r="AH23" s="444"/>
      <c r="AI23" s="444"/>
      <c r="AQ23" s="1080">
        <v>14</v>
      </c>
    </row>
    <row r="24" spans="1:43" ht="14.65" customHeight="1">
      <c r="Q24" s="311"/>
      <c r="R24" s="311"/>
      <c r="S24" s="2170" t="str">
        <f>IF(TEMPLATE_GROUP="P",PT_P_FORM_COLDVSNA_4_NAME_FORM,PT_R_FORM_COLDVSNA_16_NAME_FORM)</f>
        <v>Форма 13. Информация о предложении организации холодного водоснабжения об установлении расчетной величины тарифов в сфере холодного водоснабжения</v>
      </c>
      <c r="T24" s="2170"/>
      <c r="U24" s="2170"/>
      <c r="V24" s="2170"/>
      <c r="W24" s="2170"/>
      <c r="X24" s="2170"/>
      <c r="Y24" s="2170"/>
      <c r="Z24" s="2170"/>
      <c r="AA24" s="2170"/>
      <c r="AB24" s="2170"/>
      <c r="AC24" s="2170"/>
      <c r="AD24" s="2170"/>
      <c r="AE24" s="2170"/>
      <c r="AF24" s="2170"/>
      <c r="AG24" s="2170"/>
      <c r="AH24" s="2170"/>
      <c r="AI24" s="1168"/>
      <c r="AQ24" s="1080">
        <v>14</v>
      </c>
    </row>
    <row r="25" spans="1:43" ht="14.65" customHeight="1">
      <c r="Q25" s="311"/>
      <c r="R25" s="311"/>
      <c r="S25" s="2115" t="str">
        <f>IF(org=0,"Не определено",org)</f>
        <v>ООО "ЗЕНИТ ЭНЕРГО"</v>
      </c>
      <c r="T25" s="2115"/>
      <c r="U25" s="2115"/>
      <c r="V25" s="2115"/>
      <c r="W25" s="2115"/>
      <c r="X25" s="2115"/>
      <c r="Y25" s="2115"/>
      <c r="Z25" s="2115"/>
      <c r="AA25" s="2115"/>
      <c r="AB25" s="2115"/>
      <c r="AC25" s="2115"/>
      <c r="AD25" s="2115"/>
      <c r="AE25" s="2115"/>
      <c r="AF25" s="2115"/>
      <c r="AG25" s="2115"/>
      <c r="AH25" s="2115"/>
      <c r="AI25" s="1168"/>
      <c r="AQ25" s="1080">
        <v>14</v>
      </c>
    </row>
    <row r="26" spans="1:43" ht="14.25" hidden="1" customHeight="1">
      <c r="Q26" s="311"/>
      <c r="R26" s="311"/>
      <c r="S26" s="1200"/>
      <c r="T26" s="298"/>
      <c r="U26" s="298"/>
      <c r="V26" s="258"/>
      <c r="W26" s="258"/>
      <c r="X26" s="258"/>
      <c r="Y26" s="258"/>
      <c r="Z26" s="258"/>
      <c r="AA26" s="258"/>
      <c r="AB26" s="258"/>
      <c r="AC26" s="258"/>
      <c r="AD26" s="258"/>
      <c r="AE26" s="258"/>
      <c r="AF26" s="258"/>
      <c r="AG26" s="258"/>
      <c r="AH26" s="258"/>
      <c r="AI26" s="258"/>
      <c r="AJ26" s="444"/>
      <c r="AQ26" s="1080">
        <v>0</v>
      </c>
    </row>
    <row r="27" spans="1:43" s="1777" customFormat="1" ht="25.5" hidden="1" customHeight="1">
      <c r="A27" s="1293"/>
      <c r="B27" s="1293"/>
      <c r="C27" s="1293"/>
      <c r="D27" s="1293"/>
      <c r="E27" s="1293"/>
      <c r="F27" s="1293"/>
      <c r="G27" s="1293"/>
      <c r="H27" s="1293"/>
      <c r="I27" s="1293"/>
      <c r="J27" s="1293"/>
      <c r="K27" s="1293"/>
      <c r="L27" s="1294"/>
      <c r="M27" s="1293"/>
      <c r="N27" s="1293"/>
      <c r="O27" s="1293"/>
      <c r="S27" s="2178" t="s">
        <v>42</v>
      </c>
      <c r="T27" s="2178"/>
      <c r="U27" s="1297"/>
      <c r="V27" s="2179" t="str">
        <f>IF(TITLE_NAME_OR_PR_CHANGE="",IF(TITLE_NAME_OR_PR="","",TITLE_NAME_OR_PR),TITLE_NAME_OR_PR_CHANGE)</f>
        <v/>
      </c>
      <c r="W27" s="2179"/>
      <c r="X27" s="2179"/>
      <c r="Y27" s="2179"/>
      <c r="Z27" s="2179"/>
      <c r="AA27" s="2179"/>
      <c r="AB27" s="262"/>
      <c r="AC27" s="2179" t="str">
        <f>IF(TITLE_NAME_OR_PR_CHANGE="",IF(TITLE_NAME_OR_PR="","",TITLE_NAME_OR_PR),TITLE_NAME_OR_PR_CHANGE)</f>
        <v/>
      </c>
      <c r="AD27" s="2179"/>
      <c r="AE27" s="2179"/>
      <c r="AF27" s="2179"/>
      <c r="AG27" s="2179"/>
      <c r="AH27" s="2179"/>
      <c r="AI27" s="262"/>
      <c r="AJ27" s="262"/>
      <c r="AK27" s="216"/>
      <c r="AL27" s="303"/>
      <c r="AM27" s="303"/>
      <c r="AN27" s="303"/>
      <c r="AO27" s="303"/>
      <c r="AP27" s="303"/>
      <c r="AQ27" s="353">
        <v>0</v>
      </c>
    </row>
    <row r="28" spans="1:43" s="1777" customFormat="1" ht="18.75" hidden="1" customHeight="1">
      <c r="A28" s="1293"/>
      <c r="B28" s="1293"/>
      <c r="C28" s="1293"/>
      <c r="D28" s="1293"/>
      <c r="E28" s="1293"/>
      <c r="F28" s="1293"/>
      <c r="G28" s="1293"/>
      <c r="H28" s="1293"/>
      <c r="I28" s="1293"/>
      <c r="J28" s="1293"/>
      <c r="K28" s="1293"/>
      <c r="L28" s="1294"/>
      <c r="M28" s="1293"/>
      <c r="N28" s="1293"/>
      <c r="O28" s="1293"/>
      <c r="S28" s="2178" t="s">
        <v>422</v>
      </c>
      <c r="T28" s="2178"/>
      <c r="U28" s="1297"/>
      <c r="V28" s="2188" t="str">
        <f>IF(TITLE_DATE_PR_CHANGE="",IF(TITLE_DATE_PR="","",TITLE_DATE_PR),TITLE_DATE_PR_CHANGE)</f>
        <v/>
      </c>
      <c r="W28" s="2188"/>
      <c r="X28" s="2188"/>
      <c r="Y28" s="2188"/>
      <c r="Z28" s="2188"/>
      <c r="AA28" s="2188"/>
      <c r="AB28" s="262"/>
      <c r="AC28" s="2188" t="str">
        <f>IF(TITLE_DATE_PR_CHANGE="",IF(TITLE_DATE_PR="","",TITLE_DATE_PR),TITLE_DATE_PR_CHANGE)</f>
        <v/>
      </c>
      <c r="AD28" s="2188"/>
      <c r="AE28" s="2188"/>
      <c r="AF28" s="2188"/>
      <c r="AG28" s="2188"/>
      <c r="AH28" s="2188"/>
      <c r="AI28" s="262"/>
      <c r="AJ28" s="262"/>
      <c r="AK28" s="216"/>
      <c r="AL28" s="303"/>
      <c r="AM28" s="303"/>
      <c r="AN28" s="303"/>
      <c r="AO28" s="303"/>
      <c r="AP28" s="303"/>
      <c r="AQ28" s="353">
        <v>0</v>
      </c>
    </row>
    <row r="29" spans="1:43" s="1777" customFormat="1" ht="18.75" hidden="1" customHeight="1">
      <c r="A29" s="1293"/>
      <c r="B29" s="1293"/>
      <c r="C29" s="1293"/>
      <c r="D29" s="1293"/>
      <c r="E29" s="1293"/>
      <c r="F29" s="1293"/>
      <c r="G29" s="1293"/>
      <c r="H29" s="1293"/>
      <c r="I29" s="1293"/>
      <c r="J29" s="1293"/>
      <c r="K29" s="1293"/>
      <c r="L29" s="1294"/>
      <c r="M29" s="1293"/>
      <c r="N29" s="1293"/>
      <c r="O29" s="1293"/>
      <c r="S29" s="2178" t="s">
        <v>423</v>
      </c>
      <c r="T29" s="2178"/>
      <c r="U29" s="1297"/>
      <c r="V29" s="2179" t="str">
        <f>IF(TITLE_NUMBER_PR_CHANGE="",IF(TITLE_NUMBER_PR="","",TITLE_NUMBER_PR),TITLE_NUMBER_PR_CHANGE)</f>
        <v/>
      </c>
      <c r="W29" s="2179"/>
      <c r="X29" s="2179"/>
      <c r="Y29" s="2179"/>
      <c r="Z29" s="2179"/>
      <c r="AA29" s="2179"/>
      <c r="AB29" s="262"/>
      <c r="AC29" s="2179" t="str">
        <f>IF(TITLE_NUMBER_PR_CHANGE="",IF(TITLE_NUMBER_PR="","",TITLE_NUMBER_PR),TITLE_NUMBER_PR_CHANGE)</f>
        <v/>
      </c>
      <c r="AD29" s="2179"/>
      <c r="AE29" s="2179"/>
      <c r="AF29" s="2179"/>
      <c r="AG29" s="2179"/>
      <c r="AH29" s="2179"/>
      <c r="AI29" s="262"/>
      <c r="AJ29" s="262"/>
      <c r="AK29" s="216"/>
      <c r="AL29" s="303"/>
      <c r="AM29" s="303"/>
      <c r="AN29" s="303"/>
      <c r="AO29" s="303"/>
      <c r="AP29" s="303"/>
      <c r="AQ29" s="353">
        <v>0</v>
      </c>
    </row>
    <row r="30" spans="1:43" s="1777" customFormat="1" ht="18.75" hidden="1" customHeight="1">
      <c r="A30" s="1293"/>
      <c r="B30" s="1293"/>
      <c r="C30" s="1293"/>
      <c r="D30" s="1293"/>
      <c r="E30" s="1293"/>
      <c r="F30" s="1293"/>
      <c r="G30" s="1293"/>
      <c r="H30" s="1293"/>
      <c r="I30" s="1293"/>
      <c r="J30" s="1293"/>
      <c r="K30" s="1293"/>
      <c r="L30" s="1294"/>
      <c r="M30" s="1293"/>
      <c r="N30" s="1293"/>
      <c r="O30" s="1293"/>
      <c r="S30" s="2178" t="s">
        <v>43</v>
      </c>
      <c r="T30" s="2178"/>
      <c r="U30" s="1297"/>
      <c r="V30" s="2179" t="str">
        <f>IF(TITLE_IST_PUB_CHANGE="",IF(TITLE_IST_PUB="","",TITLE_IST_PUB),TITLE_IST_PUB_CHANGE)</f>
        <v/>
      </c>
      <c r="W30" s="2179"/>
      <c r="X30" s="2179"/>
      <c r="Y30" s="2179"/>
      <c r="Z30" s="2179"/>
      <c r="AA30" s="2179"/>
      <c r="AB30" s="262"/>
      <c r="AC30" s="2179" t="str">
        <f>IF(TITLE_IST_PUB_CHANGE="",IF(TITLE_IST_PUB="","",TITLE_IST_PUB),TITLE_IST_PUB_CHANGE)</f>
        <v/>
      </c>
      <c r="AD30" s="2179"/>
      <c r="AE30" s="2179"/>
      <c r="AF30" s="2179"/>
      <c r="AG30" s="2179"/>
      <c r="AH30" s="2179"/>
      <c r="AI30" s="262"/>
      <c r="AJ30" s="262"/>
      <c r="AK30" s="216"/>
      <c r="AL30" s="303"/>
      <c r="AM30" s="303"/>
      <c r="AN30" s="303"/>
      <c r="AO30" s="303"/>
      <c r="AP30" s="303"/>
      <c r="AQ30" s="353">
        <v>0</v>
      </c>
    </row>
    <row r="31" spans="1:43" ht="14.25" hidden="1" customHeight="1">
      <c r="Q31" s="311"/>
      <c r="R31" s="311"/>
      <c r="S31" s="1200"/>
      <c r="T31" s="298"/>
      <c r="U31" s="298"/>
      <c r="V31" s="258"/>
      <c r="W31" s="258"/>
      <c r="X31" s="258"/>
      <c r="Y31" s="258"/>
      <c r="Z31" s="258"/>
      <c r="AA31" s="258"/>
      <c r="AB31" s="258"/>
      <c r="AC31" s="258"/>
      <c r="AD31" s="258"/>
      <c r="AE31" s="258"/>
      <c r="AF31" s="258"/>
      <c r="AG31" s="258"/>
      <c r="AH31" s="258"/>
      <c r="AI31" s="258"/>
      <c r="AJ31" s="444"/>
      <c r="AQ31" s="1080">
        <v>0</v>
      </c>
    </row>
    <row r="32" spans="1:43" s="1777" customFormat="1" ht="18.75" hidden="1" customHeight="1">
      <c r="A32" s="1293"/>
      <c r="B32" s="1293"/>
      <c r="C32" s="1293"/>
      <c r="D32" s="1293"/>
      <c r="E32" s="1293"/>
      <c r="F32" s="1293"/>
      <c r="G32" s="1293"/>
      <c r="H32" s="1293"/>
      <c r="I32" s="1293"/>
      <c r="J32" s="1293"/>
      <c r="K32" s="1293"/>
      <c r="L32" s="1294"/>
      <c r="M32" s="1293"/>
      <c r="N32" s="1293"/>
      <c r="O32" s="1293"/>
      <c r="S32" s="2178" t="s">
        <v>424</v>
      </c>
      <c r="T32" s="2178"/>
      <c r="U32" s="1297"/>
      <c r="V32" s="2188" t="str">
        <f>IF(TITLE_DATE_PR_CHANGE="",IF(TITLE_DATE_PR="","",TITLE_DATE_PR),TITLE_DATE_PR_CHANGE)</f>
        <v/>
      </c>
      <c r="W32" s="2188"/>
      <c r="X32" s="2188"/>
      <c r="Y32" s="2188"/>
      <c r="Z32" s="2188"/>
      <c r="AA32" s="2188"/>
      <c r="AB32" s="262"/>
      <c r="AC32" s="2188" t="str">
        <f>IF(TITLE_DATE_PR_CHANGE="",IF(TITLE_DATE_PR="","",TITLE_DATE_PR),TITLE_DATE_PR_CHANGE)</f>
        <v/>
      </c>
      <c r="AD32" s="2188"/>
      <c r="AE32" s="2188"/>
      <c r="AF32" s="2188"/>
      <c r="AG32" s="2188"/>
      <c r="AH32" s="2188"/>
      <c r="AI32" s="262"/>
      <c r="AJ32" s="262"/>
      <c r="AK32" s="216"/>
      <c r="AL32" s="303"/>
      <c r="AM32" s="303"/>
      <c r="AN32" s="303"/>
      <c r="AO32" s="303"/>
      <c r="AP32" s="303"/>
      <c r="AQ32" s="353">
        <v>0</v>
      </c>
    </row>
    <row r="33" spans="1:43" s="1777" customFormat="1" ht="18.75" hidden="1" customHeight="1">
      <c r="A33" s="1293"/>
      <c r="B33" s="1293"/>
      <c r="C33" s="1293"/>
      <c r="D33" s="1293"/>
      <c r="E33" s="1293"/>
      <c r="F33" s="1293"/>
      <c r="G33" s="1293"/>
      <c r="H33" s="1293"/>
      <c r="I33" s="1293"/>
      <c r="J33" s="1293"/>
      <c r="K33" s="1293"/>
      <c r="L33" s="1294"/>
      <c r="M33" s="1293"/>
      <c r="N33" s="1293"/>
      <c r="O33" s="1293"/>
      <c r="S33" s="2178" t="s">
        <v>425</v>
      </c>
      <c r="T33" s="2178"/>
      <c r="U33" s="1297"/>
      <c r="V33" s="2179" t="str">
        <f>IF(TITLE_NUMBER_PR_CHANGE="",IF(TITLE_NUMBER_PR="","",TITLE_NUMBER_PR),TITLE_NUMBER_PR_CHANGE)</f>
        <v/>
      </c>
      <c r="W33" s="2179"/>
      <c r="X33" s="2179"/>
      <c r="Y33" s="2179"/>
      <c r="Z33" s="2179"/>
      <c r="AA33" s="2179"/>
      <c r="AB33" s="262"/>
      <c r="AC33" s="2179" t="str">
        <f>IF(TITLE_NUMBER_PR_CHANGE="",IF(TITLE_NUMBER_PR="","",TITLE_NUMBER_PR),TITLE_NUMBER_PR_CHANGE)</f>
        <v/>
      </c>
      <c r="AD33" s="2179"/>
      <c r="AE33" s="2179"/>
      <c r="AF33" s="2179"/>
      <c r="AG33" s="2179"/>
      <c r="AH33" s="2179"/>
      <c r="AI33" s="262"/>
      <c r="AJ33" s="262"/>
      <c r="AK33" s="216"/>
      <c r="AL33" s="303"/>
      <c r="AM33" s="303"/>
      <c r="AN33" s="303"/>
      <c r="AO33" s="303"/>
      <c r="AP33" s="303"/>
      <c r="AQ33" s="353">
        <v>0</v>
      </c>
    </row>
    <row r="34" spans="1:43" s="1777" customFormat="1" ht="1.1499999999999999" customHeight="1">
      <c r="A34" s="1293"/>
      <c r="B34" s="1293"/>
      <c r="C34" s="1293"/>
      <c r="D34" s="1293"/>
      <c r="E34" s="1293"/>
      <c r="F34" s="1293"/>
      <c r="G34" s="1293"/>
      <c r="H34" s="1293"/>
      <c r="I34" s="1293"/>
      <c r="J34" s="1293"/>
      <c r="K34" s="1293"/>
      <c r="L34" s="1294"/>
      <c r="M34" s="1293"/>
      <c r="N34" s="1293"/>
      <c r="O34" s="1293"/>
      <c r="S34" s="259"/>
      <c r="T34" s="259"/>
      <c r="U34" s="1379"/>
      <c r="V34" s="262"/>
      <c r="W34" s="262"/>
      <c r="X34" s="262"/>
      <c r="Y34" s="262"/>
      <c r="Z34" s="262"/>
      <c r="AA34" s="262"/>
      <c r="AB34" s="214" t="s">
        <v>426</v>
      </c>
      <c r="AC34" s="262"/>
      <c r="AD34" s="262"/>
      <c r="AE34" s="262"/>
      <c r="AF34" s="262"/>
      <c r="AG34" s="262"/>
      <c r="AH34" s="262"/>
      <c r="AI34" s="214" t="s">
        <v>426</v>
      </c>
      <c r="AL34" s="303"/>
      <c r="AM34" s="303"/>
      <c r="AN34" s="303"/>
      <c r="AO34" s="303"/>
      <c r="AP34" s="303"/>
      <c r="AQ34" s="353">
        <v>1</v>
      </c>
    </row>
    <row r="35" spans="1:43" ht="14.65" customHeight="1">
      <c r="Q35" s="311"/>
      <c r="R35" s="311"/>
      <c r="S35" s="1200"/>
      <c r="T35" s="298"/>
      <c r="U35" s="1169"/>
      <c r="V35" s="2180"/>
      <c r="W35" s="2180"/>
      <c r="X35" s="2180"/>
      <c r="Y35" s="2180"/>
      <c r="Z35" s="2180"/>
      <c r="AA35" s="2180"/>
      <c r="AB35" s="2180"/>
      <c r="AC35" s="2180"/>
      <c r="AD35" s="2180"/>
      <c r="AE35" s="2180"/>
      <c r="AF35" s="2180"/>
      <c r="AG35" s="2180"/>
      <c r="AH35" s="2180"/>
      <c r="AI35" s="2180"/>
      <c r="AQ35" s="1080">
        <v>14</v>
      </c>
    </row>
    <row r="36" spans="1:43" ht="14.65" customHeight="1">
      <c r="Q36" s="311"/>
      <c r="R36" s="311"/>
      <c r="S36" s="2066" t="s">
        <v>299</v>
      </c>
      <c r="T36" s="2066"/>
      <c r="U36" s="2066"/>
      <c r="V36" s="2066"/>
      <c r="W36" s="2066"/>
      <c r="X36" s="2066"/>
      <c r="Y36" s="2066"/>
      <c r="Z36" s="2066"/>
      <c r="AA36" s="2066"/>
      <c r="AB36" s="2066"/>
      <c r="AC36" s="2066"/>
      <c r="AD36" s="2066"/>
      <c r="AE36" s="2066"/>
      <c r="AF36" s="2066"/>
      <c r="AG36" s="2066"/>
      <c r="AH36" s="2066"/>
      <c r="AI36" s="2066"/>
      <c r="AJ36" s="2066"/>
      <c r="AK36" s="2066" t="s">
        <v>300</v>
      </c>
      <c r="AQ36" s="1080">
        <v>14</v>
      </c>
    </row>
    <row r="37" spans="1:43" ht="14.65" customHeight="1">
      <c r="Q37" s="311"/>
      <c r="R37" s="311"/>
      <c r="S37" s="2194" t="s">
        <v>88</v>
      </c>
      <c r="T37" s="2145" t="s">
        <v>427</v>
      </c>
      <c r="U37" s="237"/>
      <c r="V37" s="2195" t="s">
        <v>428</v>
      </c>
      <c r="W37" s="2196"/>
      <c r="X37" s="2196"/>
      <c r="Y37" s="2196"/>
      <c r="Z37" s="2196"/>
      <c r="AA37" s="2197"/>
      <c r="AB37" s="2198" t="s">
        <v>429</v>
      </c>
      <c r="AC37" s="2195" t="s">
        <v>428</v>
      </c>
      <c r="AD37" s="2196"/>
      <c r="AE37" s="2196"/>
      <c r="AF37" s="2196"/>
      <c r="AG37" s="2196"/>
      <c r="AH37" s="2197"/>
      <c r="AI37" s="2198" t="s">
        <v>430</v>
      </c>
      <c r="AJ37" s="2201" t="s">
        <v>431</v>
      </c>
      <c r="AK37" s="2066"/>
      <c r="AQ37" s="1080">
        <v>14</v>
      </c>
    </row>
    <row r="38" spans="1:43" ht="35.65" customHeight="1">
      <c r="Q38" s="311"/>
      <c r="R38" s="311"/>
      <c r="S38" s="2194"/>
      <c r="T38" s="2145"/>
      <c r="U38" s="959"/>
      <c r="V38" s="1377" t="s">
        <v>488</v>
      </c>
      <c r="W38" s="2038" t="s">
        <v>434</v>
      </c>
      <c r="X38" s="2037"/>
      <c r="Y38" s="2038" t="s">
        <v>435</v>
      </c>
      <c r="Z38" s="2043"/>
      <c r="AA38" s="2037"/>
      <c r="AB38" s="2199"/>
      <c r="AC38" s="1377" t="s">
        <v>488</v>
      </c>
      <c r="AD38" s="2038" t="s">
        <v>434</v>
      </c>
      <c r="AE38" s="2037"/>
      <c r="AF38" s="2038" t="s">
        <v>435</v>
      </c>
      <c r="AG38" s="2043"/>
      <c r="AH38" s="2037"/>
      <c r="AI38" s="2199"/>
      <c r="AJ38" s="2202"/>
      <c r="AK38" s="2066"/>
      <c r="AQ38" s="1080">
        <v>34</v>
      </c>
    </row>
    <row r="39" spans="1:43" ht="35.65" customHeight="1">
      <c r="A39" s="1295"/>
      <c r="B39" s="1295" t="s">
        <v>136</v>
      </c>
      <c r="C39" s="1295" t="s">
        <v>137</v>
      </c>
      <c r="D39" s="1295" t="s">
        <v>138</v>
      </c>
      <c r="E39" s="1289" t="s">
        <v>436</v>
      </c>
      <c r="F39" s="1289" t="s">
        <v>437</v>
      </c>
      <c r="G39" s="1289" t="s">
        <v>438</v>
      </c>
      <c r="H39" s="1289"/>
      <c r="I39" s="1289" t="s">
        <v>489</v>
      </c>
      <c r="J39" s="1289" t="s">
        <v>441</v>
      </c>
      <c r="K39" s="1289" t="s">
        <v>490</v>
      </c>
      <c r="L39" s="1289" t="s">
        <v>417</v>
      </c>
      <c r="Q39" s="311"/>
      <c r="R39" s="311"/>
      <c r="S39" s="2194"/>
      <c r="T39" s="2145"/>
      <c r="U39" s="238"/>
      <c r="V39" s="1377" t="s">
        <v>491</v>
      </c>
      <c r="W39" s="1147" t="s">
        <v>492</v>
      </c>
      <c r="X39" s="1147" t="s">
        <v>493</v>
      </c>
      <c r="Y39" s="1380" t="s">
        <v>445</v>
      </c>
      <c r="Z39" s="2154" t="s">
        <v>446</v>
      </c>
      <c r="AA39" s="2156"/>
      <c r="AB39" s="2200"/>
      <c r="AC39" s="1377" t="s">
        <v>491</v>
      </c>
      <c r="AD39" s="1147" t="s">
        <v>492</v>
      </c>
      <c r="AE39" s="1147" t="s">
        <v>493</v>
      </c>
      <c r="AF39" s="1380" t="s">
        <v>445</v>
      </c>
      <c r="AG39" s="2154" t="s">
        <v>446</v>
      </c>
      <c r="AH39" s="2156"/>
      <c r="AI39" s="2200"/>
      <c r="AJ39" s="2203"/>
      <c r="AK39" s="2066"/>
      <c r="AQ39" s="1080">
        <v>34</v>
      </c>
    </row>
    <row r="40" spans="1:43" s="1566" customFormat="1" ht="0" hidden="1" customHeight="1">
      <c r="A40" s="1295"/>
      <c r="B40" s="1295"/>
      <c r="C40" s="1295"/>
      <c r="D40" s="1295"/>
      <c r="E40" s="1295"/>
      <c r="F40" s="1295"/>
      <c r="G40" s="1295"/>
      <c r="H40" s="1295"/>
      <c r="I40" s="1295"/>
      <c r="J40" s="1295"/>
      <c r="K40" s="1295"/>
      <c r="L40" s="1289"/>
      <c r="M40" s="1287"/>
      <c r="N40" s="1287"/>
      <c r="O40" s="1287"/>
      <c r="P40" s="1171"/>
      <c r="Q40" s="1172"/>
      <c r="R40" s="1179">
        <v>1</v>
      </c>
      <c r="S40" s="1202" t="s">
        <v>109</v>
      </c>
      <c r="T40" s="1180" t="s">
        <v>110</v>
      </c>
      <c r="U40" s="1170" t="str">
        <f ca="1">OFFSET(U40,0,-1)</f>
        <v>2</v>
      </c>
      <c r="V40" s="1376">
        <f ca="1">OFFSET(V40,0,-1)+1</f>
        <v>3</v>
      </c>
      <c r="W40" s="1376">
        <f ca="1">OFFSET(W40,0,-1)+1</f>
        <v>4</v>
      </c>
      <c r="X40" s="1376">
        <f ca="1">OFFSET(X40,0,-1)+1</f>
        <v>5</v>
      </c>
      <c r="Y40" s="1376">
        <f ca="1">OFFSET(Y40,0,-1)+1</f>
        <v>6</v>
      </c>
      <c r="Z40" s="2193">
        <f ca="1">OFFSET(Z40,0,-1)+1</f>
        <v>7</v>
      </c>
      <c r="AA40" s="2193"/>
      <c r="AB40" s="1376">
        <f ca="1">OFFSET(AB40,0,-2)+1</f>
        <v>8</v>
      </c>
      <c r="AC40" s="1376">
        <f ca="1">OFFSET(AC40,0,-1)+1</f>
        <v>9</v>
      </c>
      <c r="AD40" s="1376">
        <f ca="1">OFFSET(AD40,0,-1)+1</f>
        <v>10</v>
      </c>
      <c r="AE40" s="1376">
        <f ca="1">OFFSET(AE40,0,-1)+1</f>
        <v>11</v>
      </c>
      <c r="AF40" s="1376">
        <f ca="1">OFFSET(AF40,0,-1)+1</f>
        <v>12</v>
      </c>
      <c r="AG40" s="2193">
        <f ca="1">OFFSET(AG40,0,-1)+1</f>
        <v>13</v>
      </c>
      <c r="AH40" s="2193"/>
      <c r="AI40" s="1376">
        <f ca="1">OFFSET(AI40,0,-2)+1</f>
        <v>14</v>
      </c>
      <c r="AJ40" s="1170">
        <f ca="1">OFFSET(AJ40,0,-1)</f>
        <v>14</v>
      </c>
      <c r="AK40" s="1376">
        <f ca="1">OFFSET(AK40,0,-1)+1</f>
        <v>15</v>
      </c>
      <c r="AL40" s="446"/>
      <c r="AM40" s="446"/>
      <c r="AN40" s="446"/>
      <c r="AO40" s="446"/>
      <c r="AP40" s="446"/>
      <c r="AQ40" s="431">
        <v>0</v>
      </c>
    </row>
    <row r="41" spans="1:43" ht="24" customHeight="1">
      <c r="A41" s="1288" t="s">
        <v>235</v>
      </c>
      <c r="B41" s="1288"/>
      <c r="C41" s="1288"/>
      <c r="D41" s="1288"/>
      <c r="E41" s="2186">
        <v>1</v>
      </c>
      <c r="F41" s="1288"/>
      <c r="G41" s="1288"/>
      <c r="H41" s="1288"/>
      <c r="I41" s="1288"/>
      <c r="J41" s="1288"/>
      <c r="K41" s="1288"/>
      <c r="L41" s="1289"/>
      <c r="M41" s="1290"/>
      <c r="N41" s="1290"/>
      <c r="O41" s="1290"/>
      <c r="P41" s="296"/>
      <c r="Q41" s="295"/>
      <c r="R41" s="290"/>
      <c r="S41" s="1382">
        <f>INDEX(PT_DIFFERENTIATION_NUM_NTAR,MATCH(A41,PT_DIFFERENTIATION_NTAR_ID,0))</f>
        <v>0</v>
      </c>
      <c r="T41" s="234" t="s">
        <v>124</v>
      </c>
      <c r="U41" s="236"/>
      <c r="V41" s="2172"/>
      <c r="W41" s="2173"/>
      <c r="X41" s="2173"/>
      <c r="Y41" s="2173"/>
      <c r="Z41" s="2173"/>
      <c r="AA41" s="2173"/>
      <c r="AB41" s="2174"/>
      <c r="AC41" s="2172" t="str">
        <f>INDEX(PT_DIFFERENTIATION_NTAR,MATCH(A41,PT_DIFFERENTIATION_NTAR_ID,0))</f>
        <v/>
      </c>
      <c r="AD41" s="2173"/>
      <c r="AE41" s="2173"/>
      <c r="AF41" s="2173"/>
      <c r="AG41" s="2173"/>
      <c r="AH41" s="2173"/>
      <c r="AI41" s="2173"/>
      <c r="AJ41" s="2174"/>
      <c r="AK41" s="1183"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41" s="435"/>
      <c r="AN41" s="435" t="str">
        <f t="shared" ref="AN41:AN53" si="1">IF(T41="","",T41)</f>
        <v>Наименование тарифа</v>
      </c>
      <c r="AO41" s="435"/>
      <c r="AP41" s="435"/>
      <c r="AQ41" s="1080">
        <v>23</v>
      </c>
    </row>
    <row r="42" spans="1:43" ht="24" customHeight="1">
      <c r="A42" s="1288" t="s">
        <v>235</v>
      </c>
      <c r="B42" s="1288" t="s">
        <v>236</v>
      </c>
      <c r="C42" s="1288"/>
      <c r="D42" s="1288"/>
      <c r="E42" s="2187"/>
      <c r="F42" s="2186">
        <v>1</v>
      </c>
      <c r="G42" s="1288"/>
      <c r="H42" s="1288"/>
      <c r="I42" s="1288"/>
      <c r="J42" s="1288"/>
      <c r="K42" s="1288"/>
      <c r="L42" s="1289"/>
      <c r="M42" s="1290"/>
      <c r="N42" s="1290"/>
      <c r="O42" s="1290"/>
      <c r="P42" s="1378"/>
      <c r="Q42" s="287"/>
      <c r="R42" s="288"/>
      <c r="S42" s="1382" t="str">
        <f>INDEX(PT_DIFFERENTIATION_NUM_TER,MATCH(B42,PT_DIFFERENTIATION_TER_ID,0))</f>
        <v>.</v>
      </c>
      <c r="T42" s="244" t="s">
        <v>396</v>
      </c>
      <c r="U42" s="236"/>
      <c r="V42" s="2172"/>
      <c r="W42" s="2173"/>
      <c r="X42" s="2173"/>
      <c r="Y42" s="2173"/>
      <c r="Z42" s="2173"/>
      <c r="AA42" s="2173"/>
      <c r="AB42" s="2174"/>
      <c r="AC42" s="2172" t="str">
        <f>INDEX(PT_DIFFERENTIATION_TER,MATCH(B42,PT_DIFFERENTIATION_TER_ID,0))</f>
        <v/>
      </c>
      <c r="AD42" s="2173"/>
      <c r="AE42" s="2173"/>
      <c r="AF42" s="2173"/>
      <c r="AG42" s="2173"/>
      <c r="AH42" s="2173"/>
      <c r="AI42" s="2173"/>
      <c r="AJ42" s="2174"/>
      <c r="AK42" s="1183" t="s">
        <v>397</v>
      </c>
      <c r="AM42" s="435"/>
      <c r="AN42" s="435" t="str">
        <f t="shared" si="1"/>
        <v>Территория действия тарифа</v>
      </c>
      <c r="AO42" s="435"/>
      <c r="AP42" s="435"/>
      <c r="AQ42" s="1080">
        <v>23</v>
      </c>
    </row>
    <row r="43" spans="1:43" ht="24" customHeight="1">
      <c r="A43" s="1288" t="s">
        <v>235</v>
      </c>
      <c r="B43" s="1288" t="s">
        <v>236</v>
      </c>
      <c r="C43" s="1288" t="s">
        <v>237</v>
      </c>
      <c r="D43" s="1288"/>
      <c r="E43" s="2187"/>
      <c r="F43" s="2187"/>
      <c r="G43" s="2186">
        <v>1</v>
      </c>
      <c r="H43" s="1288"/>
      <c r="I43" s="1288"/>
      <c r="J43" s="1288"/>
      <c r="K43" s="1288"/>
      <c r="L43" s="1289"/>
      <c r="M43" s="1290"/>
      <c r="N43" s="1290"/>
      <c r="O43" s="1290"/>
      <c r="P43" s="289"/>
      <c r="Q43" s="287"/>
      <c r="R43" s="288"/>
      <c r="S43" s="1382" t="str">
        <f>INDEX(PT_DIFFERENTIATION_NUM_CS,MATCH(C43,PT_DIFFERENTIATION_CS_ID,0))</f>
        <v>..</v>
      </c>
      <c r="T43" s="245" t="s">
        <v>480</v>
      </c>
      <c r="U43" s="236"/>
      <c r="V43" s="2172"/>
      <c r="W43" s="2173"/>
      <c r="X43" s="2173"/>
      <c r="Y43" s="2173"/>
      <c r="Z43" s="2173"/>
      <c r="AA43" s="2173"/>
      <c r="AB43" s="2174"/>
      <c r="AC43" s="2172" t="str">
        <f>INDEX(PT_DIFFERENTIATION_CS,MATCH(C43,PT_DIFFERENTIATION_CS_ID,0))</f>
        <v/>
      </c>
      <c r="AD43" s="2173"/>
      <c r="AE43" s="2173"/>
      <c r="AF43" s="2173"/>
      <c r="AG43" s="2173"/>
      <c r="AH43" s="2173"/>
      <c r="AI43" s="2173"/>
      <c r="AJ43" s="2174"/>
      <c r="AK43" s="1183" t="s">
        <v>481</v>
      </c>
      <c r="AM43" s="435"/>
      <c r="AN43" s="435" t="str">
        <f t="shared" si="1"/>
        <v>Наименование централизованной системы холодного водоснабжения</v>
      </c>
      <c r="AO43" s="435"/>
      <c r="AP43" s="435"/>
      <c r="AQ43" s="1080">
        <v>23</v>
      </c>
    </row>
    <row r="44" spans="1:43" ht="24" customHeight="1">
      <c r="A44" s="1288" t="s">
        <v>235</v>
      </c>
      <c r="B44" s="1288" t="s">
        <v>236</v>
      </c>
      <c r="C44" s="1288" t="s">
        <v>237</v>
      </c>
      <c r="D44" s="1288" t="s">
        <v>496</v>
      </c>
      <c r="E44" s="2187"/>
      <c r="F44" s="2187"/>
      <c r="G44" s="2187"/>
      <c r="H44" s="2187"/>
      <c r="I44" s="2184" t="str">
        <f>S43&amp;".1"</f>
        <v>...1</v>
      </c>
      <c r="J44" s="1288"/>
      <c r="K44" s="1288"/>
      <c r="L44" s="1289"/>
      <c r="P44" s="2185">
        <v>1</v>
      </c>
      <c r="Q44" s="1375"/>
      <c r="R44" s="291"/>
      <c r="S44" s="1382" t="str">
        <f>$I44</f>
        <v>...1</v>
      </c>
      <c r="T44" s="221" t="s">
        <v>482</v>
      </c>
      <c r="U44" s="236"/>
      <c r="V44" s="2253"/>
      <c r="W44" s="2254"/>
      <c r="X44" s="2254"/>
      <c r="Y44" s="2254"/>
      <c r="Z44" s="2254"/>
      <c r="AA44" s="2254"/>
      <c r="AB44" s="2255"/>
      <c r="AC44" s="2256"/>
      <c r="AD44" s="2257"/>
      <c r="AE44" s="2257"/>
      <c r="AF44" s="2257"/>
      <c r="AG44" s="2257"/>
      <c r="AH44" s="2257"/>
      <c r="AI44" s="2257"/>
      <c r="AJ44" s="2258"/>
      <c r="AK44" s="1183" t="s">
        <v>483</v>
      </c>
      <c r="AM44" s="435"/>
      <c r="AN44" s="435" t="str">
        <f t="shared" si="1"/>
        <v>Наименование признака дифференциации</v>
      </c>
      <c r="AO44" s="435"/>
      <c r="AP44" s="435"/>
      <c r="AQ44" s="1080">
        <v>23</v>
      </c>
    </row>
    <row r="45" spans="1:43" ht="24" customHeight="1">
      <c r="A45" s="1288" t="s">
        <v>235</v>
      </c>
      <c r="B45" s="1288" t="s">
        <v>236</v>
      </c>
      <c r="C45" s="1288" t="s">
        <v>237</v>
      </c>
      <c r="D45" s="1288" t="s">
        <v>496</v>
      </c>
      <c r="E45" s="2187"/>
      <c r="F45" s="2187"/>
      <c r="G45" s="2187"/>
      <c r="H45" s="2187"/>
      <c r="I45" s="2207"/>
      <c r="J45" s="2184" t="str">
        <f>I44&amp;".1"</f>
        <v>...1.1</v>
      </c>
      <c r="K45" s="1288"/>
      <c r="L45" s="1289" t="s">
        <v>405</v>
      </c>
      <c r="P45" s="2185"/>
      <c r="Q45" s="2185">
        <v>1</v>
      </c>
      <c r="R45" s="292"/>
      <c r="S45" s="1382" t="str">
        <f>$J45</f>
        <v>...1.1</v>
      </c>
      <c r="T45" s="222" t="s">
        <v>406</v>
      </c>
      <c r="U45" s="236"/>
      <c r="V45" s="2175"/>
      <c r="W45" s="2176"/>
      <c r="X45" s="2176"/>
      <c r="Y45" s="2176"/>
      <c r="Z45" s="2176"/>
      <c r="AA45" s="2176"/>
      <c r="AB45" s="2177"/>
      <c r="AC45" s="2175"/>
      <c r="AD45" s="2176"/>
      <c r="AE45" s="2176"/>
      <c r="AF45" s="2176"/>
      <c r="AG45" s="2176"/>
      <c r="AH45" s="2176"/>
      <c r="AI45" s="2176"/>
      <c r="AJ45" s="2177"/>
      <c r="AK45" s="1232" t="s">
        <v>484</v>
      </c>
      <c r="AM45" s="435"/>
      <c r="AN45" s="435" t="str">
        <f t="shared" si="1"/>
        <v>Группа потребителей</v>
      </c>
      <c r="AO45" s="435"/>
      <c r="AP45" s="435"/>
      <c r="AQ45" s="1080">
        <v>23</v>
      </c>
    </row>
    <row r="46" spans="1:43" ht="24" customHeight="1">
      <c r="A46" s="1288" t="s">
        <v>235</v>
      </c>
      <c r="B46" s="1288" t="s">
        <v>236</v>
      </c>
      <c r="C46" s="1288" t="s">
        <v>237</v>
      </c>
      <c r="D46" s="1288" t="s">
        <v>496</v>
      </c>
      <c r="E46" s="2187"/>
      <c r="F46" s="2187"/>
      <c r="G46" s="2187"/>
      <c r="H46" s="2187"/>
      <c r="I46" s="2207"/>
      <c r="J46" s="2207"/>
      <c r="K46" s="2184" t="str">
        <f>J45&amp;".1"</f>
        <v>...1.1.1</v>
      </c>
      <c r="L46" s="1289"/>
      <c r="P46" s="2185"/>
      <c r="Q46" s="2185"/>
      <c r="R46" s="292">
        <v>1</v>
      </c>
      <c r="S46" s="1382" t="str">
        <f>$K46</f>
        <v>...1.1.1</v>
      </c>
      <c r="T46" s="1362"/>
      <c r="U46" s="236"/>
      <c r="V46" s="686"/>
      <c r="W46" s="686"/>
      <c r="X46" s="1182"/>
      <c r="Y46" s="2189"/>
      <c r="Z46" s="2047" t="s">
        <v>66</v>
      </c>
      <c r="AA46" s="2189"/>
      <c r="AB46" s="2047" t="s">
        <v>66</v>
      </c>
      <c r="AC46" s="686"/>
      <c r="AD46" s="686"/>
      <c r="AE46" s="1182"/>
      <c r="AF46" s="2189"/>
      <c r="AG46" s="2047" t="s">
        <v>66</v>
      </c>
      <c r="AH46" s="2208"/>
      <c r="AI46" s="2047" t="s">
        <v>66</v>
      </c>
      <c r="AJ46" s="1363"/>
      <c r="AK46" s="2252"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46" s="446" t="e">
        <f ca="1">STRCHECKDATE(V47:AJ47)</f>
        <v>#NAME?</v>
      </c>
      <c r="AM46" s="435"/>
      <c r="AN46" s="435" t="str">
        <f t="shared" si="1"/>
        <v/>
      </c>
      <c r="AO46" s="435"/>
      <c r="AP46" s="435"/>
      <c r="AQ46" s="1080">
        <v>23</v>
      </c>
    </row>
    <row r="47" spans="1:43" ht="0" hidden="1" customHeight="1">
      <c r="A47" s="1288" t="s">
        <v>235</v>
      </c>
      <c r="B47" s="1288" t="s">
        <v>236</v>
      </c>
      <c r="C47" s="1288" t="s">
        <v>237</v>
      </c>
      <c r="D47" s="1288" t="s">
        <v>496</v>
      </c>
      <c r="E47" s="2187"/>
      <c r="F47" s="2187"/>
      <c r="G47" s="2187"/>
      <c r="H47" s="2187"/>
      <c r="I47" s="2207"/>
      <c r="J47" s="2207"/>
      <c r="K47" s="2184"/>
      <c r="L47" s="1289"/>
      <c r="P47" s="2185"/>
      <c r="Q47" s="2185"/>
      <c r="R47" s="292"/>
      <c r="S47" s="1381"/>
      <c r="T47" s="236"/>
      <c r="U47" s="236"/>
      <c r="V47" s="261"/>
      <c r="W47" s="261"/>
      <c r="X47" s="264" t="str">
        <f>Y46&amp;"-"&amp;AA46</f>
        <v>-</v>
      </c>
      <c r="Y47" s="2190"/>
      <c r="Z47" s="2047"/>
      <c r="AA47" s="2190"/>
      <c r="AB47" s="2047"/>
      <c r="AC47" s="261"/>
      <c r="AD47" s="261"/>
      <c r="AE47" s="264" t="str">
        <f>AF46&amp;"-"&amp;AH46</f>
        <v>-</v>
      </c>
      <c r="AF47" s="2190"/>
      <c r="AG47" s="2047"/>
      <c r="AH47" s="2209"/>
      <c r="AI47" s="2047"/>
      <c r="AJ47" s="1364"/>
      <c r="AK47" s="2252"/>
      <c r="AM47" s="435"/>
      <c r="AN47" s="435" t="str">
        <f t="shared" si="1"/>
        <v/>
      </c>
      <c r="AO47" s="435"/>
      <c r="AP47" s="435"/>
      <c r="AQ47" s="1080">
        <v>0</v>
      </c>
    </row>
    <row r="48" spans="1:43" ht="21" customHeight="1">
      <c r="A48" s="1288" t="s">
        <v>235</v>
      </c>
      <c r="B48" s="1288" t="s">
        <v>236</v>
      </c>
      <c r="C48" s="1288" t="s">
        <v>237</v>
      </c>
      <c r="D48" s="1288" t="s">
        <v>496</v>
      </c>
      <c r="E48" s="2187"/>
      <c r="F48" s="2187"/>
      <c r="G48" s="2187"/>
      <c r="H48" s="2187"/>
      <c r="I48" s="2207"/>
      <c r="J48" s="2184"/>
      <c r="K48" s="1288"/>
      <c r="L48" s="1289"/>
      <c r="P48" s="2185"/>
      <c r="Q48" s="2185"/>
      <c r="R48" s="291"/>
      <c r="S48" s="1203"/>
      <c r="T48" s="223" t="s">
        <v>485</v>
      </c>
      <c r="U48" s="302"/>
      <c r="V48" s="302"/>
      <c r="W48" s="302"/>
      <c r="X48" s="302"/>
      <c r="Y48" s="302"/>
      <c r="Z48" s="302"/>
      <c r="AA48" s="302"/>
      <c r="AB48" s="302"/>
      <c r="AC48" s="302"/>
      <c r="AD48" s="302"/>
      <c r="AE48" s="302"/>
      <c r="AF48" s="302"/>
      <c r="AG48" s="302"/>
      <c r="AH48" s="302"/>
      <c r="AI48" s="302"/>
      <c r="AJ48" s="302"/>
      <c r="AK48" s="1183" t="s">
        <v>486</v>
      </c>
      <c r="AM48" s="435"/>
      <c r="AN48" s="435" t="str">
        <f t="shared" si="1"/>
        <v>Добавить значение признака дифференциации</v>
      </c>
      <c r="AO48" s="435"/>
      <c r="AP48" s="435"/>
      <c r="AQ48" s="1080">
        <v>20</v>
      </c>
    </row>
    <row r="49" spans="1:43" ht="21.95" customHeight="1">
      <c r="A49" s="1288" t="s">
        <v>235</v>
      </c>
      <c r="B49" s="1288" t="s">
        <v>236</v>
      </c>
      <c r="C49" s="1288" t="s">
        <v>237</v>
      </c>
      <c r="D49" s="1288" t="s">
        <v>496</v>
      </c>
      <c r="E49" s="2187"/>
      <c r="F49" s="2187"/>
      <c r="G49" s="2187"/>
      <c r="H49" s="2187"/>
      <c r="I49" s="2184"/>
      <c r="J49" s="1288"/>
      <c r="K49" s="1288"/>
      <c r="L49" s="1289"/>
      <c r="P49" s="2185"/>
      <c r="Q49" s="1375"/>
      <c r="R49" s="291"/>
      <c r="S49" s="1203"/>
      <c r="T49" s="300" t="s">
        <v>411</v>
      </c>
      <c r="U49" s="302"/>
      <c r="V49" s="302"/>
      <c r="W49" s="302"/>
      <c r="X49" s="302"/>
      <c r="Y49" s="302"/>
      <c r="Z49" s="302"/>
      <c r="AA49" s="302"/>
      <c r="AB49" s="301"/>
      <c r="AC49" s="302"/>
      <c r="AD49" s="302"/>
      <c r="AE49" s="302"/>
      <c r="AF49" s="302"/>
      <c r="AG49" s="302"/>
      <c r="AH49" s="302"/>
      <c r="AI49" s="301"/>
      <c r="AJ49" s="302"/>
      <c r="AK49" s="1365"/>
      <c r="AM49" s="435"/>
      <c r="AN49" s="435" t="str">
        <f t="shared" si="1"/>
        <v>Добавить группу потребителей</v>
      </c>
      <c r="AO49" s="435"/>
      <c r="AP49" s="435"/>
      <c r="AQ49" s="1080">
        <v>21</v>
      </c>
    </row>
    <row r="50" spans="1:43" ht="21.95" customHeight="1">
      <c r="A50" s="1288" t="s">
        <v>235</v>
      </c>
      <c r="B50" s="1288" t="s">
        <v>236</v>
      </c>
      <c r="C50" s="1288" t="s">
        <v>237</v>
      </c>
      <c r="D50" s="1288" t="s">
        <v>496</v>
      </c>
      <c r="E50" s="2187"/>
      <c r="F50" s="2187"/>
      <c r="G50" s="2187"/>
      <c r="H50" s="2186"/>
      <c r="I50" s="1288"/>
      <c r="J50" s="1288"/>
      <c r="K50" s="1288"/>
      <c r="L50" s="1289"/>
      <c r="M50" s="1290"/>
      <c r="N50" s="1290"/>
      <c r="O50" s="472"/>
      <c r="P50" s="295"/>
      <c r="Q50" s="310"/>
      <c r="R50" s="290"/>
      <c r="S50" s="1203"/>
      <c r="T50" s="307" t="s">
        <v>487</v>
      </c>
      <c r="U50" s="302"/>
      <c r="V50" s="302"/>
      <c r="W50" s="302"/>
      <c r="X50" s="302"/>
      <c r="Y50" s="302"/>
      <c r="Z50" s="302"/>
      <c r="AA50" s="302"/>
      <c r="AB50" s="301"/>
      <c r="AC50" s="302"/>
      <c r="AD50" s="302"/>
      <c r="AE50" s="302"/>
      <c r="AF50" s="302"/>
      <c r="AG50" s="302"/>
      <c r="AH50" s="302"/>
      <c r="AI50" s="301"/>
      <c r="AJ50" s="302"/>
      <c r="AK50" s="239"/>
      <c r="AM50" s="435"/>
      <c r="AN50" s="435" t="str">
        <f t="shared" si="1"/>
        <v>Добавить наименование признака дифференциации</v>
      </c>
      <c r="AO50" s="435"/>
      <c r="AP50" s="435"/>
      <c r="AQ50" s="1080">
        <v>21</v>
      </c>
    </row>
    <row r="51" spans="1:43" s="1567" customFormat="1" ht="0" hidden="1" customHeight="1">
      <c r="A51" s="1268" t="s">
        <v>235</v>
      </c>
      <c r="B51" s="1268" t="s">
        <v>236</v>
      </c>
      <c r="C51" s="1239"/>
      <c r="D51" s="1239"/>
      <c r="E51" s="2187"/>
      <c r="F51" s="2186"/>
      <c r="G51" s="1239"/>
      <c r="H51" s="1239"/>
      <c r="I51" s="1239"/>
      <c r="J51" s="1239"/>
      <c r="K51" s="1239"/>
      <c r="L51" s="1383"/>
      <c r="M51" s="1246"/>
      <c r="N51" s="1246"/>
      <c r="P51" s="1241"/>
      <c r="Q51" s="1242"/>
      <c r="R51" s="1241"/>
      <c r="S51" s="1247"/>
      <c r="T51" s="1250" t="s">
        <v>414</v>
      </c>
      <c r="U51" s="1249"/>
      <c r="V51" s="1249"/>
      <c r="W51" s="1249"/>
      <c r="X51" s="1249"/>
      <c r="Y51" s="1249"/>
      <c r="Z51" s="1249"/>
      <c r="AA51" s="1249"/>
      <c r="AB51" s="1249"/>
      <c r="AC51" s="1249"/>
      <c r="AD51" s="1249"/>
      <c r="AE51" s="1249"/>
      <c r="AF51" s="1249"/>
      <c r="AG51" s="1249"/>
      <c r="AH51" s="1249"/>
      <c r="AI51" s="1249"/>
      <c r="AJ51" s="1249"/>
      <c r="AK51" s="1249"/>
      <c r="AM51" s="718"/>
      <c r="AN51" s="718" t="str">
        <f t="shared" si="1"/>
        <v>Добавить централизованную систему для дифференциации</v>
      </c>
      <c r="AO51" s="718"/>
      <c r="AP51" s="718"/>
      <c r="AQ51" s="453">
        <v>0</v>
      </c>
    </row>
    <row r="52" spans="1:43" s="1567" customFormat="1" ht="0" hidden="1" customHeight="1">
      <c r="A52" s="1268" t="s">
        <v>235</v>
      </c>
      <c r="B52" s="1268"/>
      <c r="C52" s="1268"/>
      <c r="D52" s="1268"/>
      <c r="E52" s="2186"/>
      <c r="F52" s="1268"/>
      <c r="G52" s="1268"/>
      <c r="H52" s="1268"/>
      <c r="I52" s="1268"/>
      <c r="J52" s="1268"/>
      <c r="K52" s="1268"/>
      <c r="L52" s="1271"/>
      <c r="M52" s="1246"/>
      <c r="N52" s="1246"/>
      <c r="O52" s="453"/>
      <c r="P52" s="315"/>
      <c r="Q52" s="1269"/>
      <c r="R52" s="315"/>
      <c r="S52" s="1247"/>
      <c r="T52" s="1250" t="s">
        <v>415</v>
      </c>
      <c r="U52" s="1249"/>
      <c r="V52" s="1249"/>
      <c r="W52" s="1249"/>
      <c r="X52" s="1249"/>
      <c r="Y52" s="1249"/>
      <c r="Z52" s="1249"/>
      <c r="AA52" s="1249"/>
      <c r="AB52" s="1249"/>
      <c r="AC52" s="1249"/>
      <c r="AD52" s="1249"/>
      <c r="AE52" s="1249"/>
      <c r="AF52" s="1249"/>
      <c r="AG52" s="1249"/>
      <c r="AH52" s="1249"/>
      <c r="AI52" s="1249"/>
      <c r="AJ52" s="1249"/>
      <c r="AK52" s="1249"/>
      <c r="AM52" s="435"/>
      <c r="AN52" s="435" t="str">
        <f t="shared" si="1"/>
        <v>Добавить территорию для дифференциации</v>
      </c>
      <c r="AO52" s="435"/>
      <c r="AP52" s="435"/>
      <c r="AQ52" s="446">
        <v>0</v>
      </c>
    </row>
    <row r="53" spans="1:43" s="1567" customFormat="1" ht="0" hidden="1" customHeight="1">
      <c r="A53" s="1239"/>
      <c r="B53" s="1239"/>
      <c r="C53" s="1239"/>
      <c r="D53" s="1239"/>
      <c r="E53" s="1268"/>
      <c r="F53" s="1239"/>
      <c r="G53" s="1239"/>
      <c r="H53" s="1239"/>
      <c r="I53" s="1239"/>
      <c r="J53" s="1239"/>
      <c r="K53" s="1239"/>
      <c r="L53" s="1383"/>
      <c r="M53" s="1246"/>
      <c r="N53" s="1246"/>
      <c r="P53" s="1241"/>
      <c r="Q53" s="1242"/>
      <c r="R53" s="1241"/>
      <c r="S53" s="1247"/>
      <c r="T53" s="1250" t="s">
        <v>447</v>
      </c>
      <c r="U53" s="1249"/>
      <c r="V53" s="1249"/>
      <c r="W53" s="1249"/>
      <c r="X53" s="1249"/>
      <c r="Y53" s="1249"/>
      <c r="Z53" s="1249"/>
      <c r="AA53" s="1249"/>
      <c r="AB53" s="1249"/>
      <c r="AC53" s="1249"/>
      <c r="AD53" s="1249"/>
      <c r="AE53" s="1249"/>
      <c r="AF53" s="1249"/>
      <c r="AG53" s="1249"/>
      <c r="AH53" s="1249"/>
      <c r="AI53" s="1249"/>
      <c r="AJ53" s="1249"/>
      <c r="AK53" s="1249"/>
      <c r="AM53" s="718"/>
      <c r="AN53" s="718" t="str">
        <f t="shared" si="1"/>
        <v>Добавить наименование тарифа</v>
      </c>
      <c r="AO53" s="718"/>
      <c r="AP53" s="718"/>
      <c r="AQ53" s="453">
        <v>0</v>
      </c>
    </row>
    <row r="54" spans="1:43" ht="11.45" customHeight="1">
      <c r="M54" s="1085"/>
      <c r="N54" s="1085"/>
      <c r="O54" s="472"/>
      <c r="P54" s="1080"/>
      <c r="Q54" s="1080"/>
      <c r="R54" s="1080"/>
      <c r="S54" s="1080"/>
      <c r="AL54" s="1080"/>
      <c r="AM54" s="1080"/>
      <c r="AN54" s="1080"/>
      <c r="AO54" s="1080"/>
      <c r="AP54" s="1080"/>
      <c r="AQ54" s="1080">
        <v>11</v>
      </c>
    </row>
    <row r="55" spans="1:43" ht="14.65" customHeight="1">
      <c r="O55" s="472"/>
      <c r="S55" s="1178"/>
      <c r="T55" s="2206"/>
      <c r="U55" s="2206"/>
      <c r="V55" s="2206"/>
      <c r="W55" s="2206"/>
      <c r="X55" s="2206"/>
      <c r="Y55" s="2206"/>
      <c r="Z55" s="2206"/>
      <c r="AA55" s="2206"/>
      <c r="AB55" s="2206"/>
      <c r="AC55" s="2206"/>
      <c r="AD55" s="2206"/>
      <c r="AE55" s="2206"/>
      <c r="AF55" s="2206"/>
      <c r="AG55" s="2206"/>
      <c r="AH55" s="2206"/>
      <c r="AI55" s="2206"/>
      <c r="AJ55" s="2206"/>
      <c r="AK55" s="2206"/>
      <c r="AQ55" s="1080">
        <v>14</v>
      </c>
    </row>
    <row r="56" spans="1:43" ht="14.65" customHeight="1">
      <c r="O56" s="472"/>
      <c r="AQ56" s="1080">
        <v>14</v>
      </c>
    </row>
    <row r="57" spans="1:43" ht="14.65" customHeight="1">
      <c r="O57" s="472"/>
      <c r="S57" s="1178"/>
      <c r="T57" s="2206"/>
      <c r="U57" s="2206"/>
      <c r="V57" s="2206"/>
      <c r="W57" s="2206"/>
      <c r="X57" s="2206"/>
      <c r="Y57" s="2206"/>
      <c r="Z57" s="2206"/>
      <c r="AA57" s="2206"/>
      <c r="AB57" s="2206"/>
      <c r="AC57" s="2206"/>
      <c r="AD57" s="2206"/>
      <c r="AE57" s="2206"/>
      <c r="AF57" s="2206"/>
      <c r="AG57" s="2206"/>
      <c r="AH57" s="2206"/>
      <c r="AI57" s="2206"/>
      <c r="AJ57" s="2206"/>
      <c r="AK57" s="2206"/>
      <c r="AQ57" s="1080">
        <v>14</v>
      </c>
    </row>
    <row r="58" spans="1:43" ht="22.5" hidden="1" customHeight="1">
      <c r="A58" s="1085" t="s">
        <v>82</v>
      </c>
      <c r="B58" s="1085">
        <v>0</v>
      </c>
      <c r="C58" s="1085">
        <v>0</v>
      </c>
      <c r="D58" s="1085">
        <v>0</v>
      </c>
      <c r="E58" s="1085">
        <v>0</v>
      </c>
      <c r="F58" s="1085">
        <v>0</v>
      </c>
      <c r="G58" s="1085">
        <v>0</v>
      </c>
      <c r="H58" s="1085">
        <v>0</v>
      </c>
      <c r="I58" s="1085">
        <v>0</v>
      </c>
      <c r="J58" s="1085">
        <v>0</v>
      </c>
      <c r="K58" s="1085">
        <v>0</v>
      </c>
      <c r="L58" s="1372">
        <v>0</v>
      </c>
      <c r="M58" s="1287">
        <v>0</v>
      </c>
      <c r="N58" s="1287">
        <v>0</v>
      </c>
      <c r="O58" s="1287">
        <v>0</v>
      </c>
      <c r="P58" s="1371">
        <v>3</v>
      </c>
      <c r="Q58" s="280">
        <v>3</v>
      </c>
      <c r="R58" s="280">
        <v>3</v>
      </c>
      <c r="S58" s="516">
        <v>12</v>
      </c>
      <c r="T58" s="1080">
        <v>35</v>
      </c>
      <c r="U58" s="1080">
        <v>0</v>
      </c>
      <c r="V58" s="1080">
        <v>0</v>
      </c>
      <c r="W58" s="1080">
        <v>0</v>
      </c>
      <c r="X58" s="1080">
        <v>0</v>
      </c>
      <c r="Y58" s="1080">
        <v>0</v>
      </c>
      <c r="Z58" s="1080">
        <v>0</v>
      </c>
      <c r="AA58" s="1080">
        <v>0</v>
      </c>
      <c r="AB58" s="1080">
        <v>0</v>
      </c>
      <c r="AC58" s="1080">
        <v>24</v>
      </c>
      <c r="AD58" s="1080">
        <v>24</v>
      </c>
      <c r="AE58" s="1080">
        <v>24</v>
      </c>
      <c r="AF58" s="1080">
        <v>11</v>
      </c>
      <c r="AG58" s="1080">
        <v>3</v>
      </c>
      <c r="AH58" s="1080">
        <v>11</v>
      </c>
      <c r="AI58" s="1080">
        <v>0</v>
      </c>
      <c r="AJ58" s="1080">
        <v>4</v>
      </c>
      <c r="AK58" s="1080">
        <v>115</v>
      </c>
      <c r="AL58" s="446">
        <v>10</v>
      </c>
      <c r="AM58" s="446">
        <v>10</v>
      </c>
      <c r="AN58" s="446">
        <v>10</v>
      </c>
      <c r="AO58" s="446">
        <v>10</v>
      </c>
      <c r="AP58" s="446">
        <v>10</v>
      </c>
      <c r="AQ58" s="1080">
        <v>23</v>
      </c>
    </row>
  </sheetData>
  <sheetProtection formatColumns="0" formatRows="0" insertRows="0" deleteColumns="0" deleteRows="0" sort="0" autoFilter="0"/>
  <mergeCells count="101">
    <mergeCell ref="AK46:AK47"/>
    <mergeCell ref="T55:AK55"/>
    <mergeCell ref="T57:AK57"/>
    <mergeCell ref="K46:K47"/>
    <mergeCell ref="Y46:Y47"/>
    <mergeCell ref="Z46:Z47"/>
    <mergeCell ref="AA46:AA47"/>
    <mergeCell ref="AB46:AB47"/>
    <mergeCell ref="AF46:AF47"/>
    <mergeCell ref="Z40:AA40"/>
    <mergeCell ref="AG40:AH40"/>
    <mergeCell ref="E41:E52"/>
    <mergeCell ref="V41:AB41"/>
    <mergeCell ref="AC41:AJ41"/>
    <mergeCell ref="F42:F51"/>
    <mergeCell ref="V42:AB42"/>
    <mergeCell ref="AC42:AJ42"/>
    <mergeCell ref="G43:G50"/>
    <mergeCell ref="V43:AB43"/>
    <mergeCell ref="AC43:AJ43"/>
    <mergeCell ref="H44:H50"/>
    <mergeCell ref="I44:I49"/>
    <mergeCell ref="P44:P49"/>
    <mergeCell ref="V44:AB44"/>
    <mergeCell ref="AC44:AJ44"/>
    <mergeCell ref="J45:J48"/>
    <mergeCell ref="Q45:Q48"/>
    <mergeCell ref="V45:AB45"/>
    <mergeCell ref="AC45:AJ45"/>
    <mergeCell ref="AG46:AG47"/>
    <mergeCell ref="AH46:AH47"/>
    <mergeCell ref="AI46:AI47"/>
    <mergeCell ref="AK36:AK39"/>
    <mergeCell ref="S37:S39"/>
    <mergeCell ref="T37:T39"/>
    <mergeCell ref="V37:AA37"/>
    <mergeCell ref="AB37:AB39"/>
    <mergeCell ref="AC37:AH37"/>
    <mergeCell ref="AI37:AI39"/>
    <mergeCell ref="S32:T32"/>
    <mergeCell ref="V32:AA32"/>
    <mergeCell ref="AC32:AH32"/>
    <mergeCell ref="S33:T33"/>
    <mergeCell ref="V33:AA33"/>
    <mergeCell ref="AC33:AH33"/>
    <mergeCell ref="AJ37:AJ39"/>
    <mergeCell ref="W38:X38"/>
    <mergeCell ref="Y38:AA38"/>
    <mergeCell ref="AD38:AE38"/>
    <mergeCell ref="AF38:AH38"/>
    <mergeCell ref="Z39:AA39"/>
    <mergeCell ref="AG39:AH39"/>
    <mergeCell ref="V35:AB35"/>
    <mergeCell ref="AC35:AI35"/>
    <mergeCell ref="S36:AJ36"/>
    <mergeCell ref="S29:T29"/>
    <mergeCell ref="V29:AA29"/>
    <mergeCell ref="AC29:AH29"/>
    <mergeCell ref="S30:T30"/>
    <mergeCell ref="V30:AA30"/>
    <mergeCell ref="AC30:AH30"/>
    <mergeCell ref="S24:AH24"/>
    <mergeCell ref="S25:AH25"/>
    <mergeCell ref="S27:T27"/>
    <mergeCell ref="V27:AA27"/>
    <mergeCell ref="AC27:AH27"/>
    <mergeCell ref="S28:T28"/>
    <mergeCell ref="V28:AA28"/>
    <mergeCell ref="AC28:AH28"/>
    <mergeCell ref="AK7:AK8"/>
    <mergeCell ref="AF15:AF16"/>
    <mergeCell ref="AG15:AG16"/>
    <mergeCell ref="AH15:AH16"/>
    <mergeCell ref="AI15:AI16"/>
    <mergeCell ref="Z7:Z8"/>
    <mergeCell ref="AA7:AA8"/>
    <mergeCell ref="AB7:AB8"/>
    <mergeCell ref="AF7:AF8"/>
    <mergeCell ref="AG7:AG8"/>
    <mergeCell ref="AH7:AH8"/>
    <mergeCell ref="E2:E13"/>
    <mergeCell ref="V2:AB2"/>
    <mergeCell ref="AC2:AJ2"/>
    <mergeCell ref="F3:F12"/>
    <mergeCell ref="V3:AB3"/>
    <mergeCell ref="AC3:AJ3"/>
    <mergeCell ref="G4:G11"/>
    <mergeCell ref="V4:AB4"/>
    <mergeCell ref="AC4:AJ4"/>
    <mergeCell ref="H5:H11"/>
    <mergeCell ref="I5:I10"/>
    <mergeCell ref="P5:P10"/>
    <mergeCell ref="V5:AB5"/>
    <mergeCell ref="AC5:AJ5"/>
    <mergeCell ref="J6:J9"/>
    <mergeCell ref="Q6:Q9"/>
    <mergeCell ref="V6:AB6"/>
    <mergeCell ref="AC6:AJ6"/>
    <mergeCell ref="K7:K8"/>
    <mergeCell ref="Y7:Y8"/>
    <mergeCell ref="AI7:AI8"/>
  </mergeCells>
  <dataValidations count="8">
    <dataValidation type="list" allowBlank="1" showInputMessage="1" errorTitle="Ошибка" error="Выберите значение из списка" prompt="Выберите значение из списка" sqref="V983081:AJ983081 V65577:AJ65577 V131113:AJ131113 V196649:AJ196649 V262185:AJ262185 V327721:AJ327721 V393257:AJ393257 V458793:AJ458793 V524329:AJ524329 V589865:AJ589865 V655401:AJ655401 V720937:AJ720937 V786473:AJ786473 V852009:AJ852009 V917545:AJ917545">
      <formula1>kind_of_cons</formula1>
    </dataValidation>
    <dataValidation allowBlank="1" sqref="S131116:AK131122 S196652:AK196658 S262188:AK262194 S327724:AK327730 S393260:AK393266 S458796:AK458802 S524332:AK524338 S589868:AK589874 S655404:AK655410 S720940:AK720946 S786476:AK786482 S852012:AK852018 S917548:AK917554 S983084:AK983090 S65580:AK65586"/>
    <dataValidation allowBlank="1" showInputMessage="1" showErrorMessage="1" prompt="Для выбора выполните двойной щелчок левой клавиши мыши по соответствующей ячейке." sqref="Z65578 Z131114 Z196650 Z262186 Z327722 Z393258 Z458794 Z524330 Z589866 Z655402 Z720938 Z786474 Z852010 Z917546 Z983082 AB131114 AB458794 AB196650 AB262186 AB327722 AB393258 AB524330 AB589866 AB655402 AB720938 AB786474 AB852010 AB917546 AB983082 AB65578 AG65578 AG131114 AG196650 AG262186 AG327722 AG393258 AG458794 AG524330 AG589866 AG655402 AG720938 AG786474 AG852010 AG917546 AG983082 AI46 AI524330 AI196650 AI589866 AI655402 AI15 AI720938 AI786474 AI852010 AI917546 AI983082 AI65578 AI131114 AI458794 AI262186 AG46 AI7 Z46 AB46 AG15 AG7 Z7 AB7 AI327722 AI393258"/>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Y65578 Y131114 Y196650 Y262186 Y327722 Y393258 Y458794 Y524330 Y589866 Y655402 Y720938 Y786474 Y852010 Y917546 Y983082 AA65578 AA131114 AA196650 AA262186 AA327722 AA393258 AA458794 AA524330 AA589866 AA655402 AA720938 AA786474 AA852010 AA917546 AA983082 AF15 AF65578 AF131114 AF196650 AF262186 AF327722 AF393258 AF458794 AF524330 AF589866 AF655402 AF720938 AF786474 AF852010 AF917546 AF983082 AH65578 AH131114 AH196650 AH262186 AH327722 AH393258 AH458794 AH524330 AH589866 AH655402 AH720938 AH786474 AH852010 AH917546 AH983082 AH46 AF46 AH15 Y46 AA46 AH7 AF7 Y7 AA7"/>
    <dataValidation type="list" allowBlank="1" showInputMessage="1" showErrorMessage="1" errorTitle="Ошибка" error="Выберите значение из списка" sqref="T65578 T131114 T196650 T262186 T327722 T393258 T458794 T524330 T589866 T655402 T720938 T786474 T852010 T917546 T983082">
      <formula1>kind_of_heat_transfer</formula1>
    </dataValidation>
    <dataValidation type="textLength" operator="lessThanOrEqual" allowBlank="1" showInputMessage="1" showErrorMessage="1" errorTitle="Ошибка" error="Допускается ввод не более 900 символов!" sqref="AK65572:AK65579 AK131108:AK131115 AK196644:AK196651 AK262180:AK262187 AK327716:AK327723 AK393252:AK393259 AK458788:AK458795 AK524324:AK524331 AK589860:AK589867 AK655396:AK655403 AK720932:AK720939 AK786468:AK786475 AK852004:AK852011 AK917540:AK917547 AK983076:AK983083 T46 T7 AC44:AJ44 AC5:AJ5">
      <formula1>900</formula1>
    </dataValidation>
    <dataValidation type="list" allowBlank="1" showInputMessage="1" showErrorMessage="1" errorTitle="Ошибка" error="Выберите значение из списка" sqref="V983080 V65576 V131112 V196648 V262184 V327720 V393256 V458792 V524328 V589864 V655400 V720936 V786472 V852008 V917544 AC983080 AC65576 AC131112 AC196648 AC262184 AC327720 AC393256 AC458792 AC524328 AC589864 AC655400 AC720936 AC786472 AC852008 AC917544">
      <formula1>kind_of_scheme_in</formula1>
    </dataValidation>
    <dataValidation allowBlank="1" promptTitle="checkPeriodRange" sqref="X65579 X131115 X196651 X262187 X327723 X393259 X458795 X524331 X589867 X655403 X720939 X786475 X852011 X917547 X983083 AE16 AE65579 AE131115 AE196651 AE262187 AE327723 AE393259 AE458795 AE524331 AE589867 AE655403 AE720939 AE786475 AE852011 AE917547 AE983083 X47 AE8 X8 AE47"/>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6" tint="0.39997558519241921"/>
  </sheetPr>
  <dimension ref="A1:AQ58"/>
  <sheetViews>
    <sheetView showGridLines="0" zoomScale="90" workbookViewId="0">
      <pane xSplit="28" ySplit="40" topLeftCell="AC41" activePane="bottomRight" state="frozen"/>
      <selection pane="topRight" activeCell="AC1" sqref="AC1"/>
      <selection pane="bottomLeft" activeCell="A41" sqref="A41"/>
      <selection pane="bottomRight"/>
    </sheetView>
  </sheetViews>
  <sheetFormatPr defaultColWidth="10.5703125" defaultRowHeight="14.25" customHeight="1"/>
  <cols>
    <col min="1" max="1" width="10.5703125" style="1291" hidden="1"/>
    <col min="2" max="2" width="11" style="1291" hidden="1" customWidth="1"/>
    <col min="3" max="3" width="10.5703125" style="1291" hidden="1"/>
    <col min="4" max="4" width="11.85546875" style="1291" hidden="1" customWidth="1"/>
    <col min="5" max="5" width="10" style="1291" hidden="1" customWidth="1"/>
    <col min="6" max="6" width="8.7109375" style="1291" hidden="1" customWidth="1"/>
    <col min="7" max="7" width="7.5703125" style="1291" hidden="1" customWidth="1"/>
    <col min="8" max="8" width="11.42578125" style="1291" hidden="1" customWidth="1"/>
    <col min="9" max="9" width="14.140625" style="1291" hidden="1" customWidth="1"/>
    <col min="10" max="10" width="9.85546875" style="1291" hidden="1" customWidth="1"/>
    <col min="11" max="11" width="14.7109375" style="1291" hidden="1" customWidth="1"/>
    <col min="12" max="12" width="19.140625" style="2002" hidden="1" customWidth="1"/>
    <col min="13" max="14" width="12.28515625" style="1701" hidden="1" customWidth="1"/>
    <col min="15" max="15" width="23.42578125" style="1701" hidden="1" customWidth="1"/>
    <col min="16" max="16" width="3" style="2000" customWidth="1"/>
    <col min="17" max="18" width="3" style="280" customWidth="1"/>
    <col min="19" max="19" width="12" style="2001" customWidth="1"/>
    <col min="20" max="20" width="35" style="1560" customWidth="1"/>
    <col min="21" max="21" width="0.140625" style="1560" customWidth="1"/>
    <col min="22" max="24" width="24.7109375" style="1560" hidden="1" customWidth="1"/>
    <col min="25" max="25" width="11.7109375" style="1560" hidden="1" customWidth="1"/>
    <col min="26" max="26" width="3.7109375" style="1560" hidden="1" customWidth="1"/>
    <col min="27" max="27" width="11.7109375" style="1560" hidden="1" customWidth="1"/>
    <col min="28" max="28" width="8.5703125" style="1560" hidden="1" customWidth="1"/>
    <col min="29" max="29" width="24.7109375" style="1560" customWidth="1"/>
    <col min="30" max="31" width="24" style="1560" customWidth="1"/>
    <col min="32" max="32" width="11" style="1560" customWidth="1"/>
    <col min="33" max="33" width="3.7109375" style="1560" customWidth="1"/>
    <col min="34" max="34" width="11" style="1560" customWidth="1"/>
    <col min="35" max="35" width="8.5703125" style="1560" hidden="1" customWidth="1"/>
    <col min="36" max="36" width="4" style="1560" customWidth="1"/>
    <col min="37" max="37" width="115" style="1560" customWidth="1"/>
    <col min="38" max="42" width="10" style="1567" customWidth="1"/>
    <col min="43" max="43" width="10.5703125" style="1560" hidden="1"/>
  </cols>
  <sheetData>
    <row r="1" spans="1:43" ht="22.5" hidden="1" customHeight="1">
      <c r="X1" s="263"/>
      <c r="Y1" s="263"/>
      <c r="AE1" s="263"/>
      <c r="AF1" s="263"/>
      <c r="AQ1" s="1080" t="s">
        <v>14</v>
      </c>
    </row>
    <row r="2" spans="1:43" ht="23.25" hidden="1" customHeight="1">
      <c r="A2" s="1288"/>
      <c r="B2" s="1288"/>
      <c r="C2" s="1288"/>
      <c r="D2" s="1288"/>
      <c r="E2" s="2186">
        <v>1</v>
      </c>
      <c r="F2" s="1288"/>
      <c r="G2" s="1288"/>
      <c r="H2" s="1288"/>
      <c r="I2" s="1288"/>
      <c r="J2" s="1288"/>
      <c r="K2" s="1288"/>
      <c r="L2" s="1289"/>
      <c r="M2" s="1290"/>
      <c r="N2" s="1290"/>
      <c r="O2" s="1290"/>
      <c r="P2" s="296"/>
      <c r="Q2" s="295"/>
      <c r="R2" s="290"/>
      <c r="S2" s="1382" t="e">
        <f>INDEX(PT_DIFFERENTIATION_NUM_NTAR,MATCH(A2,PT_DIFFERENTIATION_NTAR_ID,0))</f>
        <v>#N/A</v>
      </c>
      <c r="T2" s="234" t="s">
        <v>124</v>
      </c>
      <c r="U2" s="236"/>
      <c r="V2" s="2172"/>
      <c r="W2" s="2173"/>
      <c r="X2" s="2173"/>
      <c r="Y2" s="2173"/>
      <c r="Z2" s="2173"/>
      <c r="AA2" s="2173"/>
      <c r="AB2" s="2174"/>
      <c r="AC2" s="2172" t="e">
        <f>INDEX(PT_DIFFERENTIATION_NTAR,MATCH(A2,PT_DIFFERENTIATION_NTAR_ID,0))</f>
        <v>#N/A</v>
      </c>
      <c r="AD2" s="2173"/>
      <c r="AE2" s="2173"/>
      <c r="AF2" s="2173"/>
      <c r="AG2" s="2173"/>
      <c r="AH2" s="2173"/>
      <c r="AI2" s="2173"/>
      <c r="AJ2" s="2174"/>
      <c r="AK2" s="1183"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2" s="435"/>
      <c r="AN2" s="435" t="str">
        <f t="shared" ref="AN2:AN13" si="0">IF(T2="","",T2)</f>
        <v>Наименование тарифа</v>
      </c>
      <c r="AO2" s="435"/>
      <c r="AP2" s="435"/>
      <c r="AQ2" s="1080">
        <v>0</v>
      </c>
    </row>
    <row r="3" spans="1:43" ht="23.25" hidden="1" customHeight="1">
      <c r="A3" s="1288"/>
      <c r="B3" s="1288"/>
      <c r="C3" s="1288"/>
      <c r="D3" s="1288"/>
      <c r="E3" s="2187"/>
      <c r="F3" s="2186">
        <v>1</v>
      </c>
      <c r="G3" s="1288"/>
      <c r="H3" s="1288"/>
      <c r="I3" s="1288"/>
      <c r="J3" s="1288"/>
      <c r="K3" s="1288"/>
      <c r="L3" s="1289"/>
      <c r="M3" s="1290"/>
      <c r="N3" s="1290"/>
      <c r="O3" s="1290"/>
      <c r="P3" s="1378"/>
      <c r="Q3" s="287"/>
      <c r="R3" s="288"/>
      <c r="S3" s="1382" t="e">
        <f>INDEX(PT_DIFFERENTIATION_NUM_TER,MATCH(B3,PT_DIFFERENTIATION_TER_ID,0))</f>
        <v>#N/A</v>
      </c>
      <c r="T3" s="244" t="s">
        <v>396</v>
      </c>
      <c r="U3" s="236"/>
      <c r="V3" s="2172"/>
      <c r="W3" s="2173"/>
      <c r="X3" s="2173"/>
      <c r="Y3" s="2173"/>
      <c r="Z3" s="2173"/>
      <c r="AA3" s="2173"/>
      <c r="AB3" s="2174"/>
      <c r="AC3" s="2172" t="e">
        <f>INDEX(PT_DIFFERENTIATION_TER,MATCH(B3,PT_DIFFERENTIATION_TER_ID,0))</f>
        <v>#N/A</v>
      </c>
      <c r="AD3" s="2173"/>
      <c r="AE3" s="2173"/>
      <c r="AF3" s="2173"/>
      <c r="AG3" s="2173"/>
      <c r="AH3" s="2173"/>
      <c r="AI3" s="2173"/>
      <c r="AJ3" s="2174"/>
      <c r="AK3" s="1183" t="s">
        <v>397</v>
      </c>
      <c r="AM3" s="435"/>
      <c r="AN3" s="435" t="str">
        <f t="shared" si="0"/>
        <v>Территория действия тарифа</v>
      </c>
      <c r="AO3" s="435"/>
      <c r="AP3" s="435"/>
      <c r="AQ3" s="1080">
        <v>0</v>
      </c>
    </row>
    <row r="4" spans="1:43" ht="23.25" hidden="1" customHeight="1">
      <c r="A4" s="1288"/>
      <c r="B4" s="1288"/>
      <c r="C4" s="1288"/>
      <c r="D4" s="1288"/>
      <c r="E4" s="2187"/>
      <c r="F4" s="2187"/>
      <c r="G4" s="2186">
        <v>1</v>
      </c>
      <c r="H4" s="1288"/>
      <c r="I4" s="1288"/>
      <c r="J4" s="1288"/>
      <c r="K4" s="1288"/>
      <c r="L4" s="1289"/>
      <c r="M4" s="1290"/>
      <c r="N4" s="1290"/>
      <c r="O4" s="1290"/>
      <c r="P4" s="289"/>
      <c r="Q4" s="287"/>
      <c r="R4" s="288"/>
      <c r="S4" s="1382" t="e">
        <f>INDEX(PT_DIFFERENTIATION_NUM_CS,MATCH(C4,PT_DIFFERENTIATION_CS_ID,0))</f>
        <v>#N/A</v>
      </c>
      <c r="T4" s="245" t="s">
        <v>480</v>
      </c>
      <c r="U4" s="236"/>
      <c r="V4" s="2172"/>
      <c r="W4" s="2173"/>
      <c r="X4" s="2173"/>
      <c r="Y4" s="2173"/>
      <c r="Z4" s="2173"/>
      <c r="AA4" s="2173"/>
      <c r="AB4" s="2174"/>
      <c r="AC4" s="2172" t="e">
        <f>INDEX(PT_DIFFERENTIATION_CS,MATCH(C4,PT_DIFFERENTIATION_CS_ID,0))</f>
        <v>#N/A</v>
      </c>
      <c r="AD4" s="2173"/>
      <c r="AE4" s="2173"/>
      <c r="AF4" s="2173"/>
      <c r="AG4" s="2173"/>
      <c r="AH4" s="2173"/>
      <c r="AI4" s="2173"/>
      <c r="AJ4" s="2174"/>
      <c r="AK4" s="1183" t="s">
        <v>481</v>
      </c>
      <c r="AM4" s="435"/>
      <c r="AN4" s="435" t="str">
        <f t="shared" si="0"/>
        <v>Наименование централизованной системы холодного водоснабжения</v>
      </c>
      <c r="AO4" s="435"/>
      <c r="AP4" s="435"/>
      <c r="AQ4" s="1080">
        <v>0</v>
      </c>
    </row>
    <row r="5" spans="1:43" ht="23.25" hidden="1" customHeight="1">
      <c r="A5" s="1288"/>
      <c r="B5" s="1288"/>
      <c r="C5" s="1288"/>
      <c r="D5" s="1288"/>
      <c r="E5" s="2187"/>
      <c r="F5" s="2187"/>
      <c r="G5" s="2187"/>
      <c r="H5" s="2187"/>
      <c r="I5" s="2184" t="e">
        <f>S4&amp;".1"</f>
        <v>#N/A</v>
      </c>
      <c r="J5" s="1288"/>
      <c r="K5" s="1288"/>
      <c r="L5" s="1289"/>
      <c r="P5" s="2185">
        <v>1</v>
      </c>
      <c r="Q5" s="1375"/>
      <c r="R5" s="291"/>
      <c r="S5" s="1382" t="e">
        <f>$I5</f>
        <v>#N/A</v>
      </c>
      <c r="T5" s="221" t="s">
        <v>482</v>
      </c>
      <c r="U5" s="236"/>
      <c r="V5" s="2253"/>
      <c r="W5" s="2254"/>
      <c r="X5" s="2254"/>
      <c r="Y5" s="2254"/>
      <c r="Z5" s="2254"/>
      <c r="AA5" s="2254"/>
      <c r="AB5" s="2255"/>
      <c r="AC5" s="2256"/>
      <c r="AD5" s="2257"/>
      <c r="AE5" s="2257"/>
      <c r="AF5" s="2257"/>
      <c r="AG5" s="2257"/>
      <c r="AH5" s="2257"/>
      <c r="AI5" s="2257"/>
      <c r="AJ5" s="2258"/>
      <c r="AK5" s="1183" t="s">
        <v>483</v>
      </c>
      <c r="AM5" s="435"/>
      <c r="AN5" s="435" t="str">
        <f t="shared" si="0"/>
        <v>Наименование признака дифференциации</v>
      </c>
      <c r="AO5" s="435"/>
      <c r="AP5" s="435"/>
      <c r="AQ5" s="1080">
        <v>0</v>
      </c>
    </row>
    <row r="6" spans="1:43" ht="23.25" hidden="1" customHeight="1">
      <c r="A6" s="1288"/>
      <c r="B6" s="1288"/>
      <c r="C6" s="1288"/>
      <c r="D6" s="1288"/>
      <c r="E6" s="2187"/>
      <c r="F6" s="2187"/>
      <c r="G6" s="2187"/>
      <c r="H6" s="2187"/>
      <c r="I6" s="2207"/>
      <c r="J6" s="2184" t="e">
        <f>I5&amp;".1"</f>
        <v>#N/A</v>
      </c>
      <c r="K6" s="1288"/>
      <c r="L6" s="1289" t="s">
        <v>405</v>
      </c>
      <c r="P6" s="2185"/>
      <c r="Q6" s="2185">
        <v>1</v>
      </c>
      <c r="R6" s="292"/>
      <c r="S6" s="1382" t="e">
        <f>$J6</f>
        <v>#N/A</v>
      </c>
      <c r="T6" s="222" t="s">
        <v>406</v>
      </c>
      <c r="U6" s="236"/>
      <c r="V6" s="2175"/>
      <c r="W6" s="2176"/>
      <c r="X6" s="2176"/>
      <c r="Y6" s="2176"/>
      <c r="Z6" s="2176"/>
      <c r="AA6" s="2176"/>
      <c r="AB6" s="2177"/>
      <c r="AC6" s="2175"/>
      <c r="AD6" s="2176"/>
      <c r="AE6" s="2176"/>
      <c r="AF6" s="2176"/>
      <c r="AG6" s="2176"/>
      <c r="AH6" s="2176"/>
      <c r="AI6" s="2176"/>
      <c r="AJ6" s="2177"/>
      <c r="AK6" s="1232" t="s">
        <v>484</v>
      </c>
      <c r="AM6" s="435"/>
      <c r="AN6" s="435" t="str">
        <f t="shared" si="0"/>
        <v>Группа потребителей</v>
      </c>
      <c r="AO6" s="435"/>
      <c r="AP6" s="435"/>
      <c r="AQ6" s="1080">
        <v>0</v>
      </c>
    </row>
    <row r="7" spans="1:43" ht="23.25" hidden="1" customHeight="1">
      <c r="A7" s="1288"/>
      <c r="B7" s="1288"/>
      <c r="C7" s="1288"/>
      <c r="D7" s="1288"/>
      <c r="E7" s="2187"/>
      <c r="F7" s="2187"/>
      <c r="G7" s="2187"/>
      <c r="H7" s="2187"/>
      <c r="I7" s="2207"/>
      <c r="J7" s="2207"/>
      <c r="K7" s="2184" t="e">
        <f>J6&amp;".1"</f>
        <v>#N/A</v>
      </c>
      <c r="L7" s="1289"/>
      <c r="P7" s="2185"/>
      <c r="Q7" s="2185"/>
      <c r="R7" s="292">
        <v>1</v>
      </c>
      <c r="S7" s="1382" t="e">
        <f>$K7</f>
        <v>#N/A</v>
      </c>
      <c r="T7" s="1362"/>
      <c r="U7" s="236"/>
      <c r="V7" s="686"/>
      <c r="W7" s="686"/>
      <c r="X7" s="1182"/>
      <c r="Y7" s="2189"/>
      <c r="Z7" s="2047" t="s">
        <v>66</v>
      </c>
      <c r="AA7" s="2189"/>
      <c r="AB7" s="2047" t="s">
        <v>66</v>
      </c>
      <c r="AC7" s="686"/>
      <c r="AD7" s="686"/>
      <c r="AE7" s="1182"/>
      <c r="AF7" s="2189"/>
      <c r="AG7" s="2047" t="s">
        <v>66</v>
      </c>
      <c r="AH7" s="2208"/>
      <c r="AI7" s="2047" t="s">
        <v>66</v>
      </c>
      <c r="AJ7" s="1363"/>
      <c r="AK7" s="2252"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7" s="446" t="e">
        <f ca="1">STRCHECKDATE(V8:AJ8)</f>
        <v>#NAME?</v>
      </c>
      <c r="AM7" s="435"/>
      <c r="AN7" s="435" t="str">
        <f t="shared" si="0"/>
        <v/>
      </c>
      <c r="AO7" s="435"/>
      <c r="AP7" s="435"/>
      <c r="AQ7" s="1080">
        <v>0</v>
      </c>
    </row>
    <row r="8" spans="1:43" ht="14.25" hidden="1" customHeight="1">
      <c r="A8" s="1288"/>
      <c r="B8" s="1288"/>
      <c r="C8" s="1288"/>
      <c r="D8" s="1288"/>
      <c r="E8" s="2187"/>
      <c r="F8" s="2187"/>
      <c r="G8" s="2187"/>
      <c r="H8" s="2187"/>
      <c r="I8" s="2207"/>
      <c r="J8" s="2207"/>
      <c r="K8" s="2184"/>
      <c r="L8" s="1289"/>
      <c r="P8" s="2185"/>
      <c r="Q8" s="2185"/>
      <c r="R8" s="292"/>
      <c r="S8" s="1381"/>
      <c r="T8" s="236"/>
      <c r="U8" s="236"/>
      <c r="V8" s="261"/>
      <c r="W8" s="261"/>
      <c r="X8" s="264" t="str">
        <f>Y7&amp;"-"&amp;AA7</f>
        <v>-</v>
      </c>
      <c r="Y8" s="2190"/>
      <c r="Z8" s="2047"/>
      <c r="AA8" s="2190"/>
      <c r="AB8" s="2047"/>
      <c r="AC8" s="261"/>
      <c r="AD8" s="261"/>
      <c r="AE8" s="264" t="str">
        <f>AF7&amp;"-"&amp;AH7</f>
        <v>-</v>
      </c>
      <c r="AF8" s="2190"/>
      <c r="AG8" s="2047"/>
      <c r="AH8" s="2209"/>
      <c r="AI8" s="2047"/>
      <c r="AJ8" s="1364"/>
      <c r="AK8" s="2252"/>
      <c r="AM8" s="435"/>
      <c r="AN8" s="435" t="str">
        <f t="shared" si="0"/>
        <v/>
      </c>
      <c r="AO8" s="435"/>
      <c r="AP8" s="435"/>
      <c r="AQ8" s="1080">
        <v>0</v>
      </c>
    </row>
    <row r="9" spans="1:43" ht="21" hidden="1" customHeight="1">
      <c r="A9" s="1288"/>
      <c r="B9" s="1288"/>
      <c r="C9" s="1288"/>
      <c r="D9" s="1288"/>
      <c r="E9" s="2187"/>
      <c r="F9" s="2187"/>
      <c r="G9" s="2187"/>
      <c r="H9" s="2187"/>
      <c r="I9" s="2207"/>
      <c r="J9" s="2184"/>
      <c r="K9" s="1288"/>
      <c r="L9" s="1289"/>
      <c r="P9" s="2185"/>
      <c r="Q9" s="2185"/>
      <c r="R9" s="291"/>
      <c r="S9" s="1203"/>
      <c r="T9" s="223" t="s">
        <v>485</v>
      </c>
      <c r="U9" s="302"/>
      <c r="V9" s="302"/>
      <c r="W9" s="302"/>
      <c r="X9" s="302"/>
      <c r="Y9" s="302"/>
      <c r="Z9" s="302"/>
      <c r="AA9" s="302"/>
      <c r="AB9" s="302"/>
      <c r="AC9" s="302"/>
      <c r="AD9" s="302"/>
      <c r="AE9" s="302"/>
      <c r="AF9" s="302"/>
      <c r="AG9" s="302"/>
      <c r="AH9" s="302"/>
      <c r="AI9" s="302"/>
      <c r="AJ9" s="302"/>
      <c r="AK9" s="1183" t="s">
        <v>486</v>
      </c>
      <c r="AM9" s="435"/>
      <c r="AN9" s="435" t="str">
        <f t="shared" si="0"/>
        <v>Добавить значение признака дифференциации</v>
      </c>
      <c r="AO9" s="435"/>
      <c r="AP9" s="435"/>
      <c r="AQ9" s="1080">
        <v>0</v>
      </c>
    </row>
    <row r="10" spans="1:43" ht="21" hidden="1" customHeight="1">
      <c r="A10" s="1288"/>
      <c r="B10" s="1288"/>
      <c r="C10" s="1288"/>
      <c r="D10" s="1288"/>
      <c r="E10" s="2187"/>
      <c r="F10" s="2187"/>
      <c r="G10" s="2187"/>
      <c r="H10" s="2187"/>
      <c r="I10" s="2184"/>
      <c r="J10" s="1288"/>
      <c r="K10" s="1288"/>
      <c r="L10" s="1289"/>
      <c r="P10" s="2185"/>
      <c r="Q10" s="1375"/>
      <c r="R10" s="291"/>
      <c r="S10" s="1203"/>
      <c r="T10" s="300" t="s">
        <v>411</v>
      </c>
      <c r="U10" s="302"/>
      <c r="V10" s="302"/>
      <c r="W10" s="302"/>
      <c r="X10" s="302"/>
      <c r="Y10" s="302"/>
      <c r="Z10" s="302"/>
      <c r="AA10" s="302"/>
      <c r="AB10" s="301"/>
      <c r="AC10" s="302"/>
      <c r="AD10" s="302"/>
      <c r="AE10" s="302"/>
      <c r="AF10" s="302"/>
      <c r="AG10" s="302"/>
      <c r="AH10" s="302"/>
      <c r="AI10" s="301"/>
      <c r="AJ10" s="302"/>
      <c r="AK10" s="1365"/>
      <c r="AM10" s="435"/>
      <c r="AN10" s="435" t="str">
        <f t="shared" si="0"/>
        <v>Добавить группу потребителей</v>
      </c>
      <c r="AO10" s="435"/>
      <c r="AP10" s="435"/>
      <c r="AQ10" s="1080">
        <v>0</v>
      </c>
    </row>
    <row r="11" spans="1:43" ht="21" hidden="1" customHeight="1">
      <c r="A11" s="1288"/>
      <c r="B11" s="1288"/>
      <c r="C11" s="1288"/>
      <c r="D11" s="1288"/>
      <c r="E11" s="2187"/>
      <c r="F11" s="2187"/>
      <c r="G11" s="2187"/>
      <c r="H11" s="2186"/>
      <c r="I11" s="1288"/>
      <c r="J11" s="1288"/>
      <c r="K11" s="1288"/>
      <c r="L11" s="1289"/>
      <c r="M11" s="1290"/>
      <c r="N11" s="1290"/>
      <c r="O11" s="472"/>
      <c r="P11" s="295"/>
      <c r="Q11" s="310"/>
      <c r="R11" s="290"/>
      <c r="S11" s="1203"/>
      <c r="T11" s="307" t="s">
        <v>487</v>
      </c>
      <c r="U11" s="302"/>
      <c r="V11" s="302"/>
      <c r="W11" s="302"/>
      <c r="X11" s="302"/>
      <c r="Y11" s="302"/>
      <c r="Z11" s="302"/>
      <c r="AA11" s="302"/>
      <c r="AB11" s="301"/>
      <c r="AC11" s="302"/>
      <c r="AD11" s="302"/>
      <c r="AE11" s="302"/>
      <c r="AF11" s="302"/>
      <c r="AG11" s="302"/>
      <c r="AH11" s="302"/>
      <c r="AI11" s="301"/>
      <c r="AJ11" s="302"/>
      <c r="AK11" s="239"/>
      <c r="AM11" s="435"/>
      <c r="AN11" s="435" t="str">
        <f t="shared" si="0"/>
        <v>Добавить наименование признака дифференциации</v>
      </c>
      <c r="AO11" s="435"/>
      <c r="AP11" s="435"/>
      <c r="AQ11" s="1080">
        <v>0</v>
      </c>
    </row>
    <row r="12" spans="1:43" s="1567" customFormat="1" ht="14.25" hidden="1" customHeight="1">
      <c r="A12" s="1268"/>
      <c r="B12" s="1268"/>
      <c r="C12" s="1239"/>
      <c r="D12" s="1239"/>
      <c r="E12" s="2187"/>
      <c r="F12" s="2186"/>
      <c r="G12" s="1239"/>
      <c r="H12" s="1239"/>
      <c r="I12" s="1239"/>
      <c r="J12" s="1239"/>
      <c r="K12" s="1239"/>
      <c r="L12" s="1383"/>
      <c r="M12" s="1246"/>
      <c r="N12" s="1246"/>
      <c r="P12" s="1241"/>
      <c r="Q12" s="1242"/>
      <c r="R12" s="1241"/>
      <c r="S12" s="1247"/>
      <c r="T12" s="1250" t="s">
        <v>414</v>
      </c>
      <c r="U12" s="1249"/>
      <c r="V12" s="1249"/>
      <c r="W12" s="1249"/>
      <c r="X12" s="1249"/>
      <c r="Y12" s="1249"/>
      <c r="Z12" s="1249"/>
      <c r="AA12" s="1249"/>
      <c r="AB12" s="1249"/>
      <c r="AC12" s="1249"/>
      <c r="AD12" s="1249"/>
      <c r="AE12" s="1249"/>
      <c r="AF12" s="1249"/>
      <c r="AG12" s="1249"/>
      <c r="AH12" s="1249"/>
      <c r="AI12" s="1249"/>
      <c r="AJ12" s="1249"/>
      <c r="AK12" s="1249"/>
      <c r="AM12" s="718"/>
      <c r="AN12" s="718" t="str">
        <f t="shared" si="0"/>
        <v>Добавить централизованную систему для дифференциации</v>
      </c>
      <c r="AO12" s="718"/>
      <c r="AP12" s="718"/>
      <c r="AQ12" s="453">
        <v>0</v>
      </c>
    </row>
    <row r="13" spans="1:43" s="1567" customFormat="1" ht="14.25" hidden="1" customHeight="1">
      <c r="A13" s="1268"/>
      <c r="B13" s="1268"/>
      <c r="C13" s="1268"/>
      <c r="D13" s="1268"/>
      <c r="E13" s="2186"/>
      <c r="F13" s="1268"/>
      <c r="G13" s="1268"/>
      <c r="H13" s="1268"/>
      <c r="I13" s="1268"/>
      <c r="J13" s="1268"/>
      <c r="K13" s="1268"/>
      <c r="L13" s="1271"/>
      <c r="M13" s="1246"/>
      <c r="N13" s="1246"/>
      <c r="O13" s="453"/>
      <c r="P13" s="315"/>
      <c r="Q13" s="1269"/>
      <c r="R13" s="315"/>
      <c r="S13" s="1247"/>
      <c r="T13" s="1250" t="s">
        <v>415</v>
      </c>
      <c r="U13" s="1249"/>
      <c r="V13" s="1249"/>
      <c r="W13" s="1249"/>
      <c r="X13" s="1249"/>
      <c r="Y13" s="1249"/>
      <c r="Z13" s="1249"/>
      <c r="AA13" s="1249"/>
      <c r="AB13" s="1249"/>
      <c r="AC13" s="1249"/>
      <c r="AD13" s="1249"/>
      <c r="AE13" s="1249"/>
      <c r="AF13" s="1249"/>
      <c r="AG13" s="1249"/>
      <c r="AH13" s="1249"/>
      <c r="AI13" s="1249"/>
      <c r="AJ13" s="1249"/>
      <c r="AK13" s="1249"/>
      <c r="AM13" s="435"/>
      <c r="AN13" s="435" t="str">
        <f t="shared" si="0"/>
        <v>Добавить территорию для дифференциации</v>
      </c>
      <c r="AO13" s="435"/>
      <c r="AP13" s="435"/>
      <c r="AQ13" s="446">
        <v>0</v>
      </c>
    </row>
    <row r="14" spans="1:43" ht="14.25" hidden="1" customHeight="1">
      <c r="AB14" s="263"/>
      <c r="AI14" s="263"/>
      <c r="AQ14" s="1080">
        <v>0</v>
      </c>
    </row>
    <row r="15" spans="1:43" ht="14.25" hidden="1" customHeight="1">
      <c r="AC15" s="1285"/>
      <c r="AD15" s="1285"/>
      <c r="AE15" s="1286"/>
      <c r="AF15" s="2191"/>
      <c r="AG15" s="2192" t="s">
        <v>66</v>
      </c>
      <c r="AH15" s="2191"/>
      <c r="AI15" s="2192" t="s">
        <v>66</v>
      </c>
      <c r="AQ15" s="1080">
        <v>0</v>
      </c>
    </row>
    <row r="16" spans="1:43" ht="14.25" hidden="1" customHeight="1">
      <c r="AC16" s="1285"/>
      <c r="AD16" s="1285"/>
      <c r="AE16" s="264" t="str">
        <f>AF15&amp;"-"&amp;AH15</f>
        <v>-</v>
      </c>
      <c r="AF16" s="2192"/>
      <c r="AG16" s="2192"/>
      <c r="AH16" s="2192"/>
      <c r="AI16" s="2192"/>
      <c r="AQ16" s="1080">
        <v>0</v>
      </c>
    </row>
    <row r="17" spans="1:43" ht="14.25" hidden="1" customHeight="1">
      <c r="AI17" s="263"/>
      <c r="AQ17" s="1080">
        <v>0</v>
      </c>
    </row>
    <row r="18" spans="1:43" s="1291" customFormat="1" ht="22.5" hidden="1" customHeight="1">
      <c r="L18" s="1372"/>
      <c r="M18" s="1287"/>
      <c r="N18" s="1287"/>
      <c r="O18" s="1292" t="s">
        <v>416</v>
      </c>
      <c r="P18" s="1287"/>
      <c r="Q18" s="1296"/>
      <c r="R18" s="1296"/>
      <c r="S18" s="664"/>
      <c r="Y18" s="1292"/>
      <c r="AA18" s="1292"/>
      <c r="AF18" s="1292"/>
      <c r="AH18" s="1292"/>
      <c r="AL18" s="446"/>
      <c r="AM18" s="446"/>
      <c r="AN18" s="446"/>
      <c r="AO18" s="446"/>
      <c r="AP18" s="446"/>
      <c r="AQ18" s="1085">
        <v>0</v>
      </c>
    </row>
    <row r="19" spans="1:43" s="1291" customFormat="1" ht="14.25" hidden="1" customHeight="1">
      <c r="L19" s="1372"/>
      <c r="M19" s="1287"/>
      <c r="N19" s="1287"/>
      <c r="O19" s="1287"/>
      <c r="P19" s="1287"/>
      <c r="Q19" s="1296"/>
      <c r="R19" s="1296"/>
      <c r="S19" s="664"/>
      <c r="AL19" s="446"/>
      <c r="AM19" s="446"/>
      <c r="AN19" s="446"/>
      <c r="AO19" s="446"/>
      <c r="AP19" s="446"/>
      <c r="AQ19" s="1085">
        <v>0</v>
      </c>
    </row>
    <row r="20" spans="1:43" s="1291" customFormat="1" ht="12" hidden="1" customHeight="1">
      <c r="L20" s="1372"/>
      <c r="M20" s="1287"/>
      <c r="N20" s="1287"/>
      <c r="O20" s="1289" t="s">
        <v>417</v>
      </c>
      <c r="P20" s="1287"/>
      <c r="Q20" s="1367"/>
      <c r="R20" s="1367"/>
      <c r="S20" s="664"/>
      <c r="T20" s="1085" t="s">
        <v>418</v>
      </c>
      <c r="Z20" s="122" t="s">
        <v>419</v>
      </c>
      <c r="AB20" s="122" t="s">
        <v>420</v>
      </c>
      <c r="AC20" s="1085" t="s">
        <v>418</v>
      </c>
      <c r="AG20" s="122" t="s">
        <v>421</v>
      </c>
      <c r="AI20" s="122" t="s">
        <v>420</v>
      </c>
      <c r="AQ20" s="1085">
        <v>0</v>
      </c>
    </row>
    <row r="21" spans="1:43" ht="14.25" hidden="1" customHeight="1">
      <c r="O21" s="1289"/>
      <c r="AQ21" s="1080">
        <v>0</v>
      </c>
    </row>
    <row r="22" spans="1:43" ht="14.25" hidden="1" customHeight="1">
      <c r="O22" s="1289"/>
      <c r="AQ22" s="1080">
        <v>0</v>
      </c>
    </row>
    <row r="23" spans="1:43" ht="14.65" customHeight="1">
      <c r="Q23" s="311"/>
      <c r="R23" s="311"/>
      <c r="S23" s="1200"/>
      <c r="T23" s="298"/>
      <c r="U23" s="298"/>
      <c r="V23" s="444"/>
      <c r="W23" s="444"/>
      <c r="X23" s="444"/>
      <c r="Y23" s="444"/>
      <c r="Z23" s="444"/>
      <c r="AA23" s="444"/>
      <c r="AB23" s="444"/>
      <c r="AC23" s="444"/>
      <c r="AD23" s="444"/>
      <c r="AE23" s="444"/>
      <c r="AF23" s="444"/>
      <c r="AG23" s="444"/>
      <c r="AH23" s="444"/>
      <c r="AI23" s="444"/>
      <c r="AQ23" s="1080">
        <v>14</v>
      </c>
    </row>
    <row r="24" spans="1:43" ht="14.65" customHeight="1">
      <c r="Q24" s="311"/>
      <c r="R24" s="311"/>
      <c r="S24" s="2170" t="str">
        <f>IF(TEMPLATE_GROUP="P",PT_P_FORM_COLDVSNA_4_NAME_FORM,PT_R_FORM_COLDVSNA_16_NAME_FORM)</f>
        <v>Форма 13. Информация о предложении организации холодного водоснабжения об установлении расчетной величины тарифов в сфере холодного водоснабжения</v>
      </c>
      <c r="T24" s="2170"/>
      <c r="U24" s="2170"/>
      <c r="V24" s="2170"/>
      <c r="W24" s="2170"/>
      <c r="X24" s="2170"/>
      <c r="Y24" s="2170"/>
      <c r="Z24" s="2170"/>
      <c r="AA24" s="2170"/>
      <c r="AB24" s="2170"/>
      <c r="AC24" s="2170"/>
      <c r="AD24" s="2170"/>
      <c r="AE24" s="2170"/>
      <c r="AF24" s="2170"/>
      <c r="AG24" s="2170"/>
      <c r="AH24" s="2170"/>
      <c r="AI24" s="1168"/>
      <c r="AQ24" s="1080">
        <v>14</v>
      </c>
    </row>
    <row r="25" spans="1:43" ht="14.65" customHeight="1">
      <c r="Q25" s="311"/>
      <c r="R25" s="311"/>
      <c r="S25" s="2115" t="str">
        <f>IF(org=0,"Не определено",org)</f>
        <v>ООО "ЗЕНИТ ЭНЕРГО"</v>
      </c>
      <c r="T25" s="2115"/>
      <c r="U25" s="2115"/>
      <c r="V25" s="2115"/>
      <c r="W25" s="2115"/>
      <c r="X25" s="2115"/>
      <c r="Y25" s="2115"/>
      <c r="Z25" s="2115"/>
      <c r="AA25" s="2115"/>
      <c r="AB25" s="2115"/>
      <c r="AC25" s="2115"/>
      <c r="AD25" s="2115"/>
      <c r="AE25" s="2115"/>
      <c r="AF25" s="2115"/>
      <c r="AG25" s="2115"/>
      <c r="AH25" s="2115"/>
      <c r="AI25" s="1168"/>
      <c r="AQ25" s="1080">
        <v>14</v>
      </c>
    </row>
    <row r="26" spans="1:43" ht="14.25" hidden="1" customHeight="1">
      <c r="Q26" s="311"/>
      <c r="R26" s="311"/>
      <c r="S26" s="1200"/>
      <c r="T26" s="298"/>
      <c r="U26" s="298"/>
      <c r="V26" s="258"/>
      <c r="W26" s="258"/>
      <c r="X26" s="258"/>
      <c r="Y26" s="258"/>
      <c r="Z26" s="258"/>
      <c r="AA26" s="258"/>
      <c r="AB26" s="258"/>
      <c r="AC26" s="258"/>
      <c r="AD26" s="258"/>
      <c r="AE26" s="258"/>
      <c r="AF26" s="258"/>
      <c r="AG26" s="258"/>
      <c r="AH26" s="258"/>
      <c r="AI26" s="258"/>
      <c r="AJ26" s="444"/>
      <c r="AQ26" s="1080">
        <v>0</v>
      </c>
    </row>
    <row r="27" spans="1:43" s="1777" customFormat="1" ht="25.5" hidden="1" customHeight="1">
      <c r="A27" s="1293"/>
      <c r="B27" s="1293"/>
      <c r="C27" s="1293"/>
      <c r="D27" s="1293"/>
      <c r="E27" s="1293"/>
      <c r="F27" s="1293"/>
      <c r="G27" s="1293"/>
      <c r="H27" s="1293"/>
      <c r="I27" s="1293"/>
      <c r="J27" s="1293"/>
      <c r="K27" s="1293"/>
      <c r="L27" s="1294"/>
      <c r="M27" s="1293"/>
      <c r="N27" s="1293"/>
      <c r="O27" s="1293"/>
      <c r="S27" s="2178" t="s">
        <v>42</v>
      </c>
      <c r="T27" s="2178"/>
      <c r="U27" s="1297"/>
      <c r="V27" s="2179" t="str">
        <f>IF(TITLE_NAME_OR_PR_CHANGE="",IF(TITLE_NAME_OR_PR="","",TITLE_NAME_OR_PR),TITLE_NAME_OR_PR_CHANGE)</f>
        <v/>
      </c>
      <c r="W27" s="2179"/>
      <c r="X27" s="2179"/>
      <c r="Y27" s="2179"/>
      <c r="Z27" s="2179"/>
      <c r="AA27" s="2179"/>
      <c r="AB27" s="262"/>
      <c r="AC27" s="2179" t="str">
        <f>IF(TITLE_NAME_OR_PR_CHANGE="",IF(TITLE_NAME_OR_PR="","",TITLE_NAME_OR_PR),TITLE_NAME_OR_PR_CHANGE)</f>
        <v/>
      </c>
      <c r="AD27" s="2179"/>
      <c r="AE27" s="2179"/>
      <c r="AF27" s="2179"/>
      <c r="AG27" s="2179"/>
      <c r="AH27" s="2179"/>
      <c r="AI27" s="262"/>
      <c r="AJ27" s="262"/>
      <c r="AK27" s="216"/>
      <c r="AL27" s="303"/>
      <c r="AM27" s="303"/>
      <c r="AN27" s="303"/>
      <c r="AO27" s="303"/>
      <c r="AP27" s="303"/>
      <c r="AQ27" s="353">
        <v>0</v>
      </c>
    </row>
    <row r="28" spans="1:43" s="1777" customFormat="1" ht="18.75" hidden="1" customHeight="1">
      <c r="A28" s="1293"/>
      <c r="B28" s="1293"/>
      <c r="C28" s="1293"/>
      <c r="D28" s="1293"/>
      <c r="E28" s="1293"/>
      <c r="F28" s="1293"/>
      <c r="G28" s="1293"/>
      <c r="H28" s="1293"/>
      <c r="I28" s="1293"/>
      <c r="J28" s="1293"/>
      <c r="K28" s="1293"/>
      <c r="L28" s="1294"/>
      <c r="M28" s="1293"/>
      <c r="N28" s="1293"/>
      <c r="O28" s="1293"/>
      <c r="S28" s="2178" t="s">
        <v>422</v>
      </c>
      <c r="T28" s="2178"/>
      <c r="U28" s="1297"/>
      <c r="V28" s="2188" t="str">
        <f>IF(TITLE_DATE_PR_CHANGE="",IF(TITLE_DATE_PR="","",TITLE_DATE_PR),TITLE_DATE_PR_CHANGE)</f>
        <v/>
      </c>
      <c r="W28" s="2188"/>
      <c r="X28" s="2188"/>
      <c r="Y28" s="2188"/>
      <c r="Z28" s="2188"/>
      <c r="AA28" s="2188"/>
      <c r="AB28" s="262"/>
      <c r="AC28" s="2188" t="str">
        <f>IF(TITLE_DATE_PR_CHANGE="",IF(TITLE_DATE_PR="","",TITLE_DATE_PR),TITLE_DATE_PR_CHANGE)</f>
        <v/>
      </c>
      <c r="AD28" s="2188"/>
      <c r="AE28" s="2188"/>
      <c r="AF28" s="2188"/>
      <c r="AG28" s="2188"/>
      <c r="AH28" s="2188"/>
      <c r="AI28" s="262"/>
      <c r="AJ28" s="262"/>
      <c r="AK28" s="216"/>
      <c r="AL28" s="303"/>
      <c r="AM28" s="303"/>
      <c r="AN28" s="303"/>
      <c r="AO28" s="303"/>
      <c r="AP28" s="303"/>
      <c r="AQ28" s="353">
        <v>0</v>
      </c>
    </row>
    <row r="29" spans="1:43" s="1777" customFormat="1" ht="18.75" hidden="1" customHeight="1">
      <c r="A29" s="1293"/>
      <c r="B29" s="1293"/>
      <c r="C29" s="1293"/>
      <c r="D29" s="1293"/>
      <c r="E29" s="1293"/>
      <c r="F29" s="1293"/>
      <c r="G29" s="1293"/>
      <c r="H29" s="1293"/>
      <c r="I29" s="1293"/>
      <c r="J29" s="1293"/>
      <c r="K29" s="1293"/>
      <c r="L29" s="1294"/>
      <c r="M29" s="1293"/>
      <c r="N29" s="1293"/>
      <c r="O29" s="1293"/>
      <c r="S29" s="2178" t="s">
        <v>423</v>
      </c>
      <c r="T29" s="2178"/>
      <c r="U29" s="1297"/>
      <c r="V29" s="2179" t="str">
        <f>IF(TITLE_NUMBER_PR_CHANGE="",IF(TITLE_NUMBER_PR="","",TITLE_NUMBER_PR),TITLE_NUMBER_PR_CHANGE)</f>
        <v/>
      </c>
      <c r="W29" s="2179"/>
      <c r="X29" s="2179"/>
      <c r="Y29" s="2179"/>
      <c r="Z29" s="2179"/>
      <c r="AA29" s="2179"/>
      <c r="AB29" s="262"/>
      <c r="AC29" s="2179" t="str">
        <f>IF(TITLE_NUMBER_PR_CHANGE="",IF(TITLE_NUMBER_PR="","",TITLE_NUMBER_PR),TITLE_NUMBER_PR_CHANGE)</f>
        <v/>
      </c>
      <c r="AD29" s="2179"/>
      <c r="AE29" s="2179"/>
      <c r="AF29" s="2179"/>
      <c r="AG29" s="2179"/>
      <c r="AH29" s="2179"/>
      <c r="AI29" s="262"/>
      <c r="AJ29" s="262"/>
      <c r="AK29" s="216"/>
      <c r="AL29" s="303"/>
      <c r="AM29" s="303"/>
      <c r="AN29" s="303"/>
      <c r="AO29" s="303"/>
      <c r="AP29" s="303"/>
      <c r="AQ29" s="353">
        <v>0</v>
      </c>
    </row>
    <row r="30" spans="1:43" s="1777" customFormat="1" ht="18.75" hidden="1" customHeight="1">
      <c r="A30" s="1293"/>
      <c r="B30" s="1293"/>
      <c r="C30" s="1293"/>
      <c r="D30" s="1293"/>
      <c r="E30" s="1293"/>
      <c r="F30" s="1293"/>
      <c r="G30" s="1293"/>
      <c r="H30" s="1293"/>
      <c r="I30" s="1293"/>
      <c r="J30" s="1293"/>
      <c r="K30" s="1293"/>
      <c r="L30" s="1294"/>
      <c r="M30" s="1293"/>
      <c r="N30" s="1293"/>
      <c r="O30" s="1293"/>
      <c r="S30" s="2178" t="s">
        <v>43</v>
      </c>
      <c r="T30" s="2178"/>
      <c r="U30" s="1297"/>
      <c r="V30" s="2179" t="str">
        <f>IF(TITLE_IST_PUB_CHANGE="",IF(TITLE_IST_PUB="","",TITLE_IST_PUB),TITLE_IST_PUB_CHANGE)</f>
        <v/>
      </c>
      <c r="W30" s="2179"/>
      <c r="X30" s="2179"/>
      <c r="Y30" s="2179"/>
      <c r="Z30" s="2179"/>
      <c r="AA30" s="2179"/>
      <c r="AB30" s="262"/>
      <c r="AC30" s="2179" t="str">
        <f>IF(TITLE_IST_PUB_CHANGE="",IF(TITLE_IST_PUB="","",TITLE_IST_PUB),TITLE_IST_PUB_CHANGE)</f>
        <v/>
      </c>
      <c r="AD30" s="2179"/>
      <c r="AE30" s="2179"/>
      <c r="AF30" s="2179"/>
      <c r="AG30" s="2179"/>
      <c r="AH30" s="2179"/>
      <c r="AI30" s="262"/>
      <c r="AJ30" s="262"/>
      <c r="AK30" s="216"/>
      <c r="AL30" s="303"/>
      <c r="AM30" s="303"/>
      <c r="AN30" s="303"/>
      <c r="AO30" s="303"/>
      <c r="AP30" s="303"/>
      <c r="AQ30" s="353">
        <v>0</v>
      </c>
    </row>
    <row r="31" spans="1:43" ht="14.25" hidden="1" customHeight="1">
      <c r="Q31" s="311"/>
      <c r="R31" s="311"/>
      <c r="S31" s="1200"/>
      <c r="T31" s="298"/>
      <c r="U31" s="298"/>
      <c r="V31" s="258"/>
      <c r="W31" s="258"/>
      <c r="X31" s="258"/>
      <c r="Y31" s="258"/>
      <c r="Z31" s="258"/>
      <c r="AA31" s="258"/>
      <c r="AB31" s="258"/>
      <c r="AC31" s="258"/>
      <c r="AD31" s="258"/>
      <c r="AE31" s="258"/>
      <c r="AF31" s="258"/>
      <c r="AG31" s="258"/>
      <c r="AH31" s="258"/>
      <c r="AI31" s="258"/>
      <c r="AJ31" s="444"/>
      <c r="AQ31" s="1080">
        <v>0</v>
      </c>
    </row>
    <row r="32" spans="1:43" s="1777" customFormat="1" ht="18.75" hidden="1" customHeight="1">
      <c r="A32" s="1293"/>
      <c r="B32" s="1293"/>
      <c r="C32" s="1293"/>
      <c r="D32" s="1293"/>
      <c r="E32" s="1293"/>
      <c r="F32" s="1293"/>
      <c r="G32" s="1293"/>
      <c r="H32" s="1293"/>
      <c r="I32" s="1293"/>
      <c r="J32" s="1293"/>
      <c r="K32" s="1293"/>
      <c r="L32" s="1294"/>
      <c r="M32" s="1293"/>
      <c r="N32" s="1293"/>
      <c r="O32" s="1293"/>
      <c r="S32" s="2178" t="s">
        <v>424</v>
      </c>
      <c r="T32" s="2178"/>
      <c r="U32" s="1297"/>
      <c r="V32" s="2188" t="str">
        <f>IF(TITLE_DATE_PR_CHANGE="",IF(TITLE_DATE_PR="","",TITLE_DATE_PR),TITLE_DATE_PR_CHANGE)</f>
        <v/>
      </c>
      <c r="W32" s="2188"/>
      <c r="X32" s="2188"/>
      <c r="Y32" s="2188"/>
      <c r="Z32" s="2188"/>
      <c r="AA32" s="2188"/>
      <c r="AB32" s="262"/>
      <c r="AC32" s="2188" t="str">
        <f>IF(TITLE_DATE_PR_CHANGE="",IF(TITLE_DATE_PR="","",TITLE_DATE_PR),TITLE_DATE_PR_CHANGE)</f>
        <v/>
      </c>
      <c r="AD32" s="2188"/>
      <c r="AE32" s="2188"/>
      <c r="AF32" s="2188"/>
      <c r="AG32" s="2188"/>
      <c r="AH32" s="2188"/>
      <c r="AI32" s="262"/>
      <c r="AJ32" s="262"/>
      <c r="AK32" s="216"/>
      <c r="AL32" s="303"/>
      <c r="AM32" s="303"/>
      <c r="AN32" s="303"/>
      <c r="AO32" s="303"/>
      <c r="AP32" s="303"/>
      <c r="AQ32" s="353">
        <v>0</v>
      </c>
    </row>
    <row r="33" spans="1:43" s="1777" customFormat="1" ht="18.75" hidden="1" customHeight="1">
      <c r="A33" s="1293"/>
      <c r="B33" s="1293"/>
      <c r="C33" s="1293"/>
      <c r="D33" s="1293"/>
      <c r="E33" s="1293"/>
      <c r="F33" s="1293"/>
      <c r="G33" s="1293"/>
      <c r="H33" s="1293"/>
      <c r="I33" s="1293"/>
      <c r="J33" s="1293"/>
      <c r="K33" s="1293"/>
      <c r="L33" s="1294"/>
      <c r="M33" s="1293"/>
      <c r="N33" s="1293"/>
      <c r="O33" s="1293"/>
      <c r="S33" s="2178" t="s">
        <v>425</v>
      </c>
      <c r="T33" s="2178"/>
      <c r="U33" s="1297"/>
      <c r="V33" s="2179" t="str">
        <f>IF(TITLE_NUMBER_PR_CHANGE="",IF(TITLE_NUMBER_PR="","",TITLE_NUMBER_PR),TITLE_NUMBER_PR_CHANGE)</f>
        <v/>
      </c>
      <c r="W33" s="2179"/>
      <c r="X33" s="2179"/>
      <c r="Y33" s="2179"/>
      <c r="Z33" s="2179"/>
      <c r="AA33" s="2179"/>
      <c r="AB33" s="262"/>
      <c r="AC33" s="2179" t="str">
        <f>IF(TITLE_NUMBER_PR_CHANGE="",IF(TITLE_NUMBER_PR="","",TITLE_NUMBER_PR),TITLE_NUMBER_PR_CHANGE)</f>
        <v/>
      </c>
      <c r="AD33" s="2179"/>
      <c r="AE33" s="2179"/>
      <c r="AF33" s="2179"/>
      <c r="AG33" s="2179"/>
      <c r="AH33" s="2179"/>
      <c r="AI33" s="262"/>
      <c r="AJ33" s="262"/>
      <c r="AK33" s="216"/>
      <c r="AL33" s="303"/>
      <c r="AM33" s="303"/>
      <c r="AN33" s="303"/>
      <c r="AO33" s="303"/>
      <c r="AP33" s="303"/>
      <c r="AQ33" s="353">
        <v>0</v>
      </c>
    </row>
    <row r="34" spans="1:43" s="1777" customFormat="1" ht="1.1499999999999999" customHeight="1">
      <c r="A34" s="1293"/>
      <c r="B34" s="1293"/>
      <c r="C34" s="1293"/>
      <c r="D34" s="1293"/>
      <c r="E34" s="1293"/>
      <c r="F34" s="1293"/>
      <c r="G34" s="1293"/>
      <c r="H34" s="1293"/>
      <c r="I34" s="1293"/>
      <c r="J34" s="1293"/>
      <c r="K34" s="1293"/>
      <c r="L34" s="1294"/>
      <c r="M34" s="1293"/>
      <c r="N34" s="1293"/>
      <c r="O34" s="1293"/>
      <c r="S34" s="259"/>
      <c r="T34" s="259"/>
      <c r="U34" s="1379"/>
      <c r="V34" s="262"/>
      <c r="W34" s="262"/>
      <c r="X34" s="262"/>
      <c r="Y34" s="262"/>
      <c r="Z34" s="262"/>
      <c r="AA34" s="262"/>
      <c r="AB34" s="214" t="s">
        <v>426</v>
      </c>
      <c r="AC34" s="262"/>
      <c r="AD34" s="262"/>
      <c r="AE34" s="262"/>
      <c r="AF34" s="262"/>
      <c r="AG34" s="262"/>
      <c r="AH34" s="262"/>
      <c r="AI34" s="214" t="s">
        <v>426</v>
      </c>
      <c r="AL34" s="303"/>
      <c r="AM34" s="303"/>
      <c r="AN34" s="303"/>
      <c r="AO34" s="303"/>
      <c r="AP34" s="303"/>
      <c r="AQ34" s="353">
        <v>1</v>
      </c>
    </row>
    <row r="35" spans="1:43" ht="14.65" customHeight="1">
      <c r="Q35" s="311"/>
      <c r="R35" s="311"/>
      <c r="S35" s="1200"/>
      <c r="T35" s="298"/>
      <c r="U35" s="1169"/>
      <c r="V35" s="2180"/>
      <c r="W35" s="2180"/>
      <c r="X35" s="2180"/>
      <c r="Y35" s="2180"/>
      <c r="Z35" s="2180"/>
      <c r="AA35" s="2180"/>
      <c r="AB35" s="2180"/>
      <c r="AC35" s="2180"/>
      <c r="AD35" s="2180"/>
      <c r="AE35" s="2180"/>
      <c r="AF35" s="2180"/>
      <c r="AG35" s="2180"/>
      <c r="AH35" s="2180"/>
      <c r="AI35" s="2180"/>
      <c r="AQ35" s="1080">
        <v>14</v>
      </c>
    </row>
    <row r="36" spans="1:43" ht="14.65" customHeight="1">
      <c r="Q36" s="311"/>
      <c r="R36" s="311"/>
      <c r="S36" s="2066" t="s">
        <v>299</v>
      </c>
      <c r="T36" s="2066"/>
      <c r="U36" s="2066"/>
      <c r="V36" s="2066"/>
      <c r="W36" s="2066"/>
      <c r="X36" s="2066"/>
      <c r="Y36" s="2066"/>
      <c r="Z36" s="2066"/>
      <c r="AA36" s="2066"/>
      <c r="AB36" s="2066"/>
      <c r="AC36" s="2066"/>
      <c r="AD36" s="2066"/>
      <c r="AE36" s="2066"/>
      <c r="AF36" s="2066"/>
      <c r="AG36" s="2066"/>
      <c r="AH36" s="2066"/>
      <c r="AI36" s="2066"/>
      <c r="AJ36" s="2066"/>
      <c r="AK36" s="2066" t="s">
        <v>300</v>
      </c>
      <c r="AQ36" s="1080">
        <v>14</v>
      </c>
    </row>
    <row r="37" spans="1:43" ht="14.65" customHeight="1">
      <c r="Q37" s="311"/>
      <c r="R37" s="311"/>
      <c r="S37" s="2194" t="s">
        <v>88</v>
      </c>
      <c r="T37" s="2145" t="s">
        <v>427</v>
      </c>
      <c r="U37" s="237"/>
      <c r="V37" s="2195" t="s">
        <v>428</v>
      </c>
      <c r="W37" s="2196"/>
      <c r="X37" s="2196"/>
      <c r="Y37" s="2196"/>
      <c r="Z37" s="2196"/>
      <c r="AA37" s="2197"/>
      <c r="AB37" s="2198" t="s">
        <v>429</v>
      </c>
      <c r="AC37" s="2195" t="s">
        <v>428</v>
      </c>
      <c r="AD37" s="2196"/>
      <c r="AE37" s="2196"/>
      <c r="AF37" s="2196"/>
      <c r="AG37" s="2196"/>
      <c r="AH37" s="2197"/>
      <c r="AI37" s="2198" t="s">
        <v>430</v>
      </c>
      <c r="AJ37" s="2201" t="s">
        <v>431</v>
      </c>
      <c r="AK37" s="2066"/>
      <c r="AQ37" s="1080">
        <v>14</v>
      </c>
    </row>
    <row r="38" spans="1:43" ht="35.65" customHeight="1">
      <c r="Q38" s="311"/>
      <c r="R38" s="311"/>
      <c r="S38" s="2194"/>
      <c r="T38" s="2145"/>
      <c r="U38" s="959"/>
      <c r="V38" s="1377" t="s">
        <v>488</v>
      </c>
      <c r="W38" s="2038" t="s">
        <v>434</v>
      </c>
      <c r="X38" s="2037"/>
      <c r="Y38" s="2038" t="s">
        <v>435</v>
      </c>
      <c r="Z38" s="2043"/>
      <c r="AA38" s="2037"/>
      <c r="AB38" s="2199"/>
      <c r="AC38" s="1377" t="s">
        <v>488</v>
      </c>
      <c r="AD38" s="2038" t="s">
        <v>434</v>
      </c>
      <c r="AE38" s="2037"/>
      <c r="AF38" s="2038" t="s">
        <v>435</v>
      </c>
      <c r="AG38" s="2043"/>
      <c r="AH38" s="2037"/>
      <c r="AI38" s="2199"/>
      <c r="AJ38" s="2202"/>
      <c r="AK38" s="2066"/>
      <c r="AQ38" s="1080">
        <v>34</v>
      </c>
    </row>
    <row r="39" spans="1:43" ht="35.65" customHeight="1">
      <c r="A39" s="1295"/>
      <c r="B39" s="1295" t="s">
        <v>136</v>
      </c>
      <c r="C39" s="1295" t="s">
        <v>137</v>
      </c>
      <c r="D39" s="1295" t="s">
        <v>138</v>
      </c>
      <c r="E39" s="1289" t="s">
        <v>436</v>
      </c>
      <c r="F39" s="1289" t="s">
        <v>437</v>
      </c>
      <c r="G39" s="1289" t="s">
        <v>438</v>
      </c>
      <c r="H39" s="1289"/>
      <c r="I39" s="1289" t="s">
        <v>489</v>
      </c>
      <c r="J39" s="1289" t="s">
        <v>441</v>
      </c>
      <c r="K39" s="1289" t="s">
        <v>490</v>
      </c>
      <c r="L39" s="1289" t="s">
        <v>417</v>
      </c>
      <c r="Q39" s="311"/>
      <c r="R39" s="311"/>
      <c r="S39" s="2194"/>
      <c r="T39" s="2145"/>
      <c r="U39" s="238"/>
      <c r="V39" s="1377" t="s">
        <v>491</v>
      </c>
      <c r="W39" s="1147" t="s">
        <v>492</v>
      </c>
      <c r="X39" s="1147" t="s">
        <v>493</v>
      </c>
      <c r="Y39" s="1380" t="s">
        <v>445</v>
      </c>
      <c r="Z39" s="2154" t="s">
        <v>446</v>
      </c>
      <c r="AA39" s="2156"/>
      <c r="AB39" s="2200"/>
      <c r="AC39" s="1377" t="s">
        <v>491</v>
      </c>
      <c r="AD39" s="1147" t="s">
        <v>492</v>
      </c>
      <c r="AE39" s="1147" t="s">
        <v>493</v>
      </c>
      <c r="AF39" s="1380" t="s">
        <v>445</v>
      </c>
      <c r="AG39" s="2154" t="s">
        <v>446</v>
      </c>
      <c r="AH39" s="2156"/>
      <c r="AI39" s="2200"/>
      <c r="AJ39" s="2203"/>
      <c r="AK39" s="2066"/>
      <c r="AQ39" s="1080">
        <v>34</v>
      </c>
    </row>
    <row r="40" spans="1:43" s="1566" customFormat="1" ht="0" hidden="1" customHeight="1">
      <c r="A40" s="1295"/>
      <c r="B40" s="1295"/>
      <c r="C40" s="1295"/>
      <c r="D40" s="1295"/>
      <c r="E40" s="1295"/>
      <c r="F40" s="1295"/>
      <c r="G40" s="1295"/>
      <c r="H40" s="1295"/>
      <c r="I40" s="1295"/>
      <c r="J40" s="1295"/>
      <c r="K40" s="1295"/>
      <c r="L40" s="1289"/>
      <c r="M40" s="1287"/>
      <c r="N40" s="1287"/>
      <c r="O40" s="1287"/>
      <c r="P40" s="1171"/>
      <c r="Q40" s="1172"/>
      <c r="R40" s="1179">
        <v>1</v>
      </c>
      <c r="S40" s="1202" t="s">
        <v>109</v>
      </c>
      <c r="T40" s="1180" t="s">
        <v>110</v>
      </c>
      <c r="U40" s="1170" t="str">
        <f ca="1">OFFSET(U40,0,-1)</f>
        <v>2</v>
      </c>
      <c r="V40" s="1376">
        <f ca="1">OFFSET(V40,0,-1)+1</f>
        <v>3</v>
      </c>
      <c r="W40" s="1376">
        <f ca="1">OFFSET(W40,0,-1)+1</f>
        <v>4</v>
      </c>
      <c r="X40" s="1376">
        <f ca="1">OFFSET(X40,0,-1)+1</f>
        <v>5</v>
      </c>
      <c r="Y40" s="1376">
        <f ca="1">OFFSET(Y40,0,-1)+1</f>
        <v>6</v>
      </c>
      <c r="Z40" s="2193">
        <f ca="1">OFFSET(Z40,0,-1)+1</f>
        <v>7</v>
      </c>
      <c r="AA40" s="2193"/>
      <c r="AB40" s="1376">
        <f ca="1">OFFSET(AB40,0,-2)+1</f>
        <v>8</v>
      </c>
      <c r="AC40" s="1376">
        <f ca="1">OFFSET(AC40,0,-1)+1</f>
        <v>9</v>
      </c>
      <c r="AD40" s="1376">
        <f ca="1">OFFSET(AD40,0,-1)+1</f>
        <v>10</v>
      </c>
      <c r="AE40" s="1376">
        <f ca="1">OFFSET(AE40,0,-1)+1</f>
        <v>11</v>
      </c>
      <c r="AF40" s="1376">
        <f ca="1">OFFSET(AF40,0,-1)+1</f>
        <v>12</v>
      </c>
      <c r="AG40" s="2193">
        <f ca="1">OFFSET(AG40,0,-1)+1</f>
        <v>13</v>
      </c>
      <c r="AH40" s="2193"/>
      <c r="AI40" s="1376">
        <f ca="1">OFFSET(AI40,0,-2)+1</f>
        <v>14</v>
      </c>
      <c r="AJ40" s="1170">
        <f ca="1">OFFSET(AJ40,0,-1)</f>
        <v>14</v>
      </c>
      <c r="AK40" s="1376">
        <f ca="1">OFFSET(AK40,0,-1)+1</f>
        <v>15</v>
      </c>
      <c r="AL40" s="446"/>
      <c r="AM40" s="446"/>
      <c r="AN40" s="446"/>
      <c r="AO40" s="446"/>
      <c r="AP40" s="446"/>
      <c r="AQ40" s="431">
        <v>0</v>
      </c>
    </row>
    <row r="41" spans="1:43" ht="24" customHeight="1">
      <c r="A41" s="1288" t="s">
        <v>240</v>
      </c>
      <c r="B41" s="1288"/>
      <c r="C41" s="1288"/>
      <c r="D41" s="1288"/>
      <c r="E41" s="2186">
        <v>1</v>
      </c>
      <c r="F41" s="1288"/>
      <c r="G41" s="1288"/>
      <c r="H41" s="1288"/>
      <c r="I41" s="1288"/>
      <c r="J41" s="1288"/>
      <c r="K41" s="1288"/>
      <c r="L41" s="1289"/>
      <c r="M41" s="1290"/>
      <c r="N41" s="1290"/>
      <c r="O41" s="1290"/>
      <c r="P41" s="296"/>
      <c r="Q41" s="295"/>
      <c r="R41" s="290"/>
      <c r="S41" s="1382">
        <f>INDEX(PT_DIFFERENTIATION_NUM_NTAR,MATCH(A41,PT_DIFFERENTIATION_NTAR_ID,0))</f>
        <v>0</v>
      </c>
      <c r="T41" s="234" t="s">
        <v>124</v>
      </c>
      <c r="U41" s="236"/>
      <c r="V41" s="2172"/>
      <c r="W41" s="2173"/>
      <c r="X41" s="2173"/>
      <c r="Y41" s="2173"/>
      <c r="Z41" s="2173"/>
      <c r="AA41" s="2173"/>
      <c r="AB41" s="2174"/>
      <c r="AC41" s="2172" t="str">
        <f>INDEX(PT_DIFFERENTIATION_NTAR,MATCH(A41,PT_DIFFERENTIATION_NTAR_ID,0))</f>
        <v/>
      </c>
      <c r="AD41" s="2173"/>
      <c r="AE41" s="2173"/>
      <c r="AF41" s="2173"/>
      <c r="AG41" s="2173"/>
      <c r="AH41" s="2173"/>
      <c r="AI41" s="2173"/>
      <c r="AJ41" s="2174"/>
      <c r="AK41" s="1183"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41" s="435"/>
      <c r="AN41" s="435" t="str">
        <f t="shared" ref="AN41:AN53" si="1">IF(T41="","",T41)</f>
        <v>Наименование тарифа</v>
      </c>
      <c r="AO41" s="435"/>
      <c r="AP41" s="435"/>
      <c r="AQ41" s="1080">
        <v>23</v>
      </c>
    </row>
    <row r="42" spans="1:43" ht="24" customHeight="1">
      <c r="A42" s="1288" t="s">
        <v>240</v>
      </c>
      <c r="B42" s="1288" t="s">
        <v>241</v>
      </c>
      <c r="C42" s="1288"/>
      <c r="D42" s="1288"/>
      <c r="E42" s="2187"/>
      <c r="F42" s="2186">
        <v>1</v>
      </c>
      <c r="G42" s="1288"/>
      <c r="H42" s="1288"/>
      <c r="I42" s="1288"/>
      <c r="J42" s="1288"/>
      <c r="K42" s="1288"/>
      <c r="L42" s="1289"/>
      <c r="M42" s="1290"/>
      <c r="N42" s="1290"/>
      <c r="O42" s="1290"/>
      <c r="P42" s="1378"/>
      <c r="Q42" s="287"/>
      <c r="R42" s="288"/>
      <c r="S42" s="1382" t="str">
        <f>INDEX(PT_DIFFERENTIATION_NUM_TER,MATCH(B42,PT_DIFFERENTIATION_TER_ID,0))</f>
        <v>.</v>
      </c>
      <c r="T42" s="244" t="s">
        <v>396</v>
      </c>
      <c r="U42" s="236"/>
      <c r="V42" s="2172"/>
      <c r="W42" s="2173"/>
      <c r="X42" s="2173"/>
      <c r="Y42" s="2173"/>
      <c r="Z42" s="2173"/>
      <c r="AA42" s="2173"/>
      <c r="AB42" s="2174"/>
      <c r="AC42" s="2172" t="str">
        <f>INDEX(PT_DIFFERENTIATION_TER,MATCH(B42,PT_DIFFERENTIATION_TER_ID,0))</f>
        <v/>
      </c>
      <c r="AD42" s="2173"/>
      <c r="AE42" s="2173"/>
      <c r="AF42" s="2173"/>
      <c r="AG42" s="2173"/>
      <c r="AH42" s="2173"/>
      <c r="AI42" s="2173"/>
      <c r="AJ42" s="2174"/>
      <c r="AK42" s="1183" t="s">
        <v>397</v>
      </c>
      <c r="AM42" s="435"/>
      <c r="AN42" s="435" t="str">
        <f t="shared" si="1"/>
        <v>Территория действия тарифа</v>
      </c>
      <c r="AO42" s="435"/>
      <c r="AP42" s="435"/>
      <c r="AQ42" s="1080">
        <v>23</v>
      </c>
    </row>
    <row r="43" spans="1:43" ht="24" customHeight="1">
      <c r="A43" s="1288" t="s">
        <v>240</v>
      </c>
      <c r="B43" s="1288" t="s">
        <v>241</v>
      </c>
      <c r="C43" s="1288" t="s">
        <v>242</v>
      </c>
      <c r="D43" s="1288"/>
      <c r="E43" s="2187"/>
      <c r="F43" s="2187"/>
      <c r="G43" s="2186">
        <v>1</v>
      </c>
      <c r="H43" s="1288"/>
      <c r="I43" s="1288"/>
      <c r="J43" s="1288"/>
      <c r="K43" s="1288"/>
      <c r="L43" s="1289"/>
      <c r="M43" s="1290"/>
      <c r="N43" s="1290"/>
      <c r="O43" s="1290"/>
      <c r="P43" s="289"/>
      <c r="Q43" s="287"/>
      <c r="R43" s="288"/>
      <c r="S43" s="1382" t="str">
        <f>INDEX(PT_DIFFERENTIATION_NUM_CS,MATCH(C43,PT_DIFFERENTIATION_CS_ID,0))</f>
        <v>..</v>
      </c>
      <c r="T43" s="245" t="s">
        <v>480</v>
      </c>
      <c r="U43" s="236"/>
      <c r="V43" s="2172"/>
      <c r="W43" s="2173"/>
      <c r="X43" s="2173"/>
      <c r="Y43" s="2173"/>
      <c r="Z43" s="2173"/>
      <c r="AA43" s="2173"/>
      <c r="AB43" s="2174"/>
      <c r="AC43" s="2172" t="str">
        <f>INDEX(PT_DIFFERENTIATION_CS,MATCH(C43,PT_DIFFERENTIATION_CS_ID,0))</f>
        <v/>
      </c>
      <c r="AD43" s="2173"/>
      <c r="AE43" s="2173"/>
      <c r="AF43" s="2173"/>
      <c r="AG43" s="2173"/>
      <c r="AH43" s="2173"/>
      <c r="AI43" s="2173"/>
      <c r="AJ43" s="2174"/>
      <c r="AK43" s="1183" t="s">
        <v>481</v>
      </c>
      <c r="AM43" s="435"/>
      <c r="AN43" s="435" t="str">
        <f t="shared" si="1"/>
        <v>Наименование централизованной системы холодного водоснабжения</v>
      </c>
      <c r="AO43" s="435"/>
      <c r="AP43" s="435"/>
      <c r="AQ43" s="1080">
        <v>23</v>
      </c>
    </row>
    <row r="44" spans="1:43" ht="24" customHeight="1">
      <c r="A44" s="1288" t="s">
        <v>240</v>
      </c>
      <c r="B44" s="1288" t="s">
        <v>241</v>
      </c>
      <c r="C44" s="1288" t="s">
        <v>242</v>
      </c>
      <c r="D44" s="1288" t="s">
        <v>497</v>
      </c>
      <c r="E44" s="2187"/>
      <c r="F44" s="2187"/>
      <c r="G44" s="2187"/>
      <c r="H44" s="2187"/>
      <c r="I44" s="2184" t="str">
        <f>S43&amp;".1"</f>
        <v>...1</v>
      </c>
      <c r="J44" s="1288"/>
      <c r="K44" s="1288"/>
      <c r="L44" s="1289"/>
      <c r="P44" s="2185">
        <v>1</v>
      </c>
      <c r="Q44" s="1375"/>
      <c r="R44" s="291"/>
      <c r="S44" s="1382" t="str">
        <f>$I44</f>
        <v>...1</v>
      </c>
      <c r="T44" s="221" t="s">
        <v>482</v>
      </c>
      <c r="U44" s="236"/>
      <c r="V44" s="2253"/>
      <c r="W44" s="2254"/>
      <c r="X44" s="2254"/>
      <c r="Y44" s="2254"/>
      <c r="Z44" s="2254"/>
      <c r="AA44" s="2254"/>
      <c r="AB44" s="2255"/>
      <c r="AC44" s="2256"/>
      <c r="AD44" s="2257"/>
      <c r="AE44" s="2257"/>
      <c r="AF44" s="2257"/>
      <c r="AG44" s="2257"/>
      <c r="AH44" s="2257"/>
      <c r="AI44" s="2257"/>
      <c r="AJ44" s="2258"/>
      <c r="AK44" s="1183" t="s">
        <v>483</v>
      </c>
      <c r="AM44" s="435"/>
      <c r="AN44" s="435" t="str">
        <f t="shared" si="1"/>
        <v>Наименование признака дифференциации</v>
      </c>
      <c r="AO44" s="435"/>
      <c r="AP44" s="435"/>
      <c r="AQ44" s="1080">
        <v>23</v>
      </c>
    </row>
    <row r="45" spans="1:43" ht="24" customHeight="1">
      <c r="A45" s="1288" t="s">
        <v>240</v>
      </c>
      <c r="B45" s="1288" t="s">
        <v>241</v>
      </c>
      <c r="C45" s="1288" t="s">
        <v>242</v>
      </c>
      <c r="D45" s="1288" t="s">
        <v>497</v>
      </c>
      <c r="E45" s="2187"/>
      <c r="F45" s="2187"/>
      <c r="G45" s="2187"/>
      <c r="H45" s="2187"/>
      <c r="I45" s="2207"/>
      <c r="J45" s="2184" t="str">
        <f>I44&amp;".1"</f>
        <v>...1.1</v>
      </c>
      <c r="K45" s="1288"/>
      <c r="L45" s="1289" t="s">
        <v>405</v>
      </c>
      <c r="P45" s="2185"/>
      <c r="Q45" s="2185">
        <v>1</v>
      </c>
      <c r="R45" s="292"/>
      <c r="S45" s="1382" t="str">
        <f>$J45</f>
        <v>...1.1</v>
      </c>
      <c r="T45" s="222" t="s">
        <v>406</v>
      </c>
      <c r="U45" s="236"/>
      <c r="V45" s="2175"/>
      <c r="W45" s="2176"/>
      <c r="X45" s="2176"/>
      <c r="Y45" s="2176"/>
      <c r="Z45" s="2176"/>
      <c r="AA45" s="2176"/>
      <c r="AB45" s="2177"/>
      <c r="AC45" s="2175"/>
      <c r="AD45" s="2176"/>
      <c r="AE45" s="2176"/>
      <c r="AF45" s="2176"/>
      <c r="AG45" s="2176"/>
      <c r="AH45" s="2176"/>
      <c r="AI45" s="2176"/>
      <c r="AJ45" s="2177"/>
      <c r="AK45" s="1232" t="s">
        <v>484</v>
      </c>
      <c r="AM45" s="435"/>
      <c r="AN45" s="435" t="str">
        <f t="shared" si="1"/>
        <v>Группа потребителей</v>
      </c>
      <c r="AO45" s="435"/>
      <c r="AP45" s="435"/>
      <c r="AQ45" s="1080">
        <v>23</v>
      </c>
    </row>
    <row r="46" spans="1:43" ht="24" customHeight="1">
      <c r="A46" s="1288" t="s">
        <v>240</v>
      </c>
      <c r="B46" s="1288" t="s">
        <v>241</v>
      </c>
      <c r="C46" s="1288" t="s">
        <v>242</v>
      </c>
      <c r="D46" s="1288" t="s">
        <v>497</v>
      </c>
      <c r="E46" s="2187"/>
      <c r="F46" s="2187"/>
      <c r="G46" s="2187"/>
      <c r="H46" s="2187"/>
      <c r="I46" s="2207"/>
      <c r="J46" s="2207"/>
      <c r="K46" s="2184" t="str">
        <f>J45&amp;".1"</f>
        <v>...1.1.1</v>
      </c>
      <c r="L46" s="1289"/>
      <c r="P46" s="2185"/>
      <c r="Q46" s="2185"/>
      <c r="R46" s="292">
        <v>1</v>
      </c>
      <c r="S46" s="1382" t="str">
        <f>$K46</f>
        <v>...1.1.1</v>
      </c>
      <c r="T46" s="1362"/>
      <c r="U46" s="236"/>
      <c r="V46" s="686"/>
      <c r="W46" s="686"/>
      <c r="X46" s="1182"/>
      <c r="Y46" s="2189"/>
      <c r="Z46" s="2047" t="s">
        <v>66</v>
      </c>
      <c r="AA46" s="2189"/>
      <c r="AB46" s="2047" t="s">
        <v>66</v>
      </c>
      <c r="AC46" s="686"/>
      <c r="AD46" s="686"/>
      <c r="AE46" s="1182"/>
      <c r="AF46" s="2189"/>
      <c r="AG46" s="2047" t="s">
        <v>66</v>
      </c>
      <c r="AH46" s="2208"/>
      <c r="AI46" s="2047" t="s">
        <v>66</v>
      </c>
      <c r="AJ46" s="1363"/>
      <c r="AK46" s="2252"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46" s="446" t="e">
        <f ca="1">STRCHECKDATE(V47:AJ47)</f>
        <v>#NAME?</v>
      </c>
      <c r="AM46" s="435"/>
      <c r="AN46" s="435" t="str">
        <f t="shared" si="1"/>
        <v/>
      </c>
      <c r="AO46" s="435"/>
      <c r="AP46" s="435"/>
      <c r="AQ46" s="1080">
        <v>23</v>
      </c>
    </row>
    <row r="47" spans="1:43" ht="0" hidden="1" customHeight="1">
      <c r="A47" s="1288" t="s">
        <v>240</v>
      </c>
      <c r="B47" s="1288" t="s">
        <v>241</v>
      </c>
      <c r="C47" s="1288" t="s">
        <v>242</v>
      </c>
      <c r="D47" s="1288" t="s">
        <v>497</v>
      </c>
      <c r="E47" s="2187"/>
      <c r="F47" s="2187"/>
      <c r="G47" s="2187"/>
      <c r="H47" s="2187"/>
      <c r="I47" s="2207"/>
      <c r="J47" s="2207"/>
      <c r="K47" s="2184"/>
      <c r="L47" s="1289"/>
      <c r="P47" s="2185"/>
      <c r="Q47" s="2185"/>
      <c r="R47" s="292"/>
      <c r="S47" s="1381"/>
      <c r="T47" s="236"/>
      <c r="U47" s="236"/>
      <c r="V47" s="261"/>
      <c r="W47" s="261"/>
      <c r="X47" s="264" t="str">
        <f>Y46&amp;"-"&amp;AA46</f>
        <v>-</v>
      </c>
      <c r="Y47" s="2190"/>
      <c r="Z47" s="2047"/>
      <c r="AA47" s="2190"/>
      <c r="AB47" s="2047"/>
      <c r="AC47" s="261"/>
      <c r="AD47" s="261"/>
      <c r="AE47" s="264" t="str">
        <f>AF46&amp;"-"&amp;AH46</f>
        <v>-</v>
      </c>
      <c r="AF47" s="2190"/>
      <c r="AG47" s="2047"/>
      <c r="AH47" s="2209"/>
      <c r="AI47" s="2047"/>
      <c r="AJ47" s="1364"/>
      <c r="AK47" s="2252"/>
      <c r="AM47" s="435"/>
      <c r="AN47" s="435" t="str">
        <f t="shared" si="1"/>
        <v/>
      </c>
      <c r="AO47" s="435"/>
      <c r="AP47" s="435"/>
      <c r="AQ47" s="1080">
        <v>0</v>
      </c>
    </row>
    <row r="48" spans="1:43" ht="21" customHeight="1">
      <c r="A48" s="1288" t="s">
        <v>240</v>
      </c>
      <c r="B48" s="1288" t="s">
        <v>241</v>
      </c>
      <c r="C48" s="1288" t="s">
        <v>242</v>
      </c>
      <c r="D48" s="1288" t="s">
        <v>497</v>
      </c>
      <c r="E48" s="2187"/>
      <c r="F48" s="2187"/>
      <c r="G48" s="2187"/>
      <c r="H48" s="2187"/>
      <c r="I48" s="2207"/>
      <c r="J48" s="2184"/>
      <c r="K48" s="1288"/>
      <c r="L48" s="1289"/>
      <c r="P48" s="2185"/>
      <c r="Q48" s="2185"/>
      <c r="R48" s="291"/>
      <c r="S48" s="1203"/>
      <c r="T48" s="223" t="s">
        <v>485</v>
      </c>
      <c r="U48" s="302"/>
      <c r="V48" s="302"/>
      <c r="W48" s="302"/>
      <c r="X48" s="302"/>
      <c r="Y48" s="302"/>
      <c r="Z48" s="302"/>
      <c r="AA48" s="302"/>
      <c r="AB48" s="302"/>
      <c r="AC48" s="302"/>
      <c r="AD48" s="302"/>
      <c r="AE48" s="302"/>
      <c r="AF48" s="302"/>
      <c r="AG48" s="302"/>
      <c r="AH48" s="302"/>
      <c r="AI48" s="302"/>
      <c r="AJ48" s="302"/>
      <c r="AK48" s="1183" t="s">
        <v>486</v>
      </c>
      <c r="AM48" s="435"/>
      <c r="AN48" s="435" t="str">
        <f t="shared" si="1"/>
        <v>Добавить значение признака дифференциации</v>
      </c>
      <c r="AO48" s="435"/>
      <c r="AP48" s="435"/>
      <c r="AQ48" s="1080">
        <v>20</v>
      </c>
    </row>
    <row r="49" spans="1:43" ht="21.95" customHeight="1">
      <c r="A49" s="1288" t="s">
        <v>240</v>
      </c>
      <c r="B49" s="1288" t="s">
        <v>241</v>
      </c>
      <c r="C49" s="1288" t="s">
        <v>242</v>
      </c>
      <c r="D49" s="1288" t="s">
        <v>497</v>
      </c>
      <c r="E49" s="2187"/>
      <c r="F49" s="2187"/>
      <c r="G49" s="2187"/>
      <c r="H49" s="2187"/>
      <c r="I49" s="2184"/>
      <c r="J49" s="1288"/>
      <c r="K49" s="1288"/>
      <c r="L49" s="1289"/>
      <c r="P49" s="2185"/>
      <c r="Q49" s="1375"/>
      <c r="R49" s="291"/>
      <c r="S49" s="1203"/>
      <c r="T49" s="300" t="s">
        <v>411</v>
      </c>
      <c r="U49" s="302"/>
      <c r="V49" s="302"/>
      <c r="W49" s="302"/>
      <c r="X49" s="302"/>
      <c r="Y49" s="302"/>
      <c r="Z49" s="302"/>
      <c r="AA49" s="302"/>
      <c r="AB49" s="301"/>
      <c r="AC49" s="302"/>
      <c r="AD49" s="302"/>
      <c r="AE49" s="302"/>
      <c r="AF49" s="302"/>
      <c r="AG49" s="302"/>
      <c r="AH49" s="302"/>
      <c r="AI49" s="301"/>
      <c r="AJ49" s="302"/>
      <c r="AK49" s="1365"/>
      <c r="AM49" s="435"/>
      <c r="AN49" s="435" t="str">
        <f t="shared" si="1"/>
        <v>Добавить группу потребителей</v>
      </c>
      <c r="AO49" s="435"/>
      <c r="AP49" s="435"/>
      <c r="AQ49" s="1080">
        <v>21</v>
      </c>
    </row>
    <row r="50" spans="1:43" ht="21.95" customHeight="1">
      <c r="A50" s="1288" t="s">
        <v>240</v>
      </c>
      <c r="B50" s="1288" t="s">
        <v>241</v>
      </c>
      <c r="C50" s="1288" t="s">
        <v>242</v>
      </c>
      <c r="D50" s="1288" t="s">
        <v>497</v>
      </c>
      <c r="E50" s="2187"/>
      <c r="F50" s="2187"/>
      <c r="G50" s="2187"/>
      <c r="H50" s="2186"/>
      <c r="I50" s="1288"/>
      <c r="J50" s="1288"/>
      <c r="K50" s="1288"/>
      <c r="L50" s="1289"/>
      <c r="M50" s="1290"/>
      <c r="N50" s="1290"/>
      <c r="O50" s="472"/>
      <c r="P50" s="295"/>
      <c r="Q50" s="310"/>
      <c r="R50" s="290"/>
      <c r="S50" s="1203"/>
      <c r="T50" s="307" t="s">
        <v>487</v>
      </c>
      <c r="U50" s="302"/>
      <c r="V50" s="302"/>
      <c r="W50" s="302"/>
      <c r="X50" s="302"/>
      <c r="Y50" s="302"/>
      <c r="Z50" s="302"/>
      <c r="AA50" s="302"/>
      <c r="AB50" s="301"/>
      <c r="AC50" s="302"/>
      <c r="AD50" s="302"/>
      <c r="AE50" s="302"/>
      <c r="AF50" s="302"/>
      <c r="AG50" s="302"/>
      <c r="AH50" s="302"/>
      <c r="AI50" s="301"/>
      <c r="AJ50" s="302"/>
      <c r="AK50" s="239"/>
      <c r="AM50" s="435"/>
      <c r="AN50" s="435" t="str">
        <f t="shared" si="1"/>
        <v>Добавить наименование признака дифференциации</v>
      </c>
      <c r="AO50" s="435"/>
      <c r="AP50" s="435"/>
      <c r="AQ50" s="1080">
        <v>21</v>
      </c>
    </row>
    <row r="51" spans="1:43" s="1567" customFormat="1" ht="0" hidden="1" customHeight="1">
      <c r="A51" s="1268" t="s">
        <v>240</v>
      </c>
      <c r="B51" s="1268" t="s">
        <v>241</v>
      </c>
      <c r="C51" s="1239"/>
      <c r="D51" s="1239"/>
      <c r="E51" s="2187"/>
      <c r="F51" s="2186"/>
      <c r="G51" s="1239"/>
      <c r="H51" s="1239"/>
      <c r="I51" s="1239"/>
      <c r="J51" s="1239"/>
      <c r="K51" s="1239"/>
      <c r="L51" s="1383"/>
      <c r="M51" s="1246"/>
      <c r="N51" s="1246"/>
      <c r="P51" s="1241"/>
      <c r="Q51" s="1242"/>
      <c r="R51" s="1241"/>
      <c r="S51" s="1247"/>
      <c r="T51" s="1250" t="s">
        <v>414</v>
      </c>
      <c r="U51" s="1249"/>
      <c r="V51" s="1249"/>
      <c r="W51" s="1249"/>
      <c r="X51" s="1249"/>
      <c r="Y51" s="1249"/>
      <c r="Z51" s="1249"/>
      <c r="AA51" s="1249"/>
      <c r="AB51" s="1249"/>
      <c r="AC51" s="1249"/>
      <c r="AD51" s="1249"/>
      <c r="AE51" s="1249"/>
      <c r="AF51" s="1249"/>
      <c r="AG51" s="1249"/>
      <c r="AH51" s="1249"/>
      <c r="AI51" s="1249"/>
      <c r="AJ51" s="1249"/>
      <c r="AK51" s="1249"/>
      <c r="AM51" s="718"/>
      <c r="AN51" s="718" t="str">
        <f t="shared" si="1"/>
        <v>Добавить централизованную систему для дифференциации</v>
      </c>
      <c r="AO51" s="718"/>
      <c r="AP51" s="718"/>
      <c r="AQ51" s="453">
        <v>0</v>
      </c>
    </row>
    <row r="52" spans="1:43" s="1567" customFormat="1" ht="0" hidden="1" customHeight="1">
      <c r="A52" s="1268" t="s">
        <v>240</v>
      </c>
      <c r="B52" s="1268"/>
      <c r="C52" s="1268"/>
      <c r="D52" s="1268"/>
      <c r="E52" s="2186"/>
      <c r="F52" s="1268"/>
      <c r="G52" s="1268"/>
      <c r="H52" s="1268"/>
      <c r="I52" s="1268"/>
      <c r="J52" s="1268"/>
      <c r="K52" s="1268"/>
      <c r="L52" s="1271"/>
      <c r="M52" s="1246"/>
      <c r="N52" s="1246"/>
      <c r="O52" s="453"/>
      <c r="P52" s="315"/>
      <c r="Q52" s="1269"/>
      <c r="R52" s="315"/>
      <c r="S52" s="1247"/>
      <c r="T52" s="1250" t="s">
        <v>415</v>
      </c>
      <c r="U52" s="1249"/>
      <c r="V52" s="1249"/>
      <c r="W52" s="1249"/>
      <c r="X52" s="1249"/>
      <c r="Y52" s="1249"/>
      <c r="Z52" s="1249"/>
      <c r="AA52" s="1249"/>
      <c r="AB52" s="1249"/>
      <c r="AC52" s="1249"/>
      <c r="AD52" s="1249"/>
      <c r="AE52" s="1249"/>
      <c r="AF52" s="1249"/>
      <c r="AG52" s="1249"/>
      <c r="AH52" s="1249"/>
      <c r="AI52" s="1249"/>
      <c r="AJ52" s="1249"/>
      <c r="AK52" s="1249"/>
      <c r="AM52" s="435"/>
      <c r="AN52" s="435" t="str">
        <f t="shared" si="1"/>
        <v>Добавить территорию для дифференциации</v>
      </c>
      <c r="AO52" s="435"/>
      <c r="AP52" s="435"/>
      <c r="AQ52" s="446">
        <v>0</v>
      </c>
    </row>
    <row r="53" spans="1:43" s="1567" customFormat="1" ht="0" hidden="1" customHeight="1">
      <c r="A53" s="1239"/>
      <c r="B53" s="1239"/>
      <c r="C53" s="1239"/>
      <c r="D53" s="1239"/>
      <c r="E53" s="1268"/>
      <c r="F53" s="1239"/>
      <c r="G53" s="1239"/>
      <c r="H53" s="1239"/>
      <c r="I53" s="1239"/>
      <c r="J53" s="1239"/>
      <c r="K53" s="1239"/>
      <c r="L53" s="1383"/>
      <c r="M53" s="1246"/>
      <c r="N53" s="1246"/>
      <c r="P53" s="1241"/>
      <c r="Q53" s="1242"/>
      <c r="R53" s="1241"/>
      <c r="S53" s="1247"/>
      <c r="T53" s="1250" t="s">
        <v>447</v>
      </c>
      <c r="U53" s="1249"/>
      <c r="V53" s="1249"/>
      <c r="W53" s="1249"/>
      <c r="X53" s="1249"/>
      <c r="Y53" s="1249"/>
      <c r="Z53" s="1249"/>
      <c r="AA53" s="1249"/>
      <c r="AB53" s="1249"/>
      <c r="AC53" s="1249"/>
      <c r="AD53" s="1249"/>
      <c r="AE53" s="1249"/>
      <c r="AF53" s="1249"/>
      <c r="AG53" s="1249"/>
      <c r="AH53" s="1249"/>
      <c r="AI53" s="1249"/>
      <c r="AJ53" s="1249"/>
      <c r="AK53" s="1249"/>
      <c r="AM53" s="718"/>
      <c r="AN53" s="718" t="str">
        <f t="shared" si="1"/>
        <v>Добавить наименование тарифа</v>
      </c>
      <c r="AO53" s="718"/>
      <c r="AP53" s="718"/>
      <c r="AQ53" s="453">
        <v>0</v>
      </c>
    </row>
    <row r="54" spans="1:43" ht="11.45" customHeight="1">
      <c r="M54" s="1085"/>
      <c r="N54" s="1085"/>
      <c r="O54" s="472"/>
      <c r="P54" s="1080"/>
      <c r="Q54" s="1080"/>
      <c r="R54" s="1080"/>
      <c r="S54" s="1080"/>
      <c r="AL54" s="1080"/>
      <c r="AM54" s="1080"/>
      <c r="AN54" s="1080"/>
      <c r="AO54" s="1080"/>
      <c r="AP54" s="1080"/>
      <c r="AQ54" s="1080">
        <v>11</v>
      </c>
    </row>
    <row r="55" spans="1:43" ht="14.65" customHeight="1">
      <c r="O55" s="472"/>
      <c r="S55" s="1178"/>
      <c r="T55" s="2206"/>
      <c r="U55" s="2206"/>
      <c r="V55" s="2206"/>
      <c r="W55" s="2206"/>
      <c r="X55" s="2206"/>
      <c r="Y55" s="2206"/>
      <c r="Z55" s="2206"/>
      <c r="AA55" s="2206"/>
      <c r="AB55" s="2206"/>
      <c r="AC55" s="2206"/>
      <c r="AD55" s="2206"/>
      <c r="AE55" s="2206"/>
      <c r="AF55" s="2206"/>
      <c r="AG55" s="2206"/>
      <c r="AH55" s="2206"/>
      <c r="AI55" s="2206"/>
      <c r="AJ55" s="2206"/>
      <c r="AK55" s="2206"/>
      <c r="AQ55" s="1080">
        <v>14</v>
      </c>
    </row>
    <row r="56" spans="1:43" ht="14.65" customHeight="1">
      <c r="O56" s="472"/>
      <c r="AQ56" s="1080">
        <v>14</v>
      </c>
    </row>
    <row r="57" spans="1:43" ht="14.65" customHeight="1">
      <c r="O57" s="472"/>
      <c r="S57" s="1178"/>
      <c r="T57" s="2206"/>
      <c r="U57" s="2206"/>
      <c r="V57" s="2206"/>
      <c r="W57" s="2206"/>
      <c r="X57" s="2206"/>
      <c r="Y57" s="2206"/>
      <c r="Z57" s="2206"/>
      <c r="AA57" s="2206"/>
      <c r="AB57" s="2206"/>
      <c r="AC57" s="2206"/>
      <c r="AD57" s="2206"/>
      <c r="AE57" s="2206"/>
      <c r="AF57" s="2206"/>
      <c r="AG57" s="2206"/>
      <c r="AH57" s="2206"/>
      <c r="AI57" s="2206"/>
      <c r="AJ57" s="2206"/>
      <c r="AK57" s="2206"/>
      <c r="AQ57" s="1080">
        <v>14</v>
      </c>
    </row>
    <row r="58" spans="1:43" ht="22.5" hidden="1" customHeight="1">
      <c r="A58" s="1085" t="s">
        <v>82</v>
      </c>
      <c r="B58" s="1085">
        <v>0</v>
      </c>
      <c r="C58" s="1085">
        <v>0</v>
      </c>
      <c r="D58" s="1085">
        <v>0</v>
      </c>
      <c r="E58" s="1085">
        <v>0</v>
      </c>
      <c r="F58" s="1085">
        <v>0</v>
      </c>
      <c r="G58" s="1085">
        <v>0</v>
      </c>
      <c r="H58" s="1085">
        <v>0</v>
      </c>
      <c r="I58" s="1085">
        <v>0</v>
      </c>
      <c r="J58" s="1085">
        <v>0</v>
      </c>
      <c r="K58" s="1085">
        <v>0</v>
      </c>
      <c r="L58" s="1372">
        <v>0</v>
      </c>
      <c r="M58" s="1287">
        <v>0</v>
      </c>
      <c r="N58" s="1287">
        <v>0</v>
      </c>
      <c r="O58" s="1287">
        <v>0</v>
      </c>
      <c r="P58" s="1371">
        <v>3</v>
      </c>
      <c r="Q58" s="280">
        <v>3</v>
      </c>
      <c r="R58" s="280">
        <v>3</v>
      </c>
      <c r="S58" s="516">
        <v>12</v>
      </c>
      <c r="T58" s="1080">
        <v>35</v>
      </c>
      <c r="U58" s="1080">
        <v>0</v>
      </c>
      <c r="V58" s="1080">
        <v>0</v>
      </c>
      <c r="W58" s="1080">
        <v>0</v>
      </c>
      <c r="X58" s="1080">
        <v>0</v>
      </c>
      <c r="Y58" s="1080">
        <v>0</v>
      </c>
      <c r="Z58" s="1080">
        <v>0</v>
      </c>
      <c r="AA58" s="1080">
        <v>0</v>
      </c>
      <c r="AB58" s="1080">
        <v>0</v>
      </c>
      <c r="AC58" s="1080">
        <v>24</v>
      </c>
      <c r="AD58" s="1080">
        <v>24</v>
      </c>
      <c r="AE58" s="1080">
        <v>24</v>
      </c>
      <c r="AF58" s="1080">
        <v>11</v>
      </c>
      <c r="AG58" s="1080">
        <v>3</v>
      </c>
      <c r="AH58" s="1080">
        <v>11</v>
      </c>
      <c r="AI58" s="1080">
        <v>0</v>
      </c>
      <c r="AJ58" s="1080">
        <v>4</v>
      </c>
      <c r="AK58" s="1080">
        <v>115</v>
      </c>
      <c r="AL58" s="446">
        <v>10</v>
      </c>
      <c r="AM58" s="446">
        <v>10</v>
      </c>
      <c r="AN58" s="446">
        <v>10</v>
      </c>
      <c r="AO58" s="446">
        <v>10</v>
      </c>
      <c r="AP58" s="446">
        <v>10</v>
      </c>
      <c r="AQ58" s="1080">
        <v>23</v>
      </c>
    </row>
  </sheetData>
  <sheetProtection formatColumns="0" formatRows="0" insertRows="0" deleteColumns="0" deleteRows="0" sort="0" autoFilter="0"/>
  <mergeCells count="101">
    <mergeCell ref="AK46:AK47"/>
    <mergeCell ref="T55:AK55"/>
    <mergeCell ref="T57:AK57"/>
    <mergeCell ref="K46:K47"/>
    <mergeCell ref="Y46:Y47"/>
    <mergeCell ref="Z46:Z47"/>
    <mergeCell ref="AA46:AA47"/>
    <mergeCell ref="AB46:AB47"/>
    <mergeCell ref="AF46:AF47"/>
    <mergeCell ref="Z40:AA40"/>
    <mergeCell ref="AG40:AH40"/>
    <mergeCell ref="E41:E52"/>
    <mergeCell ref="V41:AB41"/>
    <mergeCell ref="AC41:AJ41"/>
    <mergeCell ref="F42:F51"/>
    <mergeCell ref="V42:AB42"/>
    <mergeCell ref="AC42:AJ42"/>
    <mergeCell ref="G43:G50"/>
    <mergeCell ref="V43:AB43"/>
    <mergeCell ref="AC43:AJ43"/>
    <mergeCell ref="H44:H50"/>
    <mergeCell ref="I44:I49"/>
    <mergeCell ref="P44:P49"/>
    <mergeCell ref="V44:AB44"/>
    <mergeCell ref="AC44:AJ44"/>
    <mergeCell ref="J45:J48"/>
    <mergeCell ref="Q45:Q48"/>
    <mergeCell ref="V45:AB45"/>
    <mergeCell ref="AC45:AJ45"/>
    <mergeCell ref="AG46:AG47"/>
    <mergeCell ref="AH46:AH47"/>
    <mergeCell ref="AI46:AI47"/>
    <mergeCell ref="AK36:AK39"/>
    <mergeCell ref="S37:S39"/>
    <mergeCell ref="T37:T39"/>
    <mergeCell ref="V37:AA37"/>
    <mergeCell ref="AB37:AB39"/>
    <mergeCell ref="AC37:AH37"/>
    <mergeCell ref="AI37:AI39"/>
    <mergeCell ref="S32:T32"/>
    <mergeCell ref="V32:AA32"/>
    <mergeCell ref="AC32:AH32"/>
    <mergeCell ref="S33:T33"/>
    <mergeCell ref="V33:AA33"/>
    <mergeCell ref="AC33:AH33"/>
    <mergeCell ref="AJ37:AJ39"/>
    <mergeCell ref="W38:X38"/>
    <mergeCell ref="Y38:AA38"/>
    <mergeCell ref="AD38:AE38"/>
    <mergeCell ref="AF38:AH38"/>
    <mergeCell ref="Z39:AA39"/>
    <mergeCell ref="AG39:AH39"/>
    <mergeCell ref="V35:AB35"/>
    <mergeCell ref="AC35:AI35"/>
    <mergeCell ref="S36:AJ36"/>
    <mergeCell ref="S29:T29"/>
    <mergeCell ref="V29:AA29"/>
    <mergeCell ref="AC29:AH29"/>
    <mergeCell ref="S30:T30"/>
    <mergeCell ref="V30:AA30"/>
    <mergeCell ref="AC30:AH30"/>
    <mergeCell ref="S24:AH24"/>
    <mergeCell ref="S25:AH25"/>
    <mergeCell ref="S27:T27"/>
    <mergeCell ref="V27:AA27"/>
    <mergeCell ref="AC27:AH27"/>
    <mergeCell ref="S28:T28"/>
    <mergeCell ref="V28:AA28"/>
    <mergeCell ref="AC28:AH28"/>
    <mergeCell ref="AK7:AK8"/>
    <mergeCell ref="AF15:AF16"/>
    <mergeCell ref="AG15:AG16"/>
    <mergeCell ref="AH15:AH16"/>
    <mergeCell ref="AI15:AI16"/>
    <mergeCell ref="Z7:Z8"/>
    <mergeCell ref="AA7:AA8"/>
    <mergeCell ref="AB7:AB8"/>
    <mergeCell ref="AF7:AF8"/>
    <mergeCell ref="AG7:AG8"/>
    <mergeCell ref="AH7:AH8"/>
    <mergeCell ref="E2:E13"/>
    <mergeCell ref="V2:AB2"/>
    <mergeCell ref="AC2:AJ2"/>
    <mergeCell ref="F3:F12"/>
    <mergeCell ref="V3:AB3"/>
    <mergeCell ref="AC3:AJ3"/>
    <mergeCell ref="G4:G11"/>
    <mergeCell ref="V4:AB4"/>
    <mergeCell ref="AC4:AJ4"/>
    <mergeCell ref="H5:H11"/>
    <mergeCell ref="I5:I10"/>
    <mergeCell ref="P5:P10"/>
    <mergeCell ref="V5:AB5"/>
    <mergeCell ref="AC5:AJ5"/>
    <mergeCell ref="J6:J9"/>
    <mergeCell ref="Q6:Q9"/>
    <mergeCell ref="V6:AB6"/>
    <mergeCell ref="AC6:AJ6"/>
    <mergeCell ref="K7:K8"/>
    <mergeCell ref="Y7:Y8"/>
    <mergeCell ref="AI7:AI8"/>
  </mergeCells>
  <dataValidations count="8">
    <dataValidation type="list" allowBlank="1" showInputMessage="1" errorTitle="Ошибка" error="Выберите значение из списка" prompt="Выберите значение из списка" sqref="V983081:AJ983081 V65577:AJ65577 V131113:AJ131113 V196649:AJ196649 V262185:AJ262185 V327721:AJ327721 V393257:AJ393257 V458793:AJ458793 V524329:AJ524329 V589865:AJ589865 V655401:AJ655401 V720937:AJ720937 V786473:AJ786473 V852009:AJ852009 V917545:AJ917545">
      <formula1>kind_of_cons</formula1>
    </dataValidation>
    <dataValidation allowBlank="1" sqref="S131116:AK131122 S196652:AK196658 S262188:AK262194 S327724:AK327730 S393260:AK393266 S458796:AK458802 S524332:AK524338 S589868:AK589874 S655404:AK655410 S720940:AK720946 S786476:AK786482 S852012:AK852018 S917548:AK917554 S983084:AK983090 S65580:AK65586"/>
    <dataValidation allowBlank="1" showInputMessage="1" showErrorMessage="1" prompt="Для выбора выполните двойной щелчок левой клавиши мыши по соответствующей ячейке." sqref="Z65578 Z131114 Z196650 Z262186 Z327722 Z393258 Z458794 Z524330 Z589866 Z655402 Z720938 Z786474 Z852010 Z917546 Z983082 AB131114 AB458794 AB196650 AB262186 AB327722 AB393258 AB524330 AB589866 AB655402 AB720938 AB786474 AB852010 AB917546 AB983082 AB65578 AG65578 AG131114 AG196650 AG262186 AG327722 AG393258 AG458794 AG524330 AG589866 AG655402 AG720938 AG786474 AG852010 AG917546 AG983082 AI46 AI524330 AI196650 AI589866 AI655402 AI15 AI720938 AI786474 AI852010 AI917546 AI983082 AI65578 AI131114 AI458794 AI262186 AG46 AI7 Z46 AB46 AG15 AG7 Z7 AB7 AI327722 AI393258"/>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Y65578 Y131114 Y196650 Y262186 Y327722 Y393258 Y458794 Y524330 Y589866 Y655402 Y720938 Y786474 Y852010 Y917546 Y983082 AA65578 AA131114 AA196650 AA262186 AA327722 AA393258 AA458794 AA524330 AA589866 AA655402 AA720938 AA786474 AA852010 AA917546 AA983082 AF15 AF65578 AF131114 AF196650 AF262186 AF327722 AF393258 AF458794 AF524330 AF589866 AF655402 AF720938 AF786474 AF852010 AF917546 AF983082 AH65578 AH131114 AH196650 AH262186 AH327722 AH393258 AH458794 AH524330 AH589866 AH655402 AH720938 AH786474 AH852010 AH917546 AH983082 AH46 AF46 AH15 Y46 AA46 AH7 AF7 Y7 AA7"/>
    <dataValidation type="list" allowBlank="1" showInputMessage="1" showErrorMessage="1" errorTitle="Ошибка" error="Выберите значение из списка" sqref="T65578 T131114 T196650 T262186 T327722 T393258 T458794 T524330 T589866 T655402 T720938 T786474 T852010 T917546 T983082">
      <formula1>kind_of_heat_transfer</formula1>
    </dataValidation>
    <dataValidation type="textLength" operator="lessThanOrEqual" allowBlank="1" showInputMessage="1" showErrorMessage="1" errorTitle="Ошибка" error="Допускается ввод не более 900 символов!" sqref="AK65572:AK65579 AK131108:AK131115 AK196644:AK196651 AK262180:AK262187 AK327716:AK327723 AK393252:AK393259 AK458788:AK458795 AK524324:AK524331 AK589860:AK589867 AK655396:AK655403 AK720932:AK720939 AK786468:AK786475 AK852004:AK852011 AK917540:AK917547 AK983076:AK983083 T46 T7 AC44:AJ44 AC5:AJ5">
      <formula1>900</formula1>
    </dataValidation>
    <dataValidation type="list" allowBlank="1" showInputMessage="1" showErrorMessage="1" errorTitle="Ошибка" error="Выберите значение из списка" sqref="V983080 V65576 V131112 V196648 V262184 V327720 V393256 V458792 V524328 V589864 V655400 V720936 V786472 V852008 V917544 AC983080 AC65576 AC131112 AC196648 AC262184 AC327720 AC393256 AC458792 AC524328 AC589864 AC655400 AC720936 AC786472 AC852008 AC917544">
      <formula1>kind_of_scheme_in</formula1>
    </dataValidation>
    <dataValidation allowBlank="1" promptTitle="checkPeriodRange" sqref="X65579 X131115 X196651 X262187 X327723 X393259 X458795 X524331 X589867 X655403 X720939 X786475 X852011 X917547 X983083 AE16 AE65579 AE131115 AE196651 AE262187 AE327723 AE393259 AE458795 AE524331 AE589867 AE655403 AE720939 AE786475 AE852011 AE917547 AE983083 X47 AE8 X8 AE47"/>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6" tint="0.39997558519241921"/>
  </sheetPr>
  <dimension ref="A1:AQ64"/>
  <sheetViews>
    <sheetView showGridLines="0" zoomScale="90" workbookViewId="0">
      <pane xSplit="27" ySplit="41" topLeftCell="AB42" activePane="bottomRight" state="frozen"/>
      <selection pane="topRight" activeCell="AB1" sqref="AB1"/>
      <selection pane="bottomLeft" activeCell="A42" sqref="A42"/>
      <selection pane="bottomRight"/>
    </sheetView>
  </sheetViews>
  <sheetFormatPr defaultColWidth="10.5703125" defaultRowHeight="14.25" customHeight="1"/>
  <cols>
    <col min="1" max="3" width="10.140625" style="1560" hidden="1" customWidth="1"/>
    <col min="4" max="4" width="11.85546875" style="1560" hidden="1" customWidth="1"/>
    <col min="5" max="11" width="10.140625" style="1560" hidden="1" customWidth="1"/>
    <col min="12" max="12" width="10.140625" style="1998" hidden="1" customWidth="1"/>
    <col min="13" max="15" width="10.140625" style="2000" hidden="1" customWidth="1"/>
    <col min="16" max="16" width="3" style="1701" customWidth="1"/>
    <col min="17" max="17" width="3" style="1296" customWidth="1"/>
    <col min="18" max="18" width="3" style="280" customWidth="1"/>
    <col min="19" max="19" width="12" style="2001" customWidth="1"/>
    <col min="20" max="20" width="31" style="1560" customWidth="1"/>
    <col min="21" max="21" width="0.140625" style="1560" customWidth="1"/>
    <col min="22" max="23" width="21.7109375" style="1560" hidden="1" customWidth="1"/>
    <col min="24" max="24" width="11.7109375" style="1560" hidden="1" customWidth="1"/>
    <col min="25" max="25" width="3.7109375" style="1560" hidden="1" customWidth="1"/>
    <col min="26" max="26" width="11.7109375" style="1560" hidden="1" customWidth="1"/>
    <col min="27" max="27" width="8.5703125" style="1560" hidden="1" customWidth="1"/>
    <col min="28" max="28" width="27" style="1560" customWidth="1"/>
    <col min="29" max="29" width="24.5703125" style="1560" customWidth="1"/>
    <col min="30" max="31" width="21" style="1560" customWidth="1"/>
    <col min="32" max="32" width="11" style="1560" customWidth="1"/>
    <col min="33" max="33" width="3.7109375" style="1560" customWidth="1"/>
    <col min="34" max="34" width="11" style="1560" customWidth="1"/>
    <col min="35" max="35" width="8.5703125" style="1560" hidden="1" customWidth="1"/>
    <col min="36" max="36" width="4" style="1560" customWidth="1"/>
    <col min="37" max="37" width="115" style="1560" customWidth="1"/>
    <col min="38" max="42" width="10" style="1567" customWidth="1"/>
    <col min="43" max="43" width="10.5703125" style="1560" hidden="1"/>
  </cols>
  <sheetData>
    <row r="1" spans="1:43" ht="0.75" hidden="1" customHeight="1">
      <c r="AQ1" s="1556" t="s">
        <v>14</v>
      </c>
    </row>
    <row r="2" spans="1:43" ht="21" hidden="1" customHeight="1">
      <c r="A2" s="1192"/>
      <c r="B2" s="1192"/>
      <c r="C2" s="1192"/>
      <c r="D2" s="1192"/>
      <c r="E2" s="2210">
        <v>1</v>
      </c>
      <c r="F2" s="1192"/>
      <c r="G2" s="1192"/>
      <c r="H2" s="1192"/>
      <c r="I2" s="1192"/>
      <c r="J2" s="1192"/>
      <c r="K2" s="1192"/>
      <c r="L2" s="1235"/>
      <c r="M2" s="1535"/>
      <c r="N2" s="1535"/>
      <c r="O2" s="1535"/>
      <c r="P2" s="1334"/>
      <c r="Q2" s="802"/>
      <c r="R2" s="290"/>
      <c r="S2" s="1879" t="e">
        <f>INDEX(PT_DIFFERENTIATION_NUM_NTAR,MATCH(A2,PT_DIFFERENTIATION_NTAR_ID,0))</f>
        <v>#N/A</v>
      </c>
      <c r="T2" s="1450" t="s">
        <v>124</v>
      </c>
      <c r="U2" s="236"/>
      <c r="V2" s="2173"/>
      <c r="W2" s="2173"/>
      <c r="X2" s="2173"/>
      <c r="Y2" s="2173"/>
      <c r="Z2" s="2173"/>
      <c r="AA2" s="2174"/>
      <c r="AB2" s="1873"/>
      <c r="AC2" s="2173" t="e">
        <f>INDEX(PT_DIFFERENTIATION_NTAR,MATCH(A2,PT_DIFFERENTIATION_NTAR_ID,0))</f>
        <v>#N/A</v>
      </c>
      <c r="AD2" s="2173"/>
      <c r="AE2" s="2173"/>
      <c r="AF2" s="2173"/>
      <c r="AG2" s="2173"/>
      <c r="AH2" s="2173"/>
      <c r="AI2" s="2173"/>
      <c r="AJ2" s="2174"/>
      <c r="AK2" s="1183" t="s">
        <v>395</v>
      </c>
      <c r="AM2" s="1549"/>
      <c r="AN2" s="1549" t="str">
        <f t="shared" ref="AN2:AN14" si="0">IF(T2="","",T2)</f>
        <v>Наименование тарифа</v>
      </c>
      <c r="AO2" s="1549"/>
      <c r="AP2" s="1549"/>
      <c r="AQ2" s="1556">
        <v>0</v>
      </c>
    </row>
    <row r="3" spans="1:43" ht="21" hidden="1" customHeight="1">
      <c r="A3" s="1192"/>
      <c r="B3" s="1192"/>
      <c r="C3" s="1192"/>
      <c r="D3" s="1192"/>
      <c r="E3" s="2211"/>
      <c r="F3" s="2210">
        <v>1</v>
      </c>
      <c r="G3" s="1192"/>
      <c r="H3" s="1192"/>
      <c r="I3" s="1192"/>
      <c r="J3" s="1192"/>
      <c r="K3" s="1192"/>
      <c r="L3" s="1235"/>
      <c r="M3" s="1535"/>
      <c r="N3" s="1535"/>
      <c r="O3" s="1535"/>
      <c r="P3" s="1890"/>
      <c r="Q3" s="1336"/>
      <c r="R3" s="288"/>
      <c r="S3" s="1879" t="e">
        <f>INDEX(PT_DIFFERENTIATION_NUM_TER,MATCH(B3,PT_DIFFERENTIATION_TER_ID,0))</f>
        <v>#N/A</v>
      </c>
      <c r="T3" s="1447" t="s">
        <v>396</v>
      </c>
      <c r="U3" s="236"/>
      <c r="V3" s="2173"/>
      <c r="W3" s="2173"/>
      <c r="X3" s="2173"/>
      <c r="Y3" s="2173"/>
      <c r="Z3" s="2173"/>
      <c r="AA3" s="2174"/>
      <c r="AB3" s="1873"/>
      <c r="AC3" s="2173" t="e">
        <f>INDEX(PT_DIFFERENTIATION_TER,MATCH(B3,PT_DIFFERENTIATION_TER_ID,0))</f>
        <v>#N/A</v>
      </c>
      <c r="AD3" s="2173"/>
      <c r="AE3" s="2173"/>
      <c r="AF3" s="2173"/>
      <c r="AG3" s="2173"/>
      <c r="AH3" s="2173"/>
      <c r="AI3" s="2173"/>
      <c r="AJ3" s="2174"/>
      <c r="AK3" s="1183" t="s">
        <v>397</v>
      </c>
      <c r="AM3" s="1549"/>
      <c r="AN3" s="1549" t="str">
        <f t="shared" si="0"/>
        <v>Территория действия тарифа</v>
      </c>
      <c r="AO3" s="1549"/>
      <c r="AP3" s="1549"/>
      <c r="AQ3" s="1556">
        <v>0</v>
      </c>
    </row>
    <row r="4" spans="1:43" ht="22.5" hidden="1" customHeight="1">
      <c r="A4" s="1192"/>
      <c r="B4" s="1192"/>
      <c r="C4" s="1192"/>
      <c r="D4" s="1192"/>
      <c r="E4" s="2211"/>
      <c r="F4" s="2211"/>
      <c r="G4" s="2210">
        <v>1</v>
      </c>
      <c r="H4" s="1192"/>
      <c r="I4" s="1192"/>
      <c r="J4" s="1192"/>
      <c r="K4" s="1192"/>
      <c r="L4" s="1235"/>
      <c r="M4" s="1535"/>
      <c r="N4" s="1535"/>
      <c r="O4" s="1535"/>
      <c r="P4" s="1337"/>
      <c r="Q4" s="1336"/>
      <c r="R4" s="288"/>
      <c r="S4" s="1879" t="e">
        <f>INDEX(PT_DIFFERENTIATION_NUM_CS,MATCH(C4,PT_DIFFERENTIATION_CS_ID,0))</f>
        <v>#N/A</v>
      </c>
      <c r="T4" s="245" t="s">
        <v>398</v>
      </c>
      <c r="U4" s="236"/>
      <c r="V4" s="2173"/>
      <c r="W4" s="2173"/>
      <c r="X4" s="2173"/>
      <c r="Y4" s="2173"/>
      <c r="Z4" s="2173"/>
      <c r="AA4" s="2174"/>
      <c r="AB4" s="1873"/>
      <c r="AC4" s="2173" t="e">
        <f>INDEX(PT_DIFFERENTIATION_CS,MATCH(C4,PT_DIFFERENTIATION_CS_ID,0))</f>
        <v>#N/A</v>
      </c>
      <c r="AD4" s="2173"/>
      <c r="AE4" s="2173"/>
      <c r="AF4" s="2173"/>
      <c r="AG4" s="2173"/>
      <c r="AH4" s="2173"/>
      <c r="AI4" s="2173"/>
      <c r="AJ4" s="2174"/>
      <c r="AK4" s="1183" t="s">
        <v>399</v>
      </c>
      <c r="AM4" s="1549"/>
      <c r="AN4" s="1549" t="str">
        <f t="shared" si="0"/>
        <v xml:space="preserve">Наименование системы теплоснабжения </v>
      </c>
      <c r="AO4" s="1549"/>
      <c r="AP4" s="1549"/>
      <c r="AQ4" s="1556">
        <v>0</v>
      </c>
    </row>
    <row r="5" spans="1:43" ht="21" hidden="1" customHeight="1">
      <c r="A5" s="1192"/>
      <c r="B5" s="1192"/>
      <c r="C5" s="1192"/>
      <c r="D5" s="1192"/>
      <c r="E5" s="2211"/>
      <c r="F5" s="2211"/>
      <c r="G5" s="2211"/>
      <c r="H5" s="2210">
        <v>1</v>
      </c>
      <c r="I5" s="1192"/>
      <c r="J5" s="1192"/>
      <c r="K5" s="1192"/>
      <c r="L5" s="1235"/>
      <c r="M5" s="1535"/>
      <c r="N5" s="1535"/>
      <c r="O5" s="1535"/>
      <c r="P5" s="1337"/>
      <c r="Q5" s="1336"/>
      <c r="R5" s="288"/>
      <c r="S5" s="1879" t="e">
        <f>INDEX(PT_DIFFERENTIATION_NUM_IST_TE,MATCH(D5,PT_DIFFERENTIATION_IST_TE_ID,0))</f>
        <v>#N/A</v>
      </c>
      <c r="T5" s="246" t="s">
        <v>400</v>
      </c>
      <c r="U5" s="236"/>
      <c r="V5" s="2173"/>
      <c r="W5" s="2173"/>
      <c r="X5" s="2173"/>
      <c r="Y5" s="2173"/>
      <c r="Z5" s="2173"/>
      <c r="AA5" s="2174"/>
      <c r="AB5" s="1873"/>
      <c r="AC5" s="2173" t="e">
        <f>INDEX(PT_DIFFERENTIATION_IST_TE,MATCH(D5,PT_DIFFERENTIATION_IST_TE_ID,0))</f>
        <v>#N/A</v>
      </c>
      <c r="AD5" s="2173"/>
      <c r="AE5" s="2173"/>
      <c r="AF5" s="2173"/>
      <c r="AG5" s="2173"/>
      <c r="AH5" s="2173"/>
      <c r="AI5" s="2173"/>
      <c r="AJ5" s="2174"/>
      <c r="AK5" s="1183" t="s">
        <v>401</v>
      </c>
      <c r="AM5" s="1549"/>
      <c r="AN5" s="1549" t="str">
        <f t="shared" si="0"/>
        <v xml:space="preserve">Источник тепловой энергии  </v>
      </c>
      <c r="AO5" s="1549"/>
      <c r="AP5" s="1549"/>
      <c r="AQ5" s="1556">
        <v>0</v>
      </c>
    </row>
    <row r="6" spans="1:43" s="1567" customFormat="1" ht="0.75" hidden="1" customHeight="1">
      <c r="A6" s="1300"/>
      <c r="B6" s="1300"/>
      <c r="C6" s="1300"/>
      <c r="D6" s="1300"/>
      <c r="E6" s="2211"/>
      <c r="F6" s="2211"/>
      <c r="G6" s="2211"/>
      <c r="H6" s="2211"/>
      <c r="I6" s="2066" t="e">
        <f>S5&amp;".1"</f>
        <v>#N/A</v>
      </c>
      <c r="J6" s="1300"/>
      <c r="K6" s="1300"/>
      <c r="L6" s="1306" t="s">
        <v>402</v>
      </c>
      <c r="M6" s="1171"/>
      <c r="N6" s="1171"/>
      <c r="O6" s="1171"/>
      <c r="P6" s="2185">
        <v>1</v>
      </c>
      <c r="Q6" s="1875"/>
      <c r="R6" s="291"/>
      <c r="S6" s="970"/>
      <c r="T6" s="1308"/>
      <c r="U6" s="1309"/>
      <c r="V6" s="2216"/>
      <c r="W6" s="2216"/>
      <c r="X6" s="2216"/>
      <c r="Y6" s="2216"/>
      <c r="Z6" s="2216"/>
      <c r="AA6" s="2217"/>
      <c r="AB6" s="1881"/>
      <c r="AC6" s="2216"/>
      <c r="AD6" s="2216"/>
      <c r="AE6" s="2216"/>
      <c r="AF6" s="2216"/>
      <c r="AG6" s="2216"/>
      <c r="AH6" s="2216"/>
      <c r="AI6" s="2216"/>
      <c r="AJ6" s="2217"/>
      <c r="AK6" s="1310"/>
      <c r="AM6" s="1549"/>
      <c r="AN6" s="1549" t="str">
        <f t="shared" si="0"/>
        <v/>
      </c>
      <c r="AO6" s="1549"/>
      <c r="AP6" s="1549"/>
      <c r="AQ6" s="1561">
        <v>0</v>
      </c>
    </row>
    <row r="7" spans="1:43" s="1567" customFormat="1" ht="0.75" hidden="1" customHeight="1">
      <c r="A7" s="1300"/>
      <c r="B7" s="1300"/>
      <c r="C7" s="1300"/>
      <c r="D7" s="1300"/>
      <c r="E7" s="2211"/>
      <c r="F7" s="2211"/>
      <c r="G7" s="2211"/>
      <c r="H7" s="2211"/>
      <c r="I7" s="2038"/>
      <c r="J7" s="2066" t="e">
        <f>S5&amp;".1"</f>
        <v>#N/A</v>
      </c>
      <c r="K7" s="1300"/>
      <c r="L7" s="1306"/>
      <c r="M7" s="1171"/>
      <c r="N7" s="1171"/>
      <c r="O7" s="1171"/>
      <c r="P7" s="2185"/>
      <c r="Q7" s="2185">
        <v>1</v>
      </c>
      <c r="R7" s="292"/>
      <c r="S7" s="970"/>
      <c r="T7" s="1324"/>
      <c r="U7" s="1309"/>
      <c r="V7" s="2216"/>
      <c r="W7" s="2216"/>
      <c r="X7" s="2216"/>
      <c r="Y7" s="2216"/>
      <c r="Z7" s="2216"/>
      <c r="AA7" s="2217"/>
      <c r="AB7" s="1881"/>
      <c r="AC7" s="2216"/>
      <c r="AD7" s="2216"/>
      <c r="AE7" s="2216"/>
      <c r="AF7" s="2216"/>
      <c r="AG7" s="2216"/>
      <c r="AH7" s="2216"/>
      <c r="AI7" s="2216"/>
      <c r="AJ7" s="2217"/>
      <c r="AK7" s="1310"/>
      <c r="AM7" s="1549"/>
      <c r="AN7" s="1549" t="str">
        <f t="shared" si="0"/>
        <v/>
      </c>
      <c r="AO7" s="1549"/>
      <c r="AP7" s="1549"/>
      <c r="AQ7" s="1561">
        <v>0</v>
      </c>
    </row>
    <row r="8" spans="1:43" ht="21" hidden="1" customHeight="1">
      <c r="A8" s="1192"/>
      <c r="B8" s="1192"/>
      <c r="C8" s="1192"/>
      <c r="D8" s="1192"/>
      <c r="E8" s="2211"/>
      <c r="F8" s="2211"/>
      <c r="G8" s="2211"/>
      <c r="H8" s="2211"/>
      <c r="I8" s="2038"/>
      <c r="J8" s="2038"/>
      <c r="K8" s="1912" t="e">
        <f>S5&amp;".1"</f>
        <v>#N/A</v>
      </c>
      <c r="L8" s="1235"/>
      <c r="P8" s="2185"/>
      <c r="Q8" s="2185"/>
      <c r="R8" s="1916">
        <v>1</v>
      </c>
      <c r="S8" s="1914" t="e">
        <f>$K8</f>
        <v>#N/A</v>
      </c>
      <c r="T8" s="1915"/>
      <c r="U8" s="236"/>
      <c r="V8" s="686"/>
      <c r="W8" s="1182"/>
      <c r="X8" s="1913"/>
      <c r="Y8" s="1911" t="s">
        <v>66</v>
      </c>
      <c r="Z8" s="1913"/>
      <c r="AA8" s="1911" t="s">
        <v>66</v>
      </c>
      <c r="AB8" s="1917"/>
      <c r="AC8" s="1918" t="s">
        <v>22</v>
      </c>
      <c r="AD8" s="686"/>
      <c r="AE8" s="1182"/>
      <c r="AF8" s="1876"/>
      <c r="AG8" s="1863" t="s">
        <v>66</v>
      </c>
      <c r="AH8" s="1876"/>
      <c r="AI8" s="1863" t="s">
        <v>66</v>
      </c>
      <c r="AJ8" s="1273"/>
      <c r="AK8" s="2181" t="s">
        <v>463</v>
      </c>
      <c r="AL8" s="1561" t="e">
        <f ca="1">STRCHECKDATE(#REF!)</f>
        <v>#NAME?</v>
      </c>
      <c r="AM8" s="1549"/>
      <c r="AN8" s="1549" t="str">
        <f t="shared" si="0"/>
        <v/>
      </c>
      <c r="AO8" s="1549"/>
      <c r="AP8" s="1549"/>
      <c r="AQ8" s="1556">
        <v>0</v>
      </c>
    </row>
    <row r="9" spans="1:43" ht="11.25" hidden="1" customHeight="1">
      <c r="A9" s="1192"/>
      <c r="B9" s="1192"/>
      <c r="C9" s="1192"/>
      <c r="D9" s="1192"/>
      <c r="E9" s="2211"/>
      <c r="F9" s="2211"/>
      <c r="G9" s="2211"/>
      <c r="H9" s="2211"/>
      <c r="I9" s="2038"/>
      <c r="J9" s="2066"/>
      <c r="K9" s="1192"/>
      <c r="L9" s="1235"/>
      <c r="P9" s="2185"/>
      <c r="Q9" s="2185"/>
      <c r="R9" s="291"/>
      <c r="S9" s="1203"/>
      <c r="T9" s="223" t="s">
        <v>467</v>
      </c>
      <c r="U9" s="535"/>
      <c r="V9" s="535"/>
      <c r="W9" s="535"/>
      <c r="X9" s="535"/>
      <c r="Y9" s="535"/>
      <c r="Z9" s="535"/>
      <c r="AA9" s="535"/>
      <c r="AB9" s="535"/>
      <c r="AC9" s="535"/>
      <c r="AD9" s="535"/>
      <c r="AE9" s="535"/>
      <c r="AF9" s="535"/>
      <c r="AG9" s="535"/>
      <c r="AH9" s="535"/>
      <c r="AI9" s="535"/>
      <c r="AJ9" s="260"/>
      <c r="AK9" s="2183"/>
      <c r="AM9" s="1549"/>
      <c r="AN9" s="1549" t="str">
        <f t="shared" si="0"/>
        <v>Добавить строку</v>
      </c>
      <c r="AO9" s="1549"/>
      <c r="AP9" s="1549"/>
      <c r="AQ9" s="1556">
        <v>0</v>
      </c>
    </row>
    <row r="10" spans="1:43" s="1567" customFormat="1" ht="0.75" hidden="1" customHeight="1">
      <c r="A10" s="1300"/>
      <c r="B10" s="1300"/>
      <c r="C10" s="1300"/>
      <c r="D10" s="1300"/>
      <c r="E10" s="2211"/>
      <c r="F10" s="2211"/>
      <c r="G10" s="2211"/>
      <c r="H10" s="2211"/>
      <c r="I10" s="2066"/>
      <c r="J10" s="1300"/>
      <c r="K10" s="1300"/>
      <c r="L10" s="1306"/>
      <c r="M10" s="1171"/>
      <c r="N10" s="1171"/>
      <c r="O10" s="1171"/>
      <c r="P10" s="2185"/>
      <c r="Q10" s="1875"/>
      <c r="R10" s="291"/>
      <c r="S10" s="1311"/>
      <c r="T10" s="1312"/>
      <c r="U10" s="1313"/>
      <c r="V10" s="1313"/>
      <c r="W10" s="1313"/>
      <c r="X10" s="1313"/>
      <c r="Y10" s="1313"/>
      <c r="Z10" s="1313"/>
      <c r="AA10" s="1313"/>
      <c r="AB10" s="1313"/>
      <c r="AC10" s="1313"/>
      <c r="AD10" s="1313"/>
      <c r="AE10" s="1313"/>
      <c r="AF10" s="1313"/>
      <c r="AG10" s="1313"/>
      <c r="AH10" s="1313"/>
      <c r="AI10" s="1313"/>
      <c r="AJ10" s="1313"/>
      <c r="AK10" s="1314"/>
      <c r="AM10" s="1549"/>
      <c r="AN10" s="1549" t="str">
        <f t="shared" si="0"/>
        <v/>
      </c>
      <c r="AO10" s="1549"/>
      <c r="AP10" s="1549"/>
      <c r="AQ10" s="1561">
        <v>0</v>
      </c>
    </row>
    <row r="11" spans="1:43" s="1567" customFormat="1" ht="0.75" hidden="1" customHeight="1">
      <c r="A11" s="1300"/>
      <c r="B11" s="1300"/>
      <c r="C11" s="1300"/>
      <c r="D11" s="1300"/>
      <c r="E11" s="2211"/>
      <c r="F11" s="2211"/>
      <c r="G11" s="2211"/>
      <c r="H11" s="2210"/>
      <c r="I11" s="1300"/>
      <c r="J11" s="1300"/>
      <c r="K11" s="1300"/>
      <c r="L11" s="1306"/>
      <c r="M11" s="1303"/>
      <c r="N11" s="1303"/>
      <c r="O11" s="286"/>
      <c r="P11" s="315"/>
      <c r="Q11" s="1269"/>
      <c r="R11" s="1326"/>
      <c r="S11" s="1311"/>
      <c r="T11" s="1312"/>
      <c r="U11" s="1313"/>
      <c r="V11" s="1313"/>
      <c r="W11" s="1313"/>
      <c r="X11" s="1313"/>
      <c r="Y11" s="1313"/>
      <c r="Z11" s="1313"/>
      <c r="AA11" s="1313"/>
      <c r="AB11" s="1313"/>
      <c r="AC11" s="1313"/>
      <c r="AD11" s="1313"/>
      <c r="AE11" s="1313"/>
      <c r="AF11" s="1313"/>
      <c r="AG11" s="1313"/>
      <c r="AH11" s="1313"/>
      <c r="AI11" s="1313"/>
      <c r="AJ11" s="1313"/>
      <c r="AK11" s="1314"/>
      <c r="AM11" s="1549"/>
      <c r="AN11" s="1549" t="str">
        <f t="shared" si="0"/>
        <v/>
      </c>
      <c r="AO11" s="1549"/>
      <c r="AP11" s="1549"/>
      <c r="AQ11" s="1561">
        <v>0</v>
      </c>
    </row>
    <row r="12" spans="1:43" s="1567" customFormat="1" ht="0.75" hidden="1" customHeight="1">
      <c r="A12" s="1300"/>
      <c r="B12" s="1300"/>
      <c r="C12" s="1300"/>
      <c r="D12" s="1299"/>
      <c r="E12" s="2211"/>
      <c r="F12" s="2211"/>
      <c r="G12" s="2210"/>
      <c r="H12" s="1299"/>
      <c r="I12" s="1299"/>
      <c r="J12" s="1299"/>
      <c r="K12" s="1299"/>
      <c r="L12" s="1302"/>
      <c r="M12" s="1303"/>
      <c r="N12" s="1303"/>
      <c r="O12" s="286"/>
      <c r="P12" s="1241"/>
      <c r="Q12" s="1242"/>
      <c r="R12" s="1241"/>
      <c r="S12" s="1247"/>
      <c r="T12" s="1250" t="s">
        <v>413</v>
      </c>
      <c r="U12" s="1249"/>
      <c r="V12" s="1249"/>
      <c r="W12" s="1249"/>
      <c r="X12" s="1249"/>
      <c r="Y12" s="1249"/>
      <c r="Z12" s="1249"/>
      <c r="AA12" s="1249"/>
      <c r="AB12" s="1249"/>
      <c r="AC12" s="1249"/>
      <c r="AD12" s="1249"/>
      <c r="AE12" s="1249"/>
      <c r="AF12" s="1249"/>
      <c r="AG12" s="1249"/>
      <c r="AH12" s="1249"/>
      <c r="AI12" s="1249"/>
      <c r="AJ12" s="1249"/>
      <c r="AK12" s="1249"/>
      <c r="AM12" s="1176"/>
      <c r="AN12" s="1176" t="str">
        <f t="shared" si="0"/>
        <v>Добавить источник для дифференциации</v>
      </c>
      <c r="AO12" s="1176"/>
      <c r="AP12" s="1176"/>
      <c r="AQ12" s="1567">
        <v>0</v>
      </c>
    </row>
    <row r="13" spans="1:43" s="1567" customFormat="1" ht="0.75" hidden="1" customHeight="1">
      <c r="A13" s="1300"/>
      <c r="B13" s="1300"/>
      <c r="C13" s="1299"/>
      <c r="D13" s="1299"/>
      <c r="E13" s="2211"/>
      <c r="F13" s="2210"/>
      <c r="G13" s="1299"/>
      <c r="H13" s="1299"/>
      <c r="I13" s="1299"/>
      <c r="J13" s="1299"/>
      <c r="K13" s="1299"/>
      <c r="L13" s="1302"/>
      <c r="M13" s="1304"/>
      <c r="N13" s="1304"/>
      <c r="O13" s="286"/>
      <c r="P13" s="1241"/>
      <c r="Q13" s="1242"/>
      <c r="R13" s="1241"/>
      <c r="S13" s="1247"/>
      <c r="T13" s="1250" t="s">
        <v>414</v>
      </c>
      <c r="U13" s="1249"/>
      <c r="V13" s="1249"/>
      <c r="W13" s="1249"/>
      <c r="X13" s="1249"/>
      <c r="Y13" s="1249"/>
      <c r="Z13" s="1249"/>
      <c r="AA13" s="1249"/>
      <c r="AB13" s="1249"/>
      <c r="AC13" s="1249"/>
      <c r="AD13" s="1249"/>
      <c r="AE13" s="1249"/>
      <c r="AF13" s="1249"/>
      <c r="AG13" s="1249"/>
      <c r="AH13" s="1249"/>
      <c r="AI13" s="1249"/>
      <c r="AJ13" s="1249"/>
      <c r="AK13" s="1249"/>
      <c r="AM13" s="1176"/>
      <c r="AN13" s="1176" t="str">
        <f t="shared" si="0"/>
        <v>Добавить централизованную систему для дифференциации</v>
      </c>
      <c r="AO13" s="1176"/>
      <c r="AP13" s="1176"/>
      <c r="AQ13" s="1567">
        <v>0</v>
      </c>
    </row>
    <row r="14" spans="1:43" s="1567" customFormat="1" ht="0.75" hidden="1" customHeight="1">
      <c r="A14" s="1300"/>
      <c r="B14" s="1300"/>
      <c r="C14" s="1300"/>
      <c r="D14" s="1300"/>
      <c r="E14" s="2210"/>
      <c r="F14" s="1300"/>
      <c r="G14" s="1300"/>
      <c r="H14" s="1300"/>
      <c r="I14" s="1300"/>
      <c r="J14" s="1300"/>
      <c r="K14" s="1300"/>
      <c r="L14" s="1306"/>
      <c r="M14" s="1304"/>
      <c r="N14" s="1304"/>
      <c r="O14" s="286"/>
      <c r="P14" s="315"/>
      <c r="Q14" s="1269"/>
      <c r="R14" s="315"/>
      <c r="S14" s="1247"/>
      <c r="T14" s="1250" t="s">
        <v>415</v>
      </c>
      <c r="U14" s="1249"/>
      <c r="V14" s="1249"/>
      <c r="W14" s="1249"/>
      <c r="X14" s="1249"/>
      <c r="Y14" s="1249"/>
      <c r="Z14" s="1249"/>
      <c r="AA14" s="1249"/>
      <c r="AB14" s="1249"/>
      <c r="AC14" s="1249"/>
      <c r="AD14" s="1249"/>
      <c r="AE14" s="1249"/>
      <c r="AF14" s="1249"/>
      <c r="AG14" s="1249"/>
      <c r="AH14" s="1249"/>
      <c r="AI14" s="1249"/>
      <c r="AJ14" s="1249"/>
      <c r="AK14" s="1249"/>
      <c r="AM14" s="1549"/>
      <c r="AN14" s="1549" t="str">
        <f t="shared" si="0"/>
        <v>Добавить территорию для дифференциации</v>
      </c>
      <c r="AO14" s="1549"/>
      <c r="AP14" s="1549"/>
      <c r="AQ14" s="1561">
        <v>0</v>
      </c>
    </row>
    <row r="15" spans="1:43" ht="14.25" hidden="1" customHeight="1">
      <c r="AQ15" s="1556">
        <v>0</v>
      </c>
    </row>
    <row r="16" spans="1:43" ht="14.25" hidden="1" customHeight="1">
      <c r="AC16" s="1427"/>
      <c r="AD16" s="1328"/>
      <c r="AE16" s="1329"/>
      <c r="AF16" s="1661"/>
      <c r="AG16" s="1887" t="s">
        <v>66</v>
      </c>
      <c r="AH16" s="1661"/>
      <c r="AI16" s="1887" t="s">
        <v>66</v>
      </c>
      <c r="AQ16" s="1556">
        <v>0</v>
      </c>
    </row>
    <row r="17" spans="1:43" ht="14.25" hidden="1" customHeight="1">
      <c r="AL17" s="1566"/>
      <c r="AM17" s="1566"/>
      <c r="AN17" s="1566"/>
      <c r="AO17" s="1566"/>
      <c r="AP17" s="1566"/>
      <c r="AQ17" s="1556">
        <v>0</v>
      </c>
    </row>
    <row r="18" spans="1:43" ht="14.25" hidden="1" customHeight="1">
      <c r="O18" s="1270" t="s">
        <v>416</v>
      </c>
      <c r="X18" s="1270"/>
      <c r="Z18" s="1270"/>
      <c r="AF18" s="1270"/>
      <c r="AH18" s="1270"/>
      <c r="AL18" s="1566"/>
      <c r="AM18" s="1566"/>
      <c r="AN18" s="1566"/>
      <c r="AO18" s="1566"/>
      <c r="AP18" s="1566"/>
      <c r="AQ18" s="1556">
        <v>0</v>
      </c>
    </row>
    <row r="19" spans="1:43" ht="14.25" hidden="1" customHeight="1">
      <c r="AL19" s="1566"/>
      <c r="AM19" s="1566"/>
      <c r="AN19" s="1566"/>
      <c r="AO19" s="1566"/>
      <c r="AP19" s="1566"/>
      <c r="AQ19" s="1556">
        <v>0</v>
      </c>
    </row>
    <row r="20" spans="1:43" s="1434" customFormat="1" ht="14.25" hidden="1" customHeight="1">
      <c r="A20" s="1892"/>
      <c r="B20" s="1892"/>
      <c r="C20" s="1892"/>
      <c r="D20" s="1892"/>
      <c r="E20" s="1892"/>
      <c r="F20" s="1892"/>
      <c r="G20" s="1892"/>
      <c r="H20" s="1892"/>
      <c r="I20" s="1892"/>
      <c r="J20" s="1892"/>
      <c r="K20" s="1892"/>
      <c r="L20" s="1892"/>
      <c r="M20" s="1893"/>
      <c r="N20" s="1893"/>
      <c r="O20" s="1894" t="s">
        <v>417</v>
      </c>
      <c r="P20" s="1433"/>
      <c r="Q20" s="1435"/>
      <c r="R20" s="1435"/>
      <c r="Y20" s="1432" t="s">
        <v>419</v>
      </c>
      <c r="AA20" s="1432" t="s">
        <v>420</v>
      </c>
      <c r="AC20" s="1432" t="s">
        <v>469</v>
      </c>
      <c r="AG20" s="1432" t="s">
        <v>419</v>
      </c>
      <c r="AI20" s="1432" t="s">
        <v>420</v>
      </c>
      <c r="AL20" s="1436"/>
      <c r="AM20" s="1436"/>
      <c r="AN20" s="1436"/>
      <c r="AO20" s="1436"/>
      <c r="AP20" s="1436"/>
      <c r="AQ20" s="1432">
        <v>0</v>
      </c>
    </row>
    <row r="21" spans="1:43" ht="14.25" hidden="1" customHeight="1">
      <c r="O21" s="1235"/>
      <c r="AL21" s="1566"/>
      <c r="AM21" s="1566"/>
      <c r="AN21" s="1566"/>
      <c r="AO21" s="1566"/>
      <c r="AP21" s="1566"/>
      <c r="AQ21" s="1556">
        <v>0</v>
      </c>
    </row>
    <row r="22" spans="1:43" ht="14.25" hidden="1" customHeight="1">
      <c r="O22" s="1235"/>
      <c r="AL22" s="1566"/>
      <c r="AM22" s="1566"/>
      <c r="AN22" s="1566"/>
      <c r="AO22" s="1566"/>
      <c r="AP22" s="1566"/>
      <c r="AQ22" s="1556">
        <v>0</v>
      </c>
    </row>
    <row r="23" spans="1:43" ht="14.65" customHeight="1">
      <c r="Q23" s="227"/>
      <c r="R23" s="311"/>
      <c r="S23" s="1200"/>
      <c r="T23" s="392"/>
      <c r="U23" s="392"/>
      <c r="AQ23" s="1556">
        <v>14</v>
      </c>
    </row>
    <row r="24" spans="1:43" ht="39.75" customHeight="1">
      <c r="Q24" s="227"/>
      <c r="R24" s="311"/>
      <c r="S24" s="2170" t="str">
        <f>IF(TEMPLATE_GROUP="P",PT_P_FORM_HEAT_7_NAME_FORM,PT_R_FORM_HEAT_24_NAME_FORM)</f>
        <v>Форма 22. Информация о предложении регулируемой организации о расчетной величине платы за подключение (технологическое присоединение) к системе теплоснабжения, о расчетной величине платы за подключение (технологическое присоединение) к системе теплоснабжения, применяемой в случае, установленном частью 9 статьи 23 4 Федерального закона от 27 июля 2010 г. N 190-ФЗ "О теплоснабжении"</v>
      </c>
      <c r="T24" s="2170"/>
      <c r="U24" s="2170"/>
      <c r="V24" s="2170"/>
      <c r="W24" s="2170"/>
      <c r="X24" s="2170"/>
      <c r="Y24" s="2170"/>
      <c r="Z24" s="2170"/>
      <c r="AA24" s="2170"/>
      <c r="AB24" s="2170"/>
      <c r="AC24" s="2170"/>
      <c r="AD24" s="2170"/>
      <c r="AE24" s="2170"/>
      <c r="AF24" s="2170"/>
      <c r="AG24" s="2170"/>
      <c r="AH24" s="2170"/>
      <c r="AI24" s="1168"/>
      <c r="AQ24" s="1556">
        <v>38</v>
      </c>
    </row>
    <row r="25" spans="1:43" ht="14.65" customHeight="1">
      <c r="Q25" s="227"/>
      <c r="R25" s="311"/>
      <c r="S25" s="2115" t="str">
        <f>IF(org=0,"Не определено",org)</f>
        <v>ООО "ЗЕНИТ ЭНЕРГО"</v>
      </c>
      <c r="T25" s="2115"/>
      <c r="U25" s="2115"/>
      <c r="V25" s="2115"/>
      <c r="W25" s="2115"/>
      <c r="X25" s="2115"/>
      <c r="Y25" s="2115"/>
      <c r="Z25" s="2115"/>
      <c r="AA25" s="2115"/>
      <c r="AB25" s="2115"/>
      <c r="AC25" s="2115"/>
      <c r="AD25" s="2115"/>
      <c r="AE25" s="2115"/>
      <c r="AF25" s="2115"/>
      <c r="AG25" s="2115"/>
      <c r="AH25" s="2115"/>
      <c r="AI25" s="1168"/>
      <c r="AQ25" s="1556">
        <v>14</v>
      </c>
    </row>
    <row r="26" spans="1:43" ht="14.25" hidden="1" customHeight="1">
      <c r="Q26" s="227"/>
      <c r="R26" s="311"/>
      <c r="S26" s="1200"/>
      <c r="T26" s="392"/>
      <c r="U26" s="392"/>
      <c r="V26" s="258"/>
      <c r="W26" s="258"/>
      <c r="X26" s="258"/>
      <c r="Y26" s="258"/>
      <c r="Z26" s="258"/>
      <c r="AA26" s="258"/>
      <c r="AB26" s="258"/>
      <c r="AC26" s="258"/>
      <c r="AD26" s="258"/>
      <c r="AE26" s="258"/>
      <c r="AF26" s="258"/>
      <c r="AG26" s="258"/>
      <c r="AH26" s="258"/>
      <c r="AI26" s="258"/>
      <c r="AQ26" s="1556">
        <v>0</v>
      </c>
    </row>
    <row r="27" spans="1:43" s="1777" customFormat="1" ht="25.5" hidden="1" customHeight="1">
      <c r="A27" s="1173"/>
      <c r="B27" s="1173"/>
      <c r="C27" s="1173"/>
      <c r="D27" s="1173"/>
      <c r="E27" s="1173"/>
      <c r="F27" s="1173"/>
      <c r="G27" s="1173"/>
      <c r="H27" s="1173"/>
      <c r="I27" s="1173"/>
      <c r="J27" s="1173"/>
      <c r="K27" s="1173"/>
      <c r="L27" s="1305"/>
      <c r="M27" s="1173"/>
      <c r="N27" s="1173"/>
      <c r="O27" s="1173"/>
      <c r="P27" s="1293"/>
      <c r="Q27" s="1293"/>
      <c r="S27" s="2178" t="s">
        <v>42</v>
      </c>
      <c r="T27" s="2178"/>
      <c r="U27" s="1297"/>
      <c r="V27" s="2179" t="str">
        <f>IF(TITLE_NAME_OR_PR_CHANGE="",IF(TITLE_NAME_OR_PR="","",TITLE_NAME_OR_PR),TITLE_NAME_OR_PR_CHANGE)</f>
        <v/>
      </c>
      <c r="W27" s="2179"/>
      <c r="X27" s="2179"/>
      <c r="Y27" s="2179"/>
      <c r="Z27" s="2179"/>
      <c r="AA27" s="1560"/>
      <c r="AB27" s="1560"/>
      <c r="AC27" s="2179"/>
      <c r="AD27" s="2179"/>
      <c r="AE27" s="2179"/>
      <c r="AF27" s="2179"/>
      <c r="AG27" s="2179"/>
      <c r="AH27" s="2179"/>
      <c r="AI27" s="1560"/>
      <c r="AJ27" s="1560"/>
      <c r="AK27" s="216"/>
      <c r="AL27" s="303"/>
      <c r="AM27" s="303"/>
      <c r="AN27" s="303"/>
      <c r="AO27" s="303"/>
      <c r="AP27" s="303"/>
      <c r="AQ27" s="353">
        <v>0</v>
      </c>
    </row>
    <row r="28" spans="1:43" s="1777" customFormat="1" ht="18.75" hidden="1" customHeight="1">
      <c r="A28" s="1173"/>
      <c r="B28" s="1173"/>
      <c r="C28" s="1173"/>
      <c r="D28" s="1173"/>
      <c r="E28" s="1173"/>
      <c r="F28" s="1173"/>
      <c r="G28" s="1173"/>
      <c r="H28" s="1173"/>
      <c r="I28" s="1173"/>
      <c r="J28" s="1173"/>
      <c r="K28" s="1173"/>
      <c r="L28" s="1305"/>
      <c r="M28" s="1173"/>
      <c r="N28" s="1173"/>
      <c r="O28" s="1173"/>
      <c r="P28" s="1293"/>
      <c r="Q28" s="1293"/>
      <c r="S28" s="2178" t="s">
        <v>422</v>
      </c>
      <c r="T28" s="2178"/>
      <c r="U28" s="1297"/>
      <c r="V28" s="2188" t="str">
        <f>IF(TITLE_DATE_PR_CHANGE="",IF(TITLE_DATE_PR="","",TITLE_DATE_PR),TITLE_DATE_PR_CHANGE)</f>
        <v/>
      </c>
      <c r="W28" s="2188"/>
      <c r="X28" s="2188"/>
      <c r="Y28" s="2188"/>
      <c r="Z28" s="2188"/>
      <c r="AA28" s="1560"/>
      <c r="AB28" s="1560"/>
      <c r="AC28" s="2188"/>
      <c r="AD28" s="2188"/>
      <c r="AE28" s="2188"/>
      <c r="AF28" s="2188"/>
      <c r="AG28" s="2188"/>
      <c r="AH28" s="2188"/>
      <c r="AI28" s="1560"/>
      <c r="AJ28" s="1560"/>
      <c r="AK28" s="216"/>
      <c r="AL28" s="303"/>
      <c r="AM28" s="303"/>
      <c r="AN28" s="303"/>
      <c r="AO28" s="303"/>
      <c r="AP28" s="303"/>
      <c r="AQ28" s="353">
        <v>0</v>
      </c>
    </row>
    <row r="29" spans="1:43" s="1777" customFormat="1" ht="18.75" hidden="1" customHeight="1">
      <c r="A29" s="1173"/>
      <c r="B29" s="1173"/>
      <c r="C29" s="1173"/>
      <c r="D29" s="1173"/>
      <c r="E29" s="1173"/>
      <c r="F29" s="1173"/>
      <c r="G29" s="1173"/>
      <c r="H29" s="1173"/>
      <c r="I29" s="1173"/>
      <c r="J29" s="1173"/>
      <c r="K29" s="1173"/>
      <c r="L29" s="1305"/>
      <c r="M29" s="1173"/>
      <c r="N29" s="1173"/>
      <c r="O29" s="1173"/>
      <c r="P29" s="1293"/>
      <c r="Q29" s="1293"/>
      <c r="S29" s="2178" t="s">
        <v>423</v>
      </c>
      <c r="T29" s="2178"/>
      <c r="U29" s="1297"/>
      <c r="V29" s="2179" t="str">
        <f>IF(TITLE_NUMBER_PR_CHANGE="",IF(TITLE_NUMBER_PR="","",TITLE_NUMBER_PR),TITLE_NUMBER_PR_CHANGE)</f>
        <v/>
      </c>
      <c r="W29" s="2179"/>
      <c r="X29" s="2179"/>
      <c r="Y29" s="2179"/>
      <c r="Z29" s="2179"/>
      <c r="AA29" s="1560"/>
      <c r="AB29" s="1560"/>
      <c r="AC29" s="2179"/>
      <c r="AD29" s="2179"/>
      <c r="AE29" s="2179"/>
      <c r="AF29" s="2179"/>
      <c r="AG29" s="2179"/>
      <c r="AH29" s="2179"/>
      <c r="AI29" s="1560"/>
      <c r="AJ29" s="1560"/>
      <c r="AK29" s="216"/>
      <c r="AL29" s="303"/>
      <c r="AM29" s="303"/>
      <c r="AN29" s="303"/>
      <c r="AO29" s="303"/>
      <c r="AP29" s="303"/>
      <c r="AQ29" s="353">
        <v>0</v>
      </c>
    </row>
    <row r="30" spans="1:43" s="1777" customFormat="1" ht="18.75" hidden="1" customHeight="1">
      <c r="A30" s="1173"/>
      <c r="B30" s="1173"/>
      <c r="C30" s="1173"/>
      <c r="D30" s="1173"/>
      <c r="E30" s="1173"/>
      <c r="F30" s="1173"/>
      <c r="G30" s="1173"/>
      <c r="H30" s="1173"/>
      <c r="I30" s="1173"/>
      <c r="J30" s="1173"/>
      <c r="K30" s="1173"/>
      <c r="L30" s="1305"/>
      <c r="M30" s="1173"/>
      <c r="N30" s="1173"/>
      <c r="O30" s="1173"/>
      <c r="P30" s="1293"/>
      <c r="Q30" s="1293"/>
      <c r="S30" s="2178" t="s">
        <v>43</v>
      </c>
      <c r="T30" s="2178"/>
      <c r="U30" s="1297"/>
      <c r="V30" s="2179" t="str">
        <f>IF(TITLE_IST_PUB_CHANGE="",IF(TITLE_IST_PUB="","",TITLE_IST_PUB),TITLE_IST_PUB_CHANGE)</f>
        <v/>
      </c>
      <c r="W30" s="2179"/>
      <c r="X30" s="2179"/>
      <c r="Y30" s="2179"/>
      <c r="Z30" s="2179"/>
      <c r="AA30" s="1560"/>
      <c r="AB30" s="1560"/>
      <c r="AC30" s="2179"/>
      <c r="AD30" s="2179"/>
      <c r="AE30" s="2179"/>
      <c r="AF30" s="2179"/>
      <c r="AG30" s="2179"/>
      <c r="AH30" s="2179"/>
      <c r="AI30" s="1560"/>
      <c r="AJ30" s="1560"/>
      <c r="AK30" s="216"/>
      <c r="AL30" s="303"/>
      <c r="AM30" s="303"/>
      <c r="AN30" s="303"/>
      <c r="AO30" s="303"/>
      <c r="AP30" s="303"/>
      <c r="AQ30" s="353">
        <v>0</v>
      </c>
    </row>
    <row r="31" spans="1:43" ht="14.25" hidden="1" customHeight="1">
      <c r="Q31" s="227"/>
      <c r="R31" s="311"/>
      <c r="S31" s="1200"/>
      <c r="T31" s="392"/>
      <c r="U31" s="392"/>
      <c r="V31" s="258"/>
      <c r="W31" s="258"/>
      <c r="X31" s="258"/>
      <c r="Y31" s="258"/>
      <c r="Z31" s="258"/>
      <c r="AA31" s="258"/>
      <c r="AB31" s="258"/>
      <c r="AC31" s="258"/>
      <c r="AD31" s="258"/>
      <c r="AE31" s="258"/>
      <c r="AF31" s="258"/>
      <c r="AG31" s="258"/>
      <c r="AH31" s="258"/>
      <c r="AI31" s="258"/>
      <c r="AQ31" s="1556">
        <v>0</v>
      </c>
    </row>
    <row r="32" spans="1:43" s="1777" customFormat="1" ht="18.75" hidden="1" customHeight="1">
      <c r="A32" s="1173"/>
      <c r="B32" s="1173"/>
      <c r="C32" s="1173"/>
      <c r="D32" s="1173"/>
      <c r="E32" s="1173"/>
      <c r="F32" s="1173"/>
      <c r="G32" s="1173"/>
      <c r="H32" s="1173"/>
      <c r="I32" s="1173"/>
      <c r="J32" s="1173"/>
      <c r="K32" s="1173"/>
      <c r="L32" s="1305"/>
      <c r="M32" s="1173"/>
      <c r="N32" s="1173"/>
      <c r="O32" s="1173"/>
      <c r="P32" s="1293"/>
      <c r="Q32" s="1293"/>
      <c r="S32" s="2178" t="s">
        <v>422</v>
      </c>
      <c r="T32" s="2178"/>
      <c r="U32" s="1297"/>
      <c r="V32" s="2188" t="str">
        <f>IF(TITLE_DATE_PR_CHANGE="",IF(TITLE_DATE_PR="","",TITLE_DATE_PR),TITLE_DATE_PR_CHANGE)</f>
        <v/>
      </c>
      <c r="W32" s="2188"/>
      <c r="X32" s="2188"/>
      <c r="Y32" s="2188"/>
      <c r="Z32" s="2188"/>
      <c r="AA32" s="1560"/>
      <c r="AB32" s="1560"/>
      <c r="AC32" s="2188"/>
      <c r="AD32" s="2188"/>
      <c r="AE32" s="2188"/>
      <c r="AF32" s="2188"/>
      <c r="AG32" s="2188"/>
      <c r="AH32" s="2188"/>
      <c r="AI32" s="1560"/>
      <c r="AJ32" s="1560"/>
      <c r="AK32" s="216"/>
      <c r="AL32" s="303"/>
      <c r="AM32" s="303"/>
      <c r="AN32" s="303"/>
      <c r="AO32" s="303"/>
      <c r="AP32" s="303"/>
      <c r="AQ32" s="353">
        <v>0</v>
      </c>
    </row>
    <row r="33" spans="1:43" s="1777" customFormat="1" ht="18" hidden="1" customHeight="1">
      <c r="A33" s="1173"/>
      <c r="B33" s="1173"/>
      <c r="C33" s="1173"/>
      <c r="D33" s="1173"/>
      <c r="E33" s="1173"/>
      <c r="F33" s="1173"/>
      <c r="G33" s="1173"/>
      <c r="H33" s="1173"/>
      <c r="I33" s="1173"/>
      <c r="J33" s="1173"/>
      <c r="K33" s="1173"/>
      <c r="L33" s="1305"/>
      <c r="M33" s="1173"/>
      <c r="N33" s="1173"/>
      <c r="O33" s="1173"/>
      <c r="P33" s="1293"/>
      <c r="Q33" s="1293"/>
      <c r="S33" s="2178" t="s">
        <v>423</v>
      </c>
      <c r="T33" s="2178"/>
      <c r="U33" s="1297"/>
      <c r="V33" s="2179" t="str">
        <f>IF(TITLE_NUMBER_PR_CHANGE="",IF(TITLE_NUMBER_PR="","",TITLE_NUMBER_PR),TITLE_NUMBER_PR_CHANGE)</f>
        <v/>
      </c>
      <c r="W33" s="2179"/>
      <c r="X33" s="2179"/>
      <c r="Y33" s="2179"/>
      <c r="Z33" s="2179"/>
      <c r="AA33" s="1560"/>
      <c r="AB33" s="1560"/>
      <c r="AC33" s="2179"/>
      <c r="AD33" s="2179"/>
      <c r="AE33" s="2179"/>
      <c r="AF33" s="2179"/>
      <c r="AG33" s="2179"/>
      <c r="AH33" s="2179"/>
      <c r="AI33" s="1560"/>
      <c r="AJ33" s="1560"/>
      <c r="AK33" s="216"/>
      <c r="AL33" s="303"/>
      <c r="AM33" s="303"/>
      <c r="AN33" s="303"/>
      <c r="AO33" s="303"/>
      <c r="AP33" s="303"/>
      <c r="AQ33" s="353">
        <v>0</v>
      </c>
    </row>
    <row r="34" spans="1:43" s="1777" customFormat="1" ht="1.1499999999999999" customHeight="1">
      <c r="A34" s="1173"/>
      <c r="B34" s="1173"/>
      <c r="C34" s="1173"/>
      <c r="D34" s="1173"/>
      <c r="E34" s="1173"/>
      <c r="F34" s="1173"/>
      <c r="G34" s="1173"/>
      <c r="H34" s="1173"/>
      <c r="I34" s="1173"/>
      <c r="J34" s="1173"/>
      <c r="K34" s="1173"/>
      <c r="L34" s="1305"/>
      <c r="M34" s="1173"/>
      <c r="N34" s="1173"/>
      <c r="O34" s="1173"/>
      <c r="P34" s="1293"/>
      <c r="Q34" s="1293"/>
      <c r="S34" s="1560"/>
      <c r="T34" s="1560"/>
      <c r="U34" s="1891"/>
      <c r="V34" s="1560"/>
      <c r="W34" s="1560"/>
      <c r="X34" s="1560"/>
      <c r="Y34" s="1560"/>
      <c r="Z34" s="1560"/>
      <c r="AA34" s="1567" t="s">
        <v>426</v>
      </c>
      <c r="AB34" s="1567"/>
      <c r="AC34" s="1560"/>
      <c r="AD34" s="1560"/>
      <c r="AE34" s="1560"/>
      <c r="AF34" s="1560"/>
      <c r="AG34" s="1560"/>
      <c r="AH34" s="1560"/>
      <c r="AI34" s="1567" t="s">
        <v>426</v>
      </c>
      <c r="AL34" s="303"/>
      <c r="AM34" s="303"/>
      <c r="AN34" s="303"/>
      <c r="AO34" s="303"/>
      <c r="AP34" s="303"/>
      <c r="AQ34" s="353">
        <v>1</v>
      </c>
    </row>
    <row r="35" spans="1:43" ht="14.65" customHeight="1">
      <c r="Q35" s="227"/>
      <c r="R35" s="311"/>
      <c r="S35" s="1200"/>
      <c r="T35" s="392"/>
      <c r="U35" s="1169"/>
      <c r="V35" s="2180"/>
      <c r="W35" s="2180"/>
      <c r="X35" s="2180"/>
      <c r="Y35" s="2180"/>
      <c r="Z35" s="2180"/>
      <c r="AA35" s="2180"/>
      <c r="AB35" s="1878"/>
      <c r="AC35" s="2180"/>
      <c r="AD35" s="2180"/>
      <c r="AE35" s="2180"/>
      <c r="AF35" s="2180"/>
      <c r="AG35" s="2180"/>
      <c r="AH35" s="2180"/>
      <c r="AI35" s="2180"/>
      <c r="AQ35" s="1556">
        <v>14</v>
      </c>
    </row>
    <row r="36" spans="1:43" ht="14.65" customHeight="1">
      <c r="Q36" s="227"/>
      <c r="R36" s="311"/>
      <c r="S36" s="2066" t="s">
        <v>299</v>
      </c>
      <c r="T36" s="2066"/>
      <c r="U36" s="2066"/>
      <c r="V36" s="2066"/>
      <c r="W36" s="2066"/>
      <c r="X36" s="2066"/>
      <c r="Y36" s="2066"/>
      <c r="Z36" s="2066"/>
      <c r="AA36" s="2114"/>
      <c r="AB36" s="2114"/>
      <c r="AC36" s="2114"/>
      <c r="AD36" s="2066"/>
      <c r="AE36" s="2066"/>
      <c r="AF36" s="2066"/>
      <c r="AG36" s="2066"/>
      <c r="AH36" s="2066"/>
      <c r="AI36" s="2066"/>
      <c r="AJ36" s="2066"/>
      <c r="AK36" s="2066" t="s">
        <v>300</v>
      </c>
      <c r="AQ36" s="1556">
        <v>14</v>
      </c>
    </row>
    <row r="37" spans="1:43" ht="14.65" customHeight="1">
      <c r="Q37" s="227"/>
      <c r="R37" s="311"/>
      <c r="S37" s="2194" t="s">
        <v>88</v>
      </c>
      <c r="T37" s="2145" t="s">
        <v>498</v>
      </c>
      <c r="U37" s="273"/>
      <c r="V37" s="2196"/>
      <c r="W37" s="2196"/>
      <c r="X37" s="2196"/>
      <c r="Y37" s="2196"/>
      <c r="Z37" s="2196"/>
      <c r="AA37" s="2145" t="s">
        <v>429</v>
      </c>
      <c r="AB37" s="2144" t="s">
        <v>499</v>
      </c>
      <c r="AC37" s="2144" t="s">
        <v>473</v>
      </c>
      <c r="AD37" s="2212" t="s">
        <v>428</v>
      </c>
      <c r="AE37" s="2212"/>
      <c r="AF37" s="2196"/>
      <c r="AG37" s="2196"/>
      <c r="AH37" s="2197"/>
      <c r="AI37" s="2198" t="s">
        <v>429</v>
      </c>
      <c r="AJ37" s="2201" t="s">
        <v>431</v>
      </c>
      <c r="AK37" s="2066"/>
      <c r="AQ37" s="1556">
        <v>14</v>
      </c>
    </row>
    <row r="38" spans="1:43" ht="35.65" customHeight="1">
      <c r="Q38" s="227"/>
      <c r="R38" s="311"/>
      <c r="S38" s="2194"/>
      <c r="T38" s="2145"/>
      <c r="U38" s="959"/>
      <c r="V38" s="2037" t="s">
        <v>476</v>
      </c>
      <c r="W38" s="2066"/>
      <c r="X38" s="2131" t="s">
        <v>435</v>
      </c>
      <c r="Y38" s="2226"/>
      <c r="Z38" s="2226"/>
      <c r="AA38" s="2145"/>
      <c r="AB38" s="2144"/>
      <c r="AC38" s="2144"/>
      <c r="AD38" s="2037" t="s">
        <v>476</v>
      </c>
      <c r="AE38" s="2066"/>
      <c r="AF38" s="2226" t="s">
        <v>435</v>
      </c>
      <c r="AG38" s="2226"/>
      <c r="AH38" s="2132"/>
      <c r="AI38" s="2199"/>
      <c r="AJ38" s="2202"/>
      <c r="AK38" s="2066"/>
      <c r="AQ38" s="1556">
        <v>34</v>
      </c>
    </row>
    <row r="39" spans="1:43" ht="14.65" customHeight="1">
      <c r="Q39" s="227"/>
      <c r="R39" s="311"/>
      <c r="S39" s="2194"/>
      <c r="T39" s="2145"/>
      <c r="U39" s="959"/>
      <c r="V39" s="2243" t="str">
        <f>IF($AD$39&lt;&gt;"",$AD$39,"")</f>
        <v/>
      </c>
      <c r="W39" s="2243"/>
      <c r="X39" s="2136"/>
      <c r="Y39" s="2227"/>
      <c r="Z39" s="2227"/>
      <c r="AA39" s="2145"/>
      <c r="AB39" s="2144"/>
      <c r="AC39" s="2144"/>
      <c r="AD39" s="2259"/>
      <c r="AE39" s="2242"/>
      <c r="AF39" s="2227"/>
      <c r="AG39" s="2227"/>
      <c r="AH39" s="2137"/>
      <c r="AI39" s="2199"/>
      <c r="AJ39" s="2202"/>
      <c r="AK39" s="2066"/>
      <c r="AQ39" s="1556">
        <v>14</v>
      </c>
    </row>
    <row r="40" spans="1:43" ht="14.65" customHeight="1">
      <c r="A40" s="1191"/>
      <c r="B40" s="1191" t="s">
        <v>136</v>
      </c>
      <c r="C40" s="1191" t="s">
        <v>137</v>
      </c>
      <c r="D40" s="1191" t="s">
        <v>138</v>
      </c>
      <c r="E40" s="1235" t="s">
        <v>436</v>
      </c>
      <c r="F40" s="1235" t="s">
        <v>437</v>
      </c>
      <c r="G40" s="1235" t="s">
        <v>438</v>
      </c>
      <c r="H40" s="1235" t="s">
        <v>439</v>
      </c>
      <c r="I40" s="1235" t="s">
        <v>440</v>
      </c>
      <c r="J40" s="1235" t="s">
        <v>441</v>
      </c>
      <c r="K40" s="1235" t="s">
        <v>442</v>
      </c>
      <c r="L40" s="1235" t="s">
        <v>417</v>
      </c>
      <c r="Q40" s="227"/>
      <c r="R40" s="311"/>
      <c r="S40" s="2194"/>
      <c r="T40" s="2145"/>
      <c r="U40" s="238"/>
      <c r="V40" s="1871" t="s">
        <v>477</v>
      </c>
      <c r="W40" s="1871" t="s">
        <v>478</v>
      </c>
      <c r="X40" s="1859" t="s">
        <v>445</v>
      </c>
      <c r="Y40" s="2154" t="s">
        <v>446</v>
      </c>
      <c r="Z40" s="2155"/>
      <c r="AA40" s="2145"/>
      <c r="AB40" s="2144"/>
      <c r="AC40" s="2144"/>
      <c r="AD40" s="1889" t="s">
        <v>477</v>
      </c>
      <c r="AE40" s="1880" t="s">
        <v>478</v>
      </c>
      <c r="AF40" s="1859" t="s">
        <v>445</v>
      </c>
      <c r="AG40" s="2154" t="s">
        <v>446</v>
      </c>
      <c r="AH40" s="2156"/>
      <c r="AI40" s="2200"/>
      <c r="AJ40" s="2203"/>
      <c r="AK40" s="2066"/>
      <c r="AQ40" s="1556">
        <v>14</v>
      </c>
    </row>
    <row r="41" spans="1:43" s="1566" customFormat="1" ht="11.25" hidden="1" customHeight="1">
      <c r="A41" s="1191"/>
      <c r="B41" s="1191"/>
      <c r="C41" s="1191"/>
      <c r="D41" s="1191"/>
      <c r="E41" s="1191"/>
      <c r="F41" s="1191"/>
      <c r="G41" s="1191"/>
      <c r="H41" s="1191"/>
      <c r="I41" s="1191"/>
      <c r="J41" s="1191"/>
      <c r="K41" s="1191"/>
      <c r="L41" s="1235"/>
      <c r="M41" s="1886"/>
      <c r="N41" s="1886"/>
      <c r="O41" s="1886"/>
      <c r="P41" s="445"/>
      <c r="Q41" s="1179"/>
      <c r="R41" s="1179">
        <v>1</v>
      </c>
      <c r="S41" s="1202" t="s">
        <v>109</v>
      </c>
      <c r="T41" s="1180" t="s">
        <v>110</v>
      </c>
      <c r="U41" s="1170" t="str">
        <f ca="1">OFFSET(U41,0,-1)</f>
        <v>2</v>
      </c>
      <c r="V41" s="1877">
        <f ca="1">OFFSET(V41,0,-1)+1</f>
        <v>3</v>
      </c>
      <c r="W41" s="1877">
        <f ca="1">OFFSET(W41,0,-1)+1</f>
        <v>4</v>
      </c>
      <c r="X41" s="1877">
        <f ca="1">OFFSET(X41,0,-1)+1</f>
        <v>5</v>
      </c>
      <c r="Y41" s="2193">
        <f ca="1">OFFSET(Y41,0,-1)+1</f>
        <v>6</v>
      </c>
      <c r="Z41" s="2193"/>
      <c r="AA41" s="1266">
        <f ca="1">OFFSET(AA41,0,-2)+1</f>
        <v>7</v>
      </c>
      <c r="AB41" s="1266"/>
      <c r="AC41" s="1266"/>
      <c r="AD41" s="1877">
        <f ca="1">OFFSET(AD41,0,-1)+1</f>
        <v>1</v>
      </c>
      <c r="AE41" s="1877">
        <f ca="1">OFFSET(AE41,0,-1)+1</f>
        <v>2</v>
      </c>
      <c r="AF41" s="1877">
        <f ca="1">OFFSET(AF41,0,-1)+1</f>
        <v>3</v>
      </c>
      <c r="AG41" s="2193">
        <f ca="1">OFFSET(AG41,0,-1)+1</f>
        <v>4</v>
      </c>
      <c r="AH41" s="2193"/>
      <c r="AI41" s="1877">
        <f ca="1">OFFSET(AI41,0,-2)+1</f>
        <v>5</v>
      </c>
      <c r="AJ41" s="1170">
        <f ca="1">OFFSET(AJ41,0,-1)</f>
        <v>5</v>
      </c>
      <c r="AK41" s="1877">
        <f ca="1">OFFSET(AK41,0,-1)+1</f>
        <v>6</v>
      </c>
      <c r="AL41" s="1561"/>
      <c r="AM41" s="1561"/>
      <c r="AN41" s="1561"/>
      <c r="AO41" s="1561"/>
      <c r="AP41" s="1561"/>
      <c r="AQ41" s="1566">
        <v>0</v>
      </c>
    </row>
    <row r="42" spans="1:43" ht="107.25" customHeight="1">
      <c r="A42" s="1192" t="s">
        <v>205</v>
      </c>
      <c r="B42" s="1192"/>
      <c r="C42" s="1192"/>
      <c r="D42" s="1192"/>
      <c r="E42" s="2210">
        <v>1</v>
      </c>
      <c r="F42" s="1192"/>
      <c r="G42" s="1192"/>
      <c r="H42" s="1192"/>
      <c r="I42" s="1192"/>
      <c r="J42" s="1192"/>
      <c r="K42" s="1192"/>
      <c r="L42" s="1235"/>
      <c r="M42" s="1535"/>
      <c r="N42" s="1535"/>
      <c r="O42" s="1535"/>
      <c r="P42" s="1334"/>
      <c r="Q42" s="802"/>
      <c r="R42" s="290"/>
      <c r="S42" s="1879">
        <f>INDEX(PT_DIFFERENTIATION_NUM_NTAR,MATCH(A42,PT_DIFFERENTIATION_NTAR_ID,0))</f>
        <v>0</v>
      </c>
      <c r="T42" s="1450" t="s">
        <v>124</v>
      </c>
      <c r="U42" s="236"/>
      <c r="V42" s="2173"/>
      <c r="W42" s="2173"/>
      <c r="X42" s="2173"/>
      <c r="Y42" s="2173"/>
      <c r="Z42" s="2173"/>
      <c r="AA42" s="2174"/>
      <c r="AB42" s="1873"/>
      <c r="AC42" s="2173" t="str">
        <f>INDEX(PT_DIFFERENTIATION_NTAR,MATCH(A42,PT_DIFFERENTIATION_NTAR_ID,0))</f>
        <v/>
      </c>
      <c r="AD42" s="2173"/>
      <c r="AE42" s="2173"/>
      <c r="AF42" s="2173"/>
      <c r="AG42" s="2173"/>
      <c r="AH42" s="2173"/>
      <c r="AI42" s="2173"/>
      <c r="AJ42" s="2174"/>
      <c r="AK42" s="1183" t="str">
        <f>IF(TEMPLATE_GROUP="P","По данной форме раскрывается в том числе информация о тарифах на товары (услуги) в сфере теплоснабжения в случаях, указанных в частях 12 1 - 12 4 статьи 10 Федерального закона от 27 июля 2010 г."&amp;" N 190-ФЗ ""О теплоснабжении"", теплоснабжающей организации, теплосетевой организации в ценовых зонах теплоснабжения. "&amp;"Указывается наименование тарифа в случае утверждения нескольких тарифов. В случае наличия нескольких тарифов информация по ним указывается в отдельных строках.
"&amp;"Указываются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об установлении "&amp;"цены (тарифа), источник официального опубликования решения об установлении цены (тарифа) в сфере теплоснабжения.","По данной форме раскрывается в том числе информация о плате за подключение (технологическое присоединение) к системе теплоснабжения, применяемой в случае, установленном частью 9 статьи"&amp;" 23 4 Федерального закона от 27 июля 2010 г. N 190-ФЗ ""О теплоснабжении"".
"&amp;"По данной форме раскрывается в том числе информация о тарифах на товары (услуги) в сфере теплоснабжения в случаях, указанных частях 12 1 - 12 4 статьи 10 от 27 июля 2010 г. N 190-ФЗ"&amp;" Федерального закона ""О теплоснабжении"", теплоснабжающей организации, теплосетевой организации в ценовых зонах теплоснабжения.
"&amp;"В отношении платы за подключение в расчете на единицу мощности тепловой энергии величина платы указывается в тыс.руб./Гкал/ч; в отношении платы за подключение в индивидуальном"&amp;" порядке - в тыс.руб.; в отношении льготного размера платы за подключение - в руб.
"&amp;"Указывается наименование тарифа в случае расчета нескольких тарифов. 
"&amp;"В случае наличия нескольких тарифов информация по ним указывается в отдельных строках.")</f>
        <v>По данной форме раскрывается в том числе информация о плате за подключение (технологическое присоединение) к системе теплоснабжения, применяемой в случае, установленном частью 9 статьи 23 4 Федерального закона от 27 июля 2010 г. N 190-ФЗ "О теплоснабжении".
По данной форме раскрывается в том числе информация о тарифах на товары (услуги) в сфере теплоснабжения в случаях, указанных частях 12 1 - 12 4 статьи 10 от 27 июля 2010 г. N 190-ФЗ Федерального закона "О теплоснабжении", теплоснабжающей организации, теплосетевой организации в ценовых зонах теплоснабжения.
В отношении платы за подключение в расчете на единицу мощности тепловой энергии величина платы указывается в тыс.руб./Гкал/ч; в отношении платы за подключение в индивидуальном порядке - в тыс.руб.; в отношении льготного размера платы за подключение - в руб.
Указывается наименование тарифа в случае расчета нескольких тарифов. 
В случае наличия нескольких тарифов информация по ним указывается в отдельных строках.</v>
      </c>
      <c r="AM42" s="1549"/>
      <c r="AN42" s="1549" t="str">
        <f t="shared" ref="AN42:AN56" si="1">IF(T42="","",T42)</f>
        <v>Наименование тарифа</v>
      </c>
      <c r="AO42" s="1549"/>
      <c r="AP42" s="1549"/>
      <c r="AQ42" s="1556">
        <v>102</v>
      </c>
    </row>
    <row r="43" spans="1:43" ht="21.95" customHeight="1">
      <c r="A43" s="1192" t="s">
        <v>205</v>
      </c>
      <c r="B43" s="1192" t="s">
        <v>206</v>
      </c>
      <c r="C43" s="1192"/>
      <c r="D43" s="1192"/>
      <c r="E43" s="2211"/>
      <c r="F43" s="2210">
        <v>1</v>
      </c>
      <c r="G43" s="1192"/>
      <c r="H43" s="1192"/>
      <c r="I43" s="1192"/>
      <c r="J43" s="1192"/>
      <c r="K43" s="1192"/>
      <c r="L43" s="1235"/>
      <c r="M43" s="1535"/>
      <c r="N43" s="1535"/>
      <c r="O43" s="1535"/>
      <c r="P43" s="1890"/>
      <c r="Q43" s="1336"/>
      <c r="R43" s="288"/>
      <c r="S43" s="1879" t="str">
        <f>INDEX(PT_DIFFERENTIATION_NUM_TER,MATCH(B43,PT_DIFFERENTIATION_TER_ID,0))</f>
        <v>.</v>
      </c>
      <c r="T43" s="1447" t="s">
        <v>396</v>
      </c>
      <c r="U43" s="236"/>
      <c r="V43" s="2173"/>
      <c r="W43" s="2173"/>
      <c r="X43" s="2173"/>
      <c r="Y43" s="2173"/>
      <c r="Z43" s="2173"/>
      <c r="AA43" s="2174"/>
      <c r="AB43" s="1873"/>
      <c r="AC43" s="2173" t="str">
        <f>INDEX(PT_DIFFERENTIATION_TER,MATCH(B43,PT_DIFFERENTIATION_TER_ID,0))</f>
        <v/>
      </c>
      <c r="AD43" s="2173"/>
      <c r="AE43" s="2173"/>
      <c r="AF43" s="2173"/>
      <c r="AG43" s="2173"/>
      <c r="AH43" s="2173"/>
      <c r="AI43" s="2173"/>
      <c r="AJ43" s="2174"/>
      <c r="AK43" s="1183" t="s">
        <v>397</v>
      </c>
      <c r="AM43" s="1549"/>
      <c r="AN43" s="1549" t="str">
        <f t="shared" si="1"/>
        <v>Территория действия тарифа</v>
      </c>
      <c r="AO43" s="1549"/>
      <c r="AP43" s="1549"/>
      <c r="AQ43" s="1556">
        <v>21</v>
      </c>
    </row>
    <row r="44" spans="1:43" ht="24" customHeight="1">
      <c r="A44" s="1192" t="s">
        <v>205</v>
      </c>
      <c r="B44" s="1192" t="s">
        <v>206</v>
      </c>
      <c r="C44" s="1192" t="s">
        <v>207</v>
      </c>
      <c r="D44" s="1192"/>
      <c r="E44" s="2211"/>
      <c r="F44" s="2211"/>
      <c r="G44" s="2210">
        <v>1</v>
      </c>
      <c r="H44" s="1192"/>
      <c r="I44" s="1192"/>
      <c r="J44" s="1192"/>
      <c r="K44" s="1192"/>
      <c r="L44" s="1235"/>
      <c r="M44" s="1535"/>
      <c r="N44" s="1535"/>
      <c r="O44" s="1535"/>
      <c r="P44" s="1337"/>
      <c r="Q44" s="1336"/>
      <c r="R44" s="288"/>
      <c r="S44" s="1879" t="str">
        <f>INDEX(PT_DIFFERENTIATION_NUM_CS,MATCH(C44,PT_DIFFERENTIATION_CS_ID,0))</f>
        <v>..</v>
      </c>
      <c r="T44" s="245" t="s">
        <v>398</v>
      </c>
      <c r="U44" s="236"/>
      <c r="V44" s="2173"/>
      <c r="W44" s="2173"/>
      <c r="X44" s="2173"/>
      <c r="Y44" s="2173"/>
      <c r="Z44" s="2173"/>
      <c r="AA44" s="2174"/>
      <c r="AB44" s="1873"/>
      <c r="AC44" s="2173" t="str">
        <f>INDEX(PT_DIFFERENTIATION_CS,MATCH(C44,PT_DIFFERENTIATION_CS_ID,0))</f>
        <v/>
      </c>
      <c r="AD44" s="2173"/>
      <c r="AE44" s="2173"/>
      <c r="AF44" s="2173"/>
      <c r="AG44" s="2173"/>
      <c r="AH44" s="2173"/>
      <c r="AI44" s="2173"/>
      <c r="AJ44" s="2174"/>
      <c r="AK44" s="1183" t="s">
        <v>399</v>
      </c>
      <c r="AM44" s="1549"/>
      <c r="AN44" s="1549" t="str">
        <f t="shared" si="1"/>
        <v xml:space="preserve">Наименование системы теплоснабжения </v>
      </c>
      <c r="AO44" s="1549"/>
      <c r="AP44" s="1549"/>
      <c r="AQ44" s="1556">
        <v>23</v>
      </c>
    </row>
    <row r="45" spans="1:43" ht="21.95" customHeight="1">
      <c r="A45" s="1192" t="s">
        <v>205</v>
      </c>
      <c r="B45" s="1192" t="s">
        <v>206</v>
      </c>
      <c r="C45" s="1192" t="s">
        <v>207</v>
      </c>
      <c r="D45" s="1192" t="s">
        <v>208</v>
      </c>
      <c r="E45" s="2211"/>
      <c r="F45" s="2211"/>
      <c r="G45" s="2211"/>
      <c r="H45" s="2210">
        <v>1</v>
      </c>
      <c r="I45" s="1192"/>
      <c r="J45" s="1192"/>
      <c r="K45" s="1192"/>
      <c r="L45" s="1235"/>
      <c r="M45" s="1535"/>
      <c r="N45" s="1535"/>
      <c r="O45" s="1535"/>
      <c r="P45" s="1337"/>
      <c r="Q45" s="1336"/>
      <c r="R45" s="288"/>
      <c r="S45" s="1879" t="str">
        <f>INDEX(PT_DIFFERENTIATION_NUM_IST_TE,MATCH(D45,PT_DIFFERENTIATION_IST_TE_ID,0))</f>
        <v>...</v>
      </c>
      <c r="T45" s="246" t="s">
        <v>400</v>
      </c>
      <c r="U45" s="236"/>
      <c r="V45" s="2173"/>
      <c r="W45" s="2173"/>
      <c r="X45" s="2173"/>
      <c r="Y45" s="2173"/>
      <c r="Z45" s="2173"/>
      <c r="AA45" s="2174"/>
      <c r="AB45" s="1873"/>
      <c r="AC45" s="2173" t="str">
        <f>INDEX(PT_DIFFERENTIATION_IST_TE,MATCH(D45,PT_DIFFERENTIATION_IST_TE_ID,0))</f>
        <v/>
      </c>
      <c r="AD45" s="2173"/>
      <c r="AE45" s="2173"/>
      <c r="AF45" s="2173"/>
      <c r="AG45" s="2173"/>
      <c r="AH45" s="2173"/>
      <c r="AI45" s="2173"/>
      <c r="AJ45" s="2174"/>
      <c r="AK45" s="1183" t="s">
        <v>401</v>
      </c>
      <c r="AM45" s="1549"/>
      <c r="AN45" s="1549" t="str">
        <f t="shared" si="1"/>
        <v xml:space="preserve">Источник тепловой энергии  </v>
      </c>
      <c r="AO45" s="1549"/>
      <c r="AP45" s="1549"/>
      <c r="AQ45" s="1556">
        <v>21</v>
      </c>
    </row>
    <row r="46" spans="1:43" s="1567" customFormat="1" ht="0" hidden="1" customHeight="1">
      <c r="A46" s="1300" t="s">
        <v>205</v>
      </c>
      <c r="B46" s="1300" t="s">
        <v>206</v>
      </c>
      <c r="C46" s="1300" t="s">
        <v>207</v>
      </c>
      <c r="D46" s="1300" t="s">
        <v>208</v>
      </c>
      <c r="E46" s="2211"/>
      <c r="F46" s="2211"/>
      <c r="G46" s="2211"/>
      <c r="H46" s="2211"/>
      <c r="I46" s="2066" t="str">
        <f>S45&amp;".1"</f>
        <v>....1</v>
      </c>
      <c r="J46" s="1300"/>
      <c r="K46" s="1300"/>
      <c r="L46" s="1306" t="s">
        <v>402</v>
      </c>
      <c r="M46" s="1171"/>
      <c r="N46" s="1171"/>
      <c r="O46" s="1171"/>
      <c r="P46" s="2185">
        <v>1</v>
      </c>
      <c r="Q46" s="1875"/>
      <c r="R46" s="291"/>
      <c r="S46" s="970"/>
      <c r="T46" s="1308"/>
      <c r="U46" s="1309"/>
      <c r="V46" s="2216"/>
      <c r="W46" s="2216"/>
      <c r="X46" s="2216"/>
      <c r="Y46" s="2216"/>
      <c r="Z46" s="2216"/>
      <c r="AA46" s="2217"/>
      <c r="AB46" s="1881"/>
      <c r="AC46" s="2216"/>
      <c r="AD46" s="2216"/>
      <c r="AE46" s="2216"/>
      <c r="AF46" s="2216"/>
      <c r="AG46" s="2216"/>
      <c r="AH46" s="2216"/>
      <c r="AI46" s="2216"/>
      <c r="AJ46" s="2217"/>
      <c r="AK46" s="1310"/>
      <c r="AM46" s="1549"/>
      <c r="AN46" s="1549" t="str">
        <f t="shared" si="1"/>
        <v/>
      </c>
      <c r="AO46" s="1549"/>
      <c r="AP46" s="1549"/>
      <c r="AQ46" s="1561">
        <v>0</v>
      </c>
    </row>
    <row r="47" spans="1:43" s="1567" customFormat="1" ht="0" hidden="1" customHeight="1">
      <c r="A47" s="1300" t="s">
        <v>205</v>
      </c>
      <c r="B47" s="1300" t="s">
        <v>206</v>
      </c>
      <c r="C47" s="1300" t="s">
        <v>207</v>
      </c>
      <c r="D47" s="1300" t="s">
        <v>208</v>
      </c>
      <c r="E47" s="2211"/>
      <c r="F47" s="2211"/>
      <c r="G47" s="2211"/>
      <c r="H47" s="2211"/>
      <c r="I47" s="2038"/>
      <c r="J47" s="2066" t="str">
        <f>S45&amp;".1"</f>
        <v>....1</v>
      </c>
      <c r="K47" s="1300"/>
      <c r="L47" s="1306"/>
      <c r="M47" s="1171"/>
      <c r="N47" s="1171"/>
      <c r="O47" s="1171"/>
      <c r="P47" s="2185"/>
      <c r="Q47" s="2185">
        <v>1</v>
      </c>
      <c r="R47" s="292"/>
      <c r="S47" s="970"/>
      <c r="T47" s="1324"/>
      <c r="U47" s="1309"/>
      <c r="V47" s="2216"/>
      <c r="W47" s="2216"/>
      <c r="X47" s="2216"/>
      <c r="Y47" s="2216"/>
      <c r="Z47" s="2216"/>
      <c r="AA47" s="2217"/>
      <c r="AB47" s="1881"/>
      <c r="AC47" s="2216"/>
      <c r="AD47" s="2216"/>
      <c r="AE47" s="2216"/>
      <c r="AF47" s="2216"/>
      <c r="AG47" s="2216"/>
      <c r="AH47" s="2216"/>
      <c r="AI47" s="2216"/>
      <c r="AJ47" s="2217"/>
      <c r="AK47" s="1310"/>
      <c r="AM47" s="1549"/>
      <c r="AN47" s="1549" t="str">
        <f t="shared" si="1"/>
        <v/>
      </c>
      <c r="AO47" s="1549"/>
      <c r="AP47" s="1549"/>
      <c r="AQ47" s="1561">
        <v>0</v>
      </c>
    </row>
    <row r="48" spans="1:43" ht="21.95" customHeight="1">
      <c r="A48" s="1192" t="s">
        <v>205</v>
      </c>
      <c r="B48" s="1192" t="s">
        <v>206</v>
      </c>
      <c r="C48" s="1192" t="s">
        <v>207</v>
      </c>
      <c r="D48" s="1192" t="s">
        <v>208</v>
      </c>
      <c r="E48" s="2211"/>
      <c r="F48" s="2211"/>
      <c r="G48" s="2211"/>
      <c r="H48" s="2211"/>
      <c r="I48" s="2038"/>
      <c r="J48" s="2038"/>
      <c r="K48" s="1862" t="str">
        <f>S45&amp;".1"</f>
        <v>....1</v>
      </c>
      <c r="L48" s="1235"/>
      <c r="P48" s="2185"/>
      <c r="Q48" s="2185"/>
      <c r="R48" s="292">
        <v>1</v>
      </c>
      <c r="S48" s="1883" t="str">
        <f>$K48</f>
        <v>....1</v>
      </c>
      <c r="T48" s="1882"/>
      <c r="U48" s="236"/>
      <c r="V48" s="686"/>
      <c r="W48" s="1182"/>
      <c r="X48" s="1876"/>
      <c r="Y48" s="1863" t="s">
        <v>66</v>
      </c>
      <c r="Z48" s="1876"/>
      <c r="AA48" s="1863" t="s">
        <v>66</v>
      </c>
      <c r="AB48" s="1885"/>
      <c r="AC48" s="1884" t="s">
        <v>22</v>
      </c>
      <c r="AD48" s="686"/>
      <c r="AE48" s="1182"/>
      <c r="AF48" s="1876"/>
      <c r="AG48" s="1863" t="s">
        <v>66</v>
      </c>
      <c r="AH48" s="1876"/>
      <c r="AI48" s="1863" t="s">
        <v>66</v>
      </c>
      <c r="AJ48" s="1273"/>
      <c r="AK48" s="2181" t="s">
        <v>479</v>
      </c>
      <c r="AL48" s="1561" t="e">
        <f ca="1">STRCHECKDATE(#REF!)</f>
        <v>#NAME?</v>
      </c>
      <c r="AM48" s="1549"/>
      <c r="AN48" s="1549" t="str">
        <f t="shared" si="1"/>
        <v/>
      </c>
      <c r="AO48" s="1549"/>
      <c r="AP48" s="1549"/>
      <c r="AQ48" s="1556">
        <v>21</v>
      </c>
    </row>
    <row r="49" spans="1:43" ht="11.45" customHeight="1">
      <c r="A49" s="1192" t="s">
        <v>205</v>
      </c>
      <c r="B49" s="1192" t="s">
        <v>206</v>
      </c>
      <c r="C49" s="1192" t="s">
        <v>207</v>
      </c>
      <c r="D49" s="1192" t="s">
        <v>208</v>
      </c>
      <c r="E49" s="2211"/>
      <c r="F49" s="2211"/>
      <c r="G49" s="2211"/>
      <c r="H49" s="2211"/>
      <c r="I49" s="2038"/>
      <c r="J49" s="2066"/>
      <c r="K49" s="1192"/>
      <c r="L49" s="1235"/>
      <c r="P49" s="2185"/>
      <c r="Q49" s="2185"/>
      <c r="R49" s="291"/>
      <c r="S49" s="1203"/>
      <c r="T49" s="223" t="s">
        <v>467</v>
      </c>
      <c r="U49" s="535"/>
      <c r="V49" s="535"/>
      <c r="W49" s="535"/>
      <c r="X49" s="535"/>
      <c r="Y49" s="535"/>
      <c r="Z49" s="535"/>
      <c r="AA49" s="260"/>
      <c r="AB49" s="535"/>
      <c r="AC49" s="535"/>
      <c r="AD49" s="535"/>
      <c r="AE49" s="535"/>
      <c r="AF49" s="535"/>
      <c r="AG49" s="535"/>
      <c r="AH49" s="535"/>
      <c r="AI49" s="535"/>
      <c r="AJ49" s="260"/>
      <c r="AK49" s="2183"/>
      <c r="AM49" s="1549"/>
      <c r="AN49" s="1549" t="str">
        <f t="shared" si="1"/>
        <v>Добавить строку</v>
      </c>
      <c r="AO49" s="1549"/>
      <c r="AP49" s="1549"/>
      <c r="AQ49" s="1556">
        <v>11</v>
      </c>
    </row>
    <row r="50" spans="1:43" s="1567" customFormat="1" ht="1.1499999999999999" customHeight="1">
      <c r="A50" s="1300" t="s">
        <v>205</v>
      </c>
      <c r="B50" s="1300" t="s">
        <v>206</v>
      </c>
      <c r="C50" s="1300" t="s">
        <v>207</v>
      </c>
      <c r="D50" s="1300" t="s">
        <v>208</v>
      </c>
      <c r="E50" s="2211"/>
      <c r="F50" s="2211"/>
      <c r="G50" s="2211"/>
      <c r="H50" s="2211"/>
      <c r="I50" s="2066"/>
      <c r="J50" s="1300"/>
      <c r="K50" s="1300"/>
      <c r="L50" s="1306"/>
      <c r="M50" s="1171"/>
      <c r="N50" s="1171"/>
      <c r="O50" s="1171"/>
      <c r="P50" s="2185"/>
      <c r="Q50" s="1875"/>
      <c r="R50" s="291"/>
      <c r="S50" s="1311"/>
      <c r="T50" s="1312" t="s">
        <v>411</v>
      </c>
      <c r="U50" s="1313"/>
      <c r="V50" s="1313"/>
      <c r="W50" s="1313"/>
      <c r="X50" s="1313"/>
      <c r="Y50" s="1313"/>
      <c r="Z50" s="1313"/>
      <c r="AA50" s="1313"/>
      <c r="AB50" s="1313"/>
      <c r="AC50" s="1313"/>
      <c r="AD50" s="1313"/>
      <c r="AE50" s="1313"/>
      <c r="AF50" s="1313"/>
      <c r="AG50" s="1313"/>
      <c r="AH50" s="1313"/>
      <c r="AI50" s="1313"/>
      <c r="AJ50" s="1313"/>
      <c r="AK50" s="1314"/>
      <c r="AM50" s="1549"/>
      <c r="AN50" s="1549" t="str">
        <f t="shared" si="1"/>
        <v>Добавить группу потребителей</v>
      </c>
      <c r="AO50" s="1549"/>
      <c r="AP50" s="1549"/>
      <c r="AQ50" s="1561">
        <v>1</v>
      </c>
    </row>
    <row r="51" spans="1:43" s="1566" customFormat="1" ht="1.1499999999999999" customHeight="1">
      <c r="A51" s="1300" t="s">
        <v>205</v>
      </c>
      <c r="B51" s="1300" t="s">
        <v>206</v>
      </c>
      <c r="C51" s="1300" t="s">
        <v>207</v>
      </c>
      <c r="D51" s="1300" t="s">
        <v>208</v>
      </c>
      <c r="E51" s="2211"/>
      <c r="F51" s="2211"/>
      <c r="G51" s="2211"/>
      <c r="H51" s="2210"/>
      <c r="I51" s="1300"/>
      <c r="J51" s="1300"/>
      <c r="K51" s="1300"/>
      <c r="L51" s="1306"/>
      <c r="M51" s="1303"/>
      <c r="N51" s="1303"/>
      <c r="O51" s="286"/>
      <c r="P51" s="315"/>
      <c r="Q51" s="1269"/>
      <c r="R51" s="1325"/>
      <c r="S51" s="1311"/>
      <c r="T51" s="1312"/>
      <c r="U51" s="1313"/>
      <c r="V51" s="1313"/>
      <c r="W51" s="1313"/>
      <c r="X51" s="1313"/>
      <c r="Y51" s="1313"/>
      <c r="Z51" s="1313"/>
      <c r="AA51" s="1313"/>
      <c r="AB51" s="1313"/>
      <c r="AC51" s="1313"/>
      <c r="AD51" s="1313"/>
      <c r="AE51" s="1313"/>
      <c r="AF51" s="1313"/>
      <c r="AG51" s="1313"/>
      <c r="AH51" s="1313"/>
      <c r="AI51" s="1313"/>
      <c r="AJ51" s="1313"/>
      <c r="AK51" s="1314"/>
      <c r="AL51" s="1561"/>
      <c r="AM51" s="1549"/>
      <c r="AN51" s="1549" t="str">
        <f t="shared" si="1"/>
        <v/>
      </c>
      <c r="AO51" s="1549"/>
      <c r="AP51" s="1549"/>
      <c r="AQ51" s="1566">
        <v>1</v>
      </c>
    </row>
    <row r="52" spans="1:43" s="1567" customFormat="1" ht="1.1499999999999999" customHeight="1">
      <c r="A52" s="1300" t="s">
        <v>205</v>
      </c>
      <c r="B52" s="1300" t="s">
        <v>206</v>
      </c>
      <c r="C52" s="1300" t="s">
        <v>207</v>
      </c>
      <c r="D52" s="1299"/>
      <c r="E52" s="2211"/>
      <c r="F52" s="2211"/>
      <c r="G52" s="2210"/>
      <c r="H52" s="1299"/>
      <c r="I52" s="1299"/>
      <c r="J52" s="1299"/>
      <c r="K52" s="1299"/>
      <c r="L52" s="1302"/>
      <c r="M52" s="1303"/>
      <c r="N52" s="1303"/>
      <c r="O52" s="286"/>
      <c r="P52" s="1241"/>
      <c r="Q52" s="1242"/>
      <c r="R52" s="1241"/>
      <c r="S52" s="1247"/>
      <c r="T52" s="1250" t="s">
        <v>413</v>
      </c>
      <c r="U52" s="1249"/>
      <c r="V52" s="1249"/>
      <c r="W52" s="1249"/>
      <c r="X52" s="1249"/>
      <c r="Y52" s="1249"/>
      <c r="Z52" s="1249"/>
      <c r="AA52" s="1249"/>
      <c r="AB52" s="1249"/>
      <c r="AC52" s="1249"/>
      <c r="AD52" s="1249"/>
      <c r="AE52" s="1249"/>
      <c r="AF52" s="1249"/>
      <c r="AG52" s="1249"/>
      <c r="AH52" s="1249"/>
      <c r="AI52" s="1249"/>
      <c r="AJ52" s="1249"/>
      <c r="AK52" s="1249"/>
      <c r="AM52" s="1176"/>
      <c r="AN52" s="1176" t="str">
        <f t="shared" si="1"/>
        <v>Добавить источник для дифференциации</v>
      </c>
      <c r="AO52" s="1176"/>
      <c r="AP52" s="1176"/>
      <c r="AQ52" s="1567">
        <v>1</v>
      </c>
    </row>
    <row r="53" spans="1:43" s="1567" customFormat="1" ht="1.1499999999999999" customHeight="1">
      <c r="A53" s="1300" t="s">
        <v>205</v>
      </c>
      <c r="B53" s="1300" t="s">
        <v>206</v>
      </c>
      <c r="C53" s="1299"/>
      <c r="D53" s="1299"/>
      <c r="E53" s="2211"/>
      <c r="F53" s="2210"/>
      <c r="G53" s="1299"/>
      <c r="H53" s="1299"/>
      <c r="I53" s="1299"/>
      <c r="J53" s="1299"/>
      <c r="K53" s="1299"/>
      <c r="L53" s="1302"/>
      <c r="M53" s="1304"/>
      <c r="N53" s="1304"/>
      <c r="O53" s="286"/>
      <c r="P53" s="1241"/>
      <c r="Q53" s="1242"/>
      <c r="R53" s="1241"/>
      <c r="S53" s="1247"/>
      <c r="T53" s="1250" t="s">
        <v>414</v>
      </c>
      <c r="U53" s="1249"/>
      <c r="V53" s="1249"/>
      <c r="W53" s="1249"/>
      <c r="X53" s="1249"/>
      <c r="Y53" s="1249"/>
      <c r="Z53" s="1249"/>
      <c r="AA53" s="1249"/>
      <c r="AB53" s="1249"/>
      <c r="AC53" s="1249"/>
      <c r="AD53" s="1249"/>
      <c r="AE53" s="1249"/>
      <c r="AF53" s="1249"/>
      <c r="AG53" s="1249"/>
      <c r="AH53" s="1249"/>
      <c r="AI53" s="1249"/>
      <c r="AJ53" s="1249"/>
      <c r="AK53" s="1249"/>
      <c r="AM53" s="1176"/>
      <c r="AN53" s="1176" t="str">
        <f t="shared" si="1"/>
        <v>Добавить централизованную систему для дифференциации</v>
      </c>
      <c r="AO53" s="1176"/>
      <c r="AP53" s="1176"/>
      <c r="AQ53" s="1567">
        <v>1</v>
      </c>
    </row>
    <row r="54" spans="1:43" s="1567" customFormat="1" ht="1.1499999999999999" customHeight="1">
      <c r="A54" s="1300" t="s">
        <v>205</v>
      </c>
      <c r="B54" s="1300"/>
      <c r="C54" s="1300"/>
      <c r="D54" s="1300"/>
      <c r="E54" s="2211"/>
      <c r="F54" s="1300"/>
      <c r="G54" s="1300"/>
      <c r="H54" s="1300"/>
      <c r="I54" s="1300"/>
      <c r="J54" s="1300"/>
      <c r="K54" s="1300"/>
      <c r="L54" s="1306"/>
      <c r="M54" s="1304"/>
      <c r="N54" s="1304"/>
      <c r="O54" s="286"/>
      <c r="P54" s="315"/>
      <c r="Q54" s="1269"/>
      <c r="R54" s="315"/>
      <c r="S54" s="1247"/>
      <c r="T54" s="1250" t="s">
        <v>415</v>
      </c>
      <c r="U54" s="1249"/>
      <c r="V54" s="1249"/>
      <c r="W54" s="1249"/>
      <c r="X54" s="1249"/>
      <c r="Y54" s="1249"/>
      <c r="Z54" s="1249"/>
      <c r="AA54" s="1249"/>
      <c r="AB54" s="1249"/>
      <c r="AC54" s="1249"/>
      <c r="AD54" s="1249"/>
      <c r="AE54" s="1249"/>
      <c r="AF54" s="1249"/>
      <c r="AG54" s="1249"/>
      <c r="AH54" s="1249"/>
      <c r="AI54" s="1249"/>
      <c r="AJ54" s="1249"/>
      <c r="AK54" s="1249"/>
      <c r="AM54" s="1549"/>
      <c r="AN54" s="1549" t="str">
        <f t="shared" si="1"/>
        <v>Добавить территорию для дифференциации</v>
      </c>
      <c r="AO54" s="1549"/>
      <c r="AP54" s="1549"/>
      <c r="AQ54" s="1561">
        <v>1</v>
      </c>
    </row>
    <row r="55" spans="1:43" s="1567" customFormat="1" ht="1.1499999999999999" customHeight="1">
      <c r="A55" s="1300" t="s">
        <v>205</v>
      </c>
      <c r="B55" s="1300"/>
      <c r="C55" s="1300"/>
      <c r="D55" s="1300"/>
      <c r="E55" s="2210"/>
      <c r="F55" s="1300"/>
      <c r="G55" s="1300"/>
      <c r="H55" s="1300"/>
      <c r="I55" s="1300"/>
      <c r="J55" s="1300"/>
      <c r="K55" s="1300"/>
      <c r="L55" s="1306"/>
      <c r="M55" s="1304"/>
      <c r="N55" s="1304"/>
      <c r="O55" s="286"/>
      <c r="P55" s="315"/>
      <c r="Q55" s="1269"/>
      <c r="R55" s="315"/>
      <c r="S55" s="1247"/>
      <c r="T55" s="1250" t="s">
        <v>415</v>
      </c>
      <c r="U55" s="1249"/>
      <c r="V55" s="1249"/>
      <c r="W55" s="1249"/>
      <c r="X55" s="1249"/>
      <c r="Y55" s="1249"/>
      <c r="Z55" s="1249"/>
      <c r="AA55" s="1249"/>
      <c r="AB55" s="1249"/>
      <c r="AC55" s="1249"/>
      <c r="AD55" s="1249"/>
      <c r="AE55" s="1249"/>
      <c r="AF55" s="1249"/>
      <c r="AG55" s="1249"/>
      <c r="AH55" s="1249"/>
      <c r="AI55" s="1249"/>
      <c r="AJ55" s="1249"/>
      <c r="AK55" s="1249"/>
      <c r="AM55" s="1549"/>
      <c r="AN55" s="1549" t="str">
        <f t="shared" si="1"/>
        <v>Добавить территорию для дифференциации</v>
      </c>
      <c r="AO55" s="1549"/>
      <c r="AP55" s="1549"/>
      <c r="AQ55" s="1561">
        <v>1</v>
      </c>
    </row>
    <row r="56" spans="1:43" s="1567" customFormat="1" ht="1.1499999999999999" customHeight="1">
      <c r="A56" s="1299"/>
      <c r="B56" s="1299"/>
      <c r="C56" s="1299"/>
      <c r="D56" s="1299"/>
      <c r="E56" s="1300"/>
      <c r="F56" s="1299"/>
      <c r="G56" s="1299"/>
      <c r="H56" s="1299"/>
      <c r="I56" s="1299"/>
      <c r="J56" s="1299"/>
      <c r="K56" s="1299"/>
      <c r="L56" s="1302"/>
      <c r="M56" s="1304"/>
      <c r="N56" s="1304"/>
      <c r="O56" s="286"/>
      <c r="P56" s="1241"/>
      <c r="Q56" s="1242"/>
      <c r="R56" s="1241"/>
      <c r="S56" s="1247"/>
      <c r="T56" s="1250" t="s">
        <v>447</v>
      </c>
      <c r="U56" s="1249"/>
      <c r="V56" s="1249"/>
      <c r="W56" s="1249"/>
      <c r="X56" s="1249"/>
      <c r="Y56" s="1249"/>
      <c r="Z56" s="1249"/>
      <c r="AA56" s="1249"/>
      <c r="AB56" s="1249"/>
      <c r="AC56" s="1249"/>
      <c r="AD56" s="1249"/>
      <c r="AE56" s="1249"/>
      <c r="AF56" s="1249"/>
      <c r="AG56" s="1249"/>
      <c r="AH56" s="1249"/>
      <c r="AI56" s="1249"/>
      <c r="AJ56" s="1249"/>
      <c r="AK56" s="1249"/>
      <c r="AM56" s="1176"/>
      <c r="AN56" s="1176" t="str">
        <f t="shared" si="1"/>
        <v>Добавить наименование тарифа</v>
      </c>
      <c r="AO56" s="1176"/>
      <c r="AP56" s="1176"/>
      <c r="AQ56" s="1567">
        <v>1</v>
      </c>
    </row>
    <row r="57" spans="1:43" ht="11.45" customHeight="1">
      <c r="M57" s="1556"/>
      <c r="N57" s="1556"/>
      <c r="O57" s="1560"/>
      <c r="P57" s="1291"/>
      <c r="Q57" s="1291"/>
      <c r="R57" s="1556"/>
      <c r="S57" s="1556"/>
      <c r="AL57" s="1556"/>
      <c r="AM57" s="1556"/>
      <c r="AN57" s="1556"/>
      <c r="AO57" s="1556"/>
      <c r="AP57" s="1556"/>
      <c r="AQ57" s="1556">
        <v>11</v>
      </c>
    </row>
    <row r="58" spans="1:43" ht="19.899999999999999" customHeight="1">
      <c r="O58" s="1560"/>
      <c r="S58" s="1178"/>
      <c r="T58" s="2206"/>
      <c r="U58" s="2206"/>
      <c r="V58" s="2206"/>
      <c r="W58" s="2206"/>
      <c r="X58" s="2206"/>
      <c r="Y58" s="2206"/>
      <c r="Z58" s="2206"/>
      <c r="AA58" s="2206"/>
      <c r="AB58" s="2206"/>
      <c r="AC58" s="2206"/>
      <c r="AD58" s="2206"/>
      <c r="AE58" s="2206"/>
      <c r="AF58" s="2206"/>
      <c r="AG58" s="2206"/>
      <c r="AH58" s="2206"/>
      <c r="AI58" s="2206"/>
      <c r="AJ58" s="2206"/>
      <c r="AK58" s="2206"/>
      <c r="AQ58" s="1556">
        <v>19</v>
      </c>
    </row>
    <row r="59" spans="1:43" ht="21" customHeight="1">
      <c r="O59" s="1560"/>
      <c r="T59" s="2206"/>
      <c r="U59" s="2206"/>
      <c r="V59" s="2206"/>
      <c r="W59" s="2206"/>
      <c r="X59" s="2206"/>
      <c r="Y59" s="2206"/>
      <c r="Z59" s="2206"/>
      <c r="AA59" s="2206"/>
      <c r="AB59" s="2206"/>
      <c r="AC59" s="2206"/>
      <c r="AD59" s="2206"/>
      <c r="AE59" s="2206"/>
      <c r="AF59" s="2206"/>
      <c r="AG59" s="2206"/>
      <c r="AH59" s="2206"/>
      <c r="AI59" s="2206"/>
      <c r="AJ59" s="2206"/>
      <c r="AK59" s="2206"/>
      <c r="AQ59" s="1556">
        <v>20</v>
      </c>
    </row>
    <row r="60" spans="1:43" ht="14.65" customHeight="1">
      <c r="O60" s="1560"/>
      <c r="T60" s="1874"/>
      <c r="U60" s="1874"/>
      <c r="V60" s="1874"/>
      <c r="W60" s="1874"/>
      <c r="X60" s="1874"/>
      <c r="Y60" s="1874"/>
      <c r="Z60" s="1874"/>
      <c r="AA60" s="1874"/>
      <c r="AB60" s="1874"/>
      <c r="AC60" s="1874"/>
      <c r="AD60" s="1874"/>
      <c r="AE60" s="1874"/>
      <c r="AF60" s="1874"/>
      <c r="AG60" s="1874"/>
      <c r="AH60" s="1874"/>
      <c r="AI60" s="1874"/>
      <c r="AJ60" s="1874"/>
      <c r="AK60" s="1874"/>
      <c r="AQ60" s="1556">
        <v>14</v>
      </c>
    </row>
    <row r="61" spans="1:43" ht="19.899999999999999" customHeight="1">
      <c r="O61" s="1560"/>
      <c r="T61" s="2206"/>
      <c r="U61" s="2206"/>
      <c r="V61" s="2206"/>
      <c r="W61" s="2206"/>
      <c r="X61" s="2206"/>
      <c r="Y61" s="2206"/>
      <c r="Z61" s="2206"/>
      <c r="AA61" s="2206"/>
      <c r="AB61" s="2206"/>
      <c r="AC61" s="2206"/>
      <c r="AD61" s="2206"/>
      <c r="AE61" s="2206"/>
      <c r="AF61" s="2206"/>
      <c r="AG61" s="2206"/>
      <c r="AH61" s="2206"/>
      <c r="AI61" s="2206"/>
      <c r="AJ61" s="2206"/>
      <c r="AK61" s="2206"/>
      <c r="AQ61" s="1556">
        <v>19</v>
      </c>
    </row>
    <row r="62" spans="1:43" ht="16.899999999999999" customHeight="1">
      <c r="O62" s="1560"/>
      <c r="T62" s="2206"/>
      <c r="U62" s="2206"/>
      <c r="V62" s="2206"/>
      <c r="W62" s="2206"/>
      <c r="X62" s="2206"/>
      <c r="Y62" s="2206"/>
      <c r="Z62" s="2206"/>
      <c r="AA62" s="2206"/>
      <c r="AB62" s="2206"/>
      <c r="AC62" s="2206"/>
      <c r="AD62" s="2206"/>
      <c r="AE62" s="2206"/>
      <c r="AF62" s="2206"/>
      <c r="AG62" s="2206"/>
      <c r="AH62" s="2206"/>
      <c r="AI62" s="2206"/>
      <c r="AJ62" s="2206"/>
      <c r="AK62" s="2206"/>
      <c r="AQ62" s="1556">
        <v>16</v>
      </c>
    </row>
    <row r="63" spans="1:43" ht="14.65" customHeight="1">
      <c r="O63" s="1560"/>
      <c r="AQ63" s="1556">
        <v>14</v>
      </c>
    </row>
    <row r="64" spans="1:43" ht="22.5" hidden="1" customHeight="1">
      <c r="A64" s="1556" t="s">
        <v>82</v>
      </c>
      <c r="B64" s="1556">
        <v>0</v>
      </c>
      <c r="C64" s="1556">
        <v>0</v>
      </c>
      <c r="D64" s="1556">
        <v>0</v>
      </c>
      <c r="E64" s="1556">
        <v>0</v>
      </c>
      <c r="F64" s="1556">
        <v>0</v>
      </c>
      <c r="G64" s="1556">
        <v>0</v>
      </c>
      <c r="H64" s="1556">
        <v>0</v>
      </c>
      <c r="I64" s="1556">
        <v>0</v>
      </c>
      <c r="J64" s="1556">
        <v>0</v>
      </c>
      <c r="K64" s="1556">
        <v>0</v>
      </c>
      <c r="L64" s="1860">
        <v>0</v>
      </c>
      <c r="M64" s="1886">
        <v>0</v>
      </c>
      <c r="N64" s="1886">
        <v>0</v>
      </c>
      <c r="O64" s="1886">
        <v>0</v>
      </c>
      <c r="P64" s="1287">
        <v>3</v>
      </c>
      <c r="Q64" s="1296">
        <v>3</v>
      </c>
      <c r="R64" s="280">
        <v>3</v>
      </c>
      <c r="S64" s="516">
        <v>12</v>
      </c>
      <c r="T64" s="1556">
        <v>31</v>
      </c>
      <c r="U64" s="1556">
        <v>0</v>
      </c>
      <c r="V64" s="1556">
        <v>0</v>
      </c>
      <c r="W64" s="1556">
        <v>0</v>
      </c>
      <c r="X64" s="1556">
        <v>0</v>
      </c>
      <c r="Y64" s="1556">
        <v>0</v>
      </c>
      <c r="Z64" s="1556">
        <v>0</v>
      </c>
      <c r="AA64" s="1556">
        <v>0</v>
      </c>
      <c r="AB64" s="1556">
        <v>27</v>
      </c>
      <c r="AC64" s="1556">
        <v>24</v>
      </c>
      <c r="AD64" s="1556">
        <v>21</v>
      </c>
      <c r="AE64" s="1556">
        <v>21</v>
      </c>
      <c r="AF64" s="1556">
        <v>11</v>
      </c>
      <c r="AG64" s="1556">
        <v>3</v>
      </c>
      <c r="AH64" s="1556">
        <v>11</v>
      </c>
      <c r="AI64" s="1556">
        <v>8</v>
      </c>
      <c r="AJ64" s="1556">
        <v>4</v>
      </c>
      <c r="AK64" s="1556">
        <v>115</v>
      </c>
      <c r="AL64" s="1561">
        <v>10</v>
      </c>
      <c r="AM64" s="1561">
        <v>10</v>
      </c>
      <c r="AN64" s="1561">
        <v>10</v>
      </c>
      <c r="AO64" s="1561">
        <v>10</v>
      </c>
      <c r="AP64" s="1561">
        <v>10</v>
      </c>
      <c r="AQ64" s="1556">
        <v>23</v>
      </c>
    </row>
  </sheetData>
  <sheetProtection insertRows="0" deleteColumns="0" deleteRows="0" sort="0" autoFilter="0"/>
  <mergeCells count="89">
    <mergeCell ref="V38:W38"/>
    <mergeCell ref="V39:W39"/>
    <mergeCell ref="E2:E14"/>
    <mergeCell ref="V2:AA2"/>
    <mergeCell ref="AC2:AJ2"/>
    <mergeCell ref="F3:F13"/>
    <mergeCell ref="V3:AA3"/>
    <mergeCell ref="AC3:AJ3"/>
    <mergeCell ref="G4:G12"/>
    <mergeCell ref="V4:AA4"/>
    <mergeCell ref="AC4:AJ4"/>
    <mergeCell ref="H5:H11"/>
    <mergeCell ref="V5:AA5"/>
    <mergeCell ref="AC5:AJ5"/>
    <mergeCell ref="I6:I10"/>
    <mergeCell ref="P6:P10"/>
    <mergeCell ref="V6:AA6"/>
    <mergeCell ref="AC6:AJ6"/>
    <mergeCell ref="J7:J9"/>
    <mergeCell ref="Q7:Q9"/>
    <mergeCell ref="V7:AA7"/>
    <mergeCell ref="AC7:AJ7"/>
    <mergeCell ref="AK8:AK9"/>
    <mergeCell ref="S24:AH24"/>
    <mergeCell ref="S27:T27"/>
    <mergeCell ref="V27:Z27"/>
    <mergeCell ref="AC27:AH27"/>
    <mergeCell ref="S25:AH25"/>
    <mergeCell ref="S28:T28"/>
    <mergeCell ref="V28:Z28"/>
    <mergeCell ref="AC28:AH28"/>
    <mergeCell ref="S29:T29"/>
    <mergeCell ref="V29:Z29"/>
    <mergeCell ref="AC29:AH29"/>
    <mergeCell ref="S30:T30"/>
    <mergeCell ref="V30:Z30"/>
    <mergeCell ref="AC30:AH30"/>
    <mergeCell ref="S32:T32"/>
    <mergeCell ref="V32:Z32"/>
    <mergeCell ref="AC32:AH32"/>
    <mergeCell ref="S33:T33"/>
    <mergeCell ref="V33:Z33"/>
    <mergeCell ref="AC33:AH33"/>
    <mergeCell ref="V35:AA35"/>
    <mergeCell ref="AC35:AI35"/>
    <mergeCell ref="S36:AJ36"/>
    <mergeCell ref="AK36:AK40"/>
    <mergeCell ref="S37:S40"/>
    <mergeCell ref="T37:T40"/>
    <mergeCell ref="V37:Z37"/>
    <mergeCell ref="AA37:AA40"/>
    <mergeCell ref="AB37:AB40"/>
    <mergeCell ref="AC37:AC40"/>
    <mergeCell ref="AD37:AH37"/>
    <mergeCell ref="AI37:AI40"/>
    <mergeCell ref="AJ37:AJ40"/>
    <mergeCell ref="X38:Z39"/>
    <mergeCell ref="AD38:AE38"/>
    <mergeCell ref="AF38:AH39"/>
    <mergeCell ref="AD39:AE39"/>
    <mergeCell ref="Y40:Z40"/>
    <mergeCell ref="AG40:AH40"/>
    <mergeCell ref="Y41:Z41"/>
    <mergeCell ref="AG41:AH41"/>
    <mergeCell ref="E42:E55"/>
    <mergeCell ref="V42:AA42"/>
    <mergeCell ref="AC42:AJ42"/>
    <mergeCell ref="F43:F53"/>
    <mergeCell ref="V43:AA43"/>
    <mergeCell ref="AC43:AJ43"/>
    <mergeCell ref="G44:G52"/>
    <mergeCell ref="V44:AA44"/>
    <mergeCell ref="AC44:AJ44"/>
    <mergeCell ref="H45:H51"/>
    <mergeCell ref="V45:AA45"/>
    <mergeCell ref="AC45:AJ45"/>
    <mergeCell ref="I46:I50"/>
    <mergeCell ref="P46:P50"/>
    <mergeCell ref="V46:AA46"/>
    <mergeCell ref="AC46:AJ46"/>
    <mergeCell ref="J47:J49"/>
    <mergeCell ref="Q47:Q49"/>
    <mergeCell ref="T62:AK62"/>
    <mergeCell ref="V47:AA47"/>
    <mergeCell ref="AC47:AJ47"/>
    <mergeCell ref="AK48:AK49"/>
    <mergeCell ref="T58:AK58"/>
    <mergeCell ref="T59:AK59"/>
    <mergeCell ref="T61:AK61"/>
  </mergeCells>
  <dataValidations count="11">
    <dataValidation type="decimal" allowBlank="1" showErrorMessage="1" errorTitle="Ошибка" error="Допускается ввод только действительных чисел!" sqref="AC48 AC8">
      <formula1>-9.99999999999999E+23</formula1>
      <formula2>9.99999999999999E+23</formula2>
    </dataValidation>
    <dataValidation allowBlank="1" sqref="S131122:AK131128 S196658:AK196664 S262194:AK262200 S327730:AK327736 S393266:AK393272 S458802:AK458808 S524338:AK524344 S589874:AK589880 S655410:AK655416 S720946:AK720952 S786482:AK786488 S852018:AK852024 S917554:AK917560 S983090:AK983096 S65586:AK65592"/>
    <dataValidation type="list" allowBlank="1" showInputMessage="1" errorTitle="Ошибка" error="Выберите значение из списка" prompt="Выберите значение из списка" sqref="V917551:AJ917551 V983087:AJ983087 V65583:AJ65583 V131119:AJ131119 V196655:AJ196655 V262191:AJ262191 V327727:AJ327727 V393263:AJ393263 V458799:AJ458799 V524335:AJ524335 V589871:AJ589871 V655407:AJ655407 V720943:AJ720943 V786479:AJ786479 V852015:AJ852015">
      <formula1>kind_of_cons</formula1>
    </dataValidation>
    <dataValidation type="list" allowBlank="1" showInputMessage="1" showErrorMessage="1" errorTitle="Ошибка" error="Выберите значение из списка" sqref="AC983086 AC917550 AC852014 AC786478 AC720942 AC655406 AC589870 AC524334 AC458798 AC393262 AC327726 AC262190 AC196654 AC131118 AC65582">
      <formula1>kind_of_scheme_in</formula1>
    </dataValidation>
    <dataValidation allowBlank="1" showInputMessage="1" showErrorMessage="1" prompt="Для выбора выполните двойной щелчок левой клавиши мыши по соответствующей ячейке." sqref="Y65584 Y131120 Y196656 Y262192 Y327728 Y393264 Y458800 Y524336 Y589872 Y655408 Y720944 Y786480 Y852016 Y917552 Y983088 AA131120:AB131120 AA458800:AB458800 AA196656:AB196656 AA262192:AB262192 AA327728:AB327728 AA393264:AB393264 AA524336:AB524336 AA589872:AB589872 AA655408:AB655408 AA720944:AB720944 AA786480:AB786480 AA852016:AB852016 AA917552:AB917552 AA983088:AB983088 AA65584:AB65584 AG48 Y8 AG65584 AG131120 AG196656 AG262192 AG327728 AG393264 AG458800 AG524336 AG589872 AG655408 AG720944 AG786480 AG852016 AG917552 AG983088 AI131120 AI458800 AI196656 AI262192 AI327728 AI393264 AI524336 AI589872 AI655408 AI720944 AI786480 AI852016 AI917552 AI983088 AI65584 AG8 AA48 AG16 AI48 AI16 AC16 Y48 AI8 AA8"/>
    <dataValidation type="textLength" operator="lessThanOrEqual" allowBlank="1" showInputMessage="1" showErrorMessage="1" errorTitle="Ошибка" error="Допускается ввод не более 900 символов!" sqref="AK65578:AK65585 AK131114:AK131121 AK196650:AK196657 AK262186:AK262193 AK327722:AK327729 AK393258:AK393265 AK458794:AK458801 AK524330:AK524337 AK589866:AK589873 AK655402:AK655409 AK720938:AK720945 AK786474:AK786481 AK852010:AK852017 AK917546:AK917553 AK983082:AK983089 T8 T48 AB48 AB8">
      <formula1>900</formula1>
    </dataValidation>
    <dataValidation allowBlank="1" promptTitle="checkPeriodRange" sqref="W65585 W131121 W196657 W262193 W327729 W393265 W458801 W524337 W589873 W655409 W720945 W786481 W852017 W917553 W983089 AE65585 AE131121 AE196657 AE262193 AE327729 AE393265 AE458801 AE524337 AE589873 AE655409 AE720945 AE786481 AE852017 AE917553 AE983089"/>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X65584 X131120 X196656 X262192 X327728 X393264 X458800 X524336 X589872 X655408 X720944 X786480 X852016 X917552 X983088 Z65584 Z131120 Z196656 Z262192 Z327728 Z393264 Z458800 Z524336 Z589872 Z655408 Z720944 Z786480 Z852016 Z917552 Z983088 X8 Z8 AF65584 AF131120 AF196656 AF262192 AF327728 AF393264 AF458800 AF524336 AF589872 AF655408 AF720944 AF786480 AF852016 AF917552 AF983088 AH65584 AH131120 AH196656 AH262192 AH327728 AH393264 AH458800 AH524336 AH589872 AH655408 AH720944 AH786480 AH852016 AH917552 AH983088 AH8 AH48 AH16 AF16 AF8 AF48 Z48 X48"/>
    <dataValidation type="list" allowBlank="1" showInputMessage="1" showErrorMessage="1" errorTitle="Ошибка" error="Выберите значение из списка" sqref="T65584 T131120 T196656 T262192 T327728 T393264 T458800 T524336 T589872 T655408 T720944 T786480 T852016 T917552 T983088">
      <formula1>kind_of_heat_transfer</formula1>
    </dataValidation>
    <dataValidation type="list" allowBlank="1" showInputMessage="1" showErrorMessage="1" errorTitle="Ошибка" error="Выберите значение из списка" prompt="Выберите значение из списка" sqref="AD39:AE39">
      <formula1>UNIT_CONNECT_LIST</formula1>
    </dataValidation>
    <dataValidation allowBlank="1" errorTitle="Ошибка" error="Выберите значение из списка" sqref="V39:W39"/>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6" tint="0.39997558519241921"/>
  </sheetPr>
  <dimension ref="A1:BI69"/>
  <sheetViews>
    <sheetView showGridLines="0" zoomScale="90" workbookViewId="0">
      <pane xSplit="29" ySplit="45" topLeftCell="AD46" activePane="bottomRight" state="frozen"/>
      <selection pane="topRight" activeCell="AD1" sqref="AD1"/>
      <selection pane="bottomLeft" activeCell="A46" sqref="A46"/>
      <selection pane="bottomRight"/>
    </sheetView>
  </sheetViews>
  <sheetFormatPr defaultColWidth="10.5703125" defaultRowHeight="14.25" customHeight="1"/>
  <cols>
    <col min="1" max="1" width="11.5703125" style="1291" hidden="1" customWidth="1"/>
    <col min="2" max="2" width="11" style="1291" hidden="1" customWidth="1"/>
    <col min="3" max="3" width="10.5703125" style="1291" hidden="1"/>
    <col min="4" max="4" width="12.85546875" style="1291" hidden="1" customWidth="1"/>
    <col min="5" max="5" width="10" style="1291" hidden="1" customWidth="1"/>
    <col min="6" max="6" width="8.7109375" style="1291" hidden="1" customWidth="1"/>
    <col min="7" max="7" width="7.5703125" style="1291" hidden="1" customWidth="1"/>
    <col min="8" max="8" width="11.42578125" style="1291" hidden="1" customWidth="1"/>
    <col min="9" max="9" width="12" style="1291" hidden="1" customWidth="1"/>
    <col min="10" max="10" width="9.85546875" style="1291" hidden="1" customWidth="1"/>
    <col min="11" max="11" width="11.42578125" style="1291" hidden="1" customWidth="1"/>
    <col min="12" max="12" width="19.140625" style="2002" hidden="1" customWidth="1"/>
    <col min="13" max="14" width="12.28515625" style="1701" hidden="1" customWidth="1"/>
    <col min="15" max="15" width="23.42578125" style="1701" hidden="1" customWidth="1"/>
    <col min="16" max="16" width="3.7109375" style="1701" hidden="1" customWidth="1"/>
    <col min="17" max="17" width="3.7109375" style="1296" hidden="1" customWidth="1"/>
    <col min="18" max="18" width="3" style="280" customWidth="1"/>
    <col min="19" max="19" width="12" style="2001" customWidth="1"/>
    <col min="20" max="20" width="31" style="1560" customWidth="1"/>
    <col min="21" max="21" width="0.140625" style="1560" customWidth="1"/>
    <col min="22" max="25" width="21.7109375" style="1560" hidden="1" customWidth="1"/>
    <col min="26" max="26" width="11.7109375" style="1560" hidden="1" customWidth="1"/>
    <col min="27" max="27" width="3.7109375" style="1560" hidden="1" customWidth="1"/>
    <col min="28" max="28" width="11.7109375" style="1560" hidden="1" customWidth="1"/>
    <col min="29" max="29" width="8.5703125" style="1560" hidden="1" customWidth="1"/>
    <col min="30" max="30" width="3.7109375" style="1560" customWidth="1"/>
    <col min="31" max="32" width="3" style="1560" customWidth="1"/>
    <col min="33" max="33" width="24" style="1560" customWidth="1"/>
    <col min="34" max="34" width="3.7109375" style="1560" customWidth="1"/>
    <col min="35" max="36" width="3" style="1560" customWidth="1"/>
    <col min="37" max="37" width="24" style="1560" customWidth="1"/>
    <col min="38" max="38" width="3.7109375" style="1560" customWidth="1"/>
    <col min="39" max="40" width="3" style="1560" customWidth="1"/>
    <col min="41" max="41" width="18" style="1560" customWidth="1"/>
    <col min="42" max="42" width="3.7109375" style="1560" customWidth="1"/>
    <col min="43" max="44" width="3" style="1560" customWidth="1"/>
    <col min="45" max="45" width="18" style="1560" customWidth="1"/>
    <col min="46" max="49" width="21" style="1560" customWidth="1"/>
    <col min="50" max="50" width="11" style="1560" customWidth="1"/>
    <col min="51" max="51" width="3.7109375" style="1560" customWidth="1"/>
    <col min="52" max="52" width="11" style="1560" customWidth="1"/>
    <col min="53" max="53" width="8.5703125" style="1560" hidden="1" customWidth="1"/>
    <col min="54" max="54" width="4" style="1560" customWidth="1"/>
    <col min="55" max="55" width="115" style="1560" customWidth="1"/>
    <col min="56" max="60" width="10" style="1567" customWidth="1"/>
    <col min="61" max="61" width="10.5703125" style="1560" hidden="1"/>
  </cols>
  <sheetData>
    <row r="1" spans="1:61" ht="22.5" hidden="1" customHeight="1">
      <c r="W1" s="263"/>
      <c r="Y1" s="263"/>
      <c r="Z1" s="263"/>
      <c r="AW1" s="263"/>
      <c r="AX1" s="263"/>
      <c r="BI1" s="1080" t="s">
        <v>14</v>
      </c>
    </row>
    <row r="2" spans="1:61" ht="21" hidden="1" customHeight="1">
      <c r="A2" s="1288"/>
      <c r="B2" s="1288"/>
      <c r="C2" s="1288"/>
      <c r="D2" s="1288"/>
      <c r="E2" s="2186">
        <v>1</v>
      </c>
      <c r="F2" s="1288"/>
      <c r="G2" s="1288"/>
      <c r="H2" s="1288"/>
      <c r="I2" s="1288"/>
      <c r="J2" s="1288"/>
      <c r="K2" s="1288"/>
      <c r="L2" s="1289"/>
      <c r="M2" s="1290"/>
      <c r="N2" s="1290"/>
      <c r="O2" s="1290"/>
      <c r="P2" s="1334"/>
      <c r="Q2" s="802"/>
      <c r="R2" s="290"/>
      <c r="S2" s="1390" t="e">
        <f>INDEX(PT_DIFFERENTIATION_NUM_NTAR,MATCH(A2,PT_DIFFERENTIATION_NTAR_ID,0))</f>
        <v>#N/A</v>
      </c>
      <c r="T2" s="234" t="s">
        <v>124</v>
      </c>
      <c r="U2" s="236"/>
      <c r="V2" s="2173"/>
      <c r="W2" s="2173"/>
      <c r="X2" s="2173"/>
      <c r="Y2" s="2173"/>
      <c r="Z2" s="2173"/>
      <c r="AA2" s="2173"/>
      <c r="AB2" s="2173"/>
      <c r="AC2" s="2174"/>
      <c r="AD2" s="2172" t="e">
        <f>INDEX(PT_DIFFERENTIATION_NTAR,MATCH(A2,PT_DIFFERENTIATION_NTAR_ID,0))</f>
        <v>#N/A</v>
      </c>
      <c r="AE2" s="2173"/>
      <c r="AF2" s="2173"/>
      <c r="AG2" s="2173"/>
      <c r="AH2" s="2173"/>
      <c r="AI2" s="2173"/>
      <c r="AJ2" s="2173"/>
      <c r="AK2" s="2173"/>
      <c r="AL2" s="2173"/>
      <c r="AM2" s="2173"/>
      <c r="AN2" s="2173"/>
      <c r="AO2" s="2173"/>
      <c r="AP2" s="2173"/>
      <c r="AQ2" s="2173"/>
      <c r="AR2" s="2173"/>
      <c r="AS2" s="2173"/>
      <c r="AT2" s="2173"/>
      <c r="AU2" s="2173"/>
      <c r="AV2" s="2173"/>
      <c r="AW2" s="2173"/>
      <c r="AX2" s="2173"/>
      <c r="AY2" s="2173"/>
      <c r="AZ2" s="2173"/>
      <c r="BA2" s="2173"/>
      <c r="BB2" s="2174"/>
      <c r="BC2" s="1183"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BE2" s="435"/>
      <c r="BF2" s="435" t="str">
        <f t="shared" ref="BF2:BF8" si="0">IF(T2="","",T2)</f>
        <v>Наименование тарифа</v>
      </c>
      <c r="BG2" s="435"/>
      <c r="BH2" s="435"/>
      <c r="BI2" s="1080">
        <v>0</v>
      </c>
    </row>
    <row r="3" spans="1:61" ht="21" hidden="1" customHeight="1">
      <c r="A3" s="1288"/>
      <c r="B3" s="1288"/>
      <c r="C3" s="1288"/>
      <c r="D3" s="1288"/>
      <c r="E3" s="2187"/>
      <c r="F3" s="2186">
        <v>1</v>
      </c>
      <c r="G3" s="1288"/>
      <c r="H3" s="1288"/>
      <c r="I3" s="1288"/>
      <c r="J3" s="1288"/>
      <c r="K3" s="1288"/>
      <c r="L3" s="1289"/>
      <c r="M3" s="1290"/>
      <c r="N3" s="1290"/>
      <c r="O3" s="1290"/>
      <c r="P3" s="1335"/>
      <c r="Q3" s="1336"/>
      <c r="R3" s="288"/>
      <c r="S3" s="1390" t="e">
        <f>INDEX(PT_DIFFERENTIATION_NUM_TER,MATCH(B3,PT_DIFFERENTIATION_TER_ID,0))</f>
        <v>#N/A</v>
      </c>
      <c r="T3" s="244" t="s">
        <v>396</v>
      </c>
      <c r="U3" s="236"/>
      <c r="V3" s="2173"/>
      <c r="W3" s="2173"/>
      <c r="X3" s="2173"/>
      <c r="Y3" s="2173"/>
      <c r="Z3" s="2173"/>
      <c r="AA3" s="2173"/>
      <c r="AB3" s="2173"/>
      <c r="AC3" s="2174"/>
      <c r="AD3" s="2172" t="e">
        <f>INDEX(PT_DIFFERENTIATION_TER,MATCH(B3,PT_DIFFERENTIATION_TER_ID,0))</f>
        <v>#N/A</v>
      </c>
      <c r="AE3" s="2173"/>
      <c r="AF3" s="2173"/>
      <c r="AG3" s="2173"/>
      <c r="AH3" s="2173"/>
      <c r="AI3" s="2173"/>
      <c r="AJ3" s="2173"/>
      <c r="AK3" s="2173"/>
      <c r="AL3" s="2173"/>
      <c r="AM3" s="2173"/>
      <c r="AN3" s="2173"/>
      <c r="AO3" s="2173"/>
      <c r="AP3" s="2173"/>
      <c r="AQ3" s="2173"/>
      <c r="AR3" s="2173"/>
      <c r="AS3" s="2173"/>
      <c r="AT3" s="2173"/>
      <c r="AU3" s="2173"/>
      <c r="AV3" s="2173"/>
      <c r="AW3" s="2173"/>
      <c r="AX3" s="2173"/>
      <c r="AY3" s="2173"/>
      <c r="AZ3" s="2173"/>
      <c r="BA3" s="2173"/>
      <c r="BB3" s="2174"/>
      <c r="BC3" s="1183" t="s">
        <v>397</v>
      </c>
      <c r="BE3" s="435"/>
      <c r="BF3" s="435" t="str">
        <f t="shared" si="0"/>
        <v>Территория действия тарифа</v>
      </c>
      <c r="BG3" s="435"/>
      <c r="BH3" s="435"/>
      <c r="BI3" s="1080">
        <v>0</v>
      </c>
    </row>
    <row r="4" spans="1:61" ht="42" hidden="1" customHeight="1">
      <c r="A4" s="1288"/>
      <c r="B4" s="1288"/>
      <c r="C4" s="1288"/>
      <c r="D4" s="1288"/>
      <c r="E4" s="2187"/>
      <c r="F4" s="2187"/>
      <c r="G4" s="2186">
        <v>1</v>
      </c>
      <c r="H4" s="1288"/>
      <c r="I4" s="1288"/>
      <c r="J4" s="1288"/>
      <c r="K4" s="1288"/>
      <c r="L4" s="1289"/>
      <c r="M4" s="1290"/>
      <c r="N4" s="1290"/>
      <c r="O4" s="1290"/>
      <c r="P4" s="1337"/>
      <c r="Q4" s="1336"/>
      <c r="R4" s="288"/>
      <c r="S4" s="1390" t="e">
        <f>INDEX(PT_DIFFERENTIATION_NUM_CS,MATCH(C4,PT_DIFFERENTIATION_CS_ID,0))</f>
        <v>#N/A</v>
      </c>
      <c r="T4" s="245" t="s">
        <v>480</v>
      </c>
      <c r="U4" s="236"/>
      <c r="V4" s="2173"/>
      <c r="W4" s="2173"/>
      <c r="X4" s="2173"/>
      <c r="Y4" s="2173"/>
      <c r="Z4" s="2173"/>
      <c r="AA4" s="2173"/>
      <c r="AB4" s="2173"/>
      <c r="AC4" s="2174"/>
      <c r="AD4" s="2172" t="e">
        <f>INDEX(PT_DIFFERENTIATION_CS,MATCH(C4,PT_DIFFERENTIATION_CS_ID,0))</f>
        <v>#N/A</v>
      </c>
      <c r="AE4" s="2173"/>
      <c r="AF4" s="2173"/>
      <c r="AG4" s="2173"/>
      <c r="AH4" s="2173"/>
      <c r="AI4" s="2173"/>
      <c r="AJ4" s="2173"/>
      <c r="AK4" s="2173"/>
      <c r="AL4" s="2173"/>
      <c r="AM4" s="2173"/>
      <c r="AN4" s="2173"/>
      <c r="AO4" s="2173"/>
      <c r="AP4" s="2173"/>
      <c r="AQ4" s="2173"/>
      <c r="AR4" s="2173"/>
      <c r="AS4" s="2173"/>
      <c r="AT4" s="2173"/>
      <c r="AU4" s="2173"/>
      <c r="AV4" s="2173"/>
      <c r="AW4" s="2173"/>
      <c r="AX4" s="2173"/>
      <c r="AY4" s="2173"/>
      <c r="AZ4" s="2173"/>
      <c r="BA4" s="2173"/>
      <c r="BB4" s="2174"/>
      <c r="BC4" s="1183" t="s">
        <v>481</v>
      </c>
      <c r="BE4" s="435"/>
      <c r="BF4" s="435" t="str">
        <f t="shared" si="0"/>
        <v>Наименование централизованной системы холодного водоснабжения</v>
      </c>
      <c r="BG4" s="435"/>
      <c r="BH4" s="435"/>
      <c r="BI4" s="1080">
        <v>0</v>
      </c>
    </row>
    <row r="5" spans="1:61" s="1567" customFormat="1" ht="14.25" hidden="1" customHeight="1">
      <c r="A5" s="1268"/>
      <c r="B5" s="1268"/>
      <c r="C5" s="1268"/>
      <c r="D5" s="1268"/>
      <c r="E5" s="2187"/>
      <c r="F5" s="2187"/>
      <c r="G5" s="2187"/>
      <c r="H5" s="2186">
        <v>1</v>
      </c>
      <c r="I5" s="1268"/>
      <c r="J5" s="1268"/>
      <c r="K5" s="1268"/>
      <c r="L5" s="1271"/>
      <c r="M5" s="1240"/>
      <c r="N5" s="1240"/>
      <c r="O5" s="1240"/>
      <c r="P5" s="1422"/>
      <c r="Q5" s="1423"/>
      <c r="R5" s="292"/>
      <c r="S5" s="970"/>
      <c r="T5" s="1424"/>
      <c r="U5" s="1309"/>
      <c r="V5" s="2216"/>
      <c r="W5" s="2216"/>
      <c r="X5" s="2216"/>
      <c r="Y5" s="2216"/>
      <c r="Z5" s="2216"/>
      <c r="AA5" s="2216"/>
      <c r="AB5" s="2216"/>
      <c r="AC5" s="2217"/>
      <c r="AD5" s="2215"/>
      <c r="AE5" s="2216"/>
      <c r="AF5" s="2216"/>
      <c r="AG5" s="2216"/>
      <c r="AH5" s="2216"/>
      <c r="AI5" s="2216"/>
      <c r="AJ5" s="2216"/>
      <c r="AK5" s="2216"/>
      <c r="AL5" s="2216"/>
      <c r="AM5" s="2216"/>
      <c r="AN5" s="2216"/>
      <c r="AO5" s="2216"/>
      <c r="AP5" s="2216"/>
      <c r="AQ5" s="2216"/>
      <c r="AR5" s="2216"/>
      <c r="AS5" s="2216"/>
      <c r="AT5" s="2216"/>
      <c r="AU5" s="2216"/>
      <c r="AV5" s="2216"/>
      <c r="AW5" s="2216"/>
      <c r="AX5" s="2216"/>
      <c r="AY5" s="2216"/>
      <c r="AZ5" s="2216"/>
      <c r="BA5" s="2216"/>
      <c r="BB5" s="2217"/>
      <c r="BC5" s="1310" t="s">
        <v>401</v>
      </c>
      <c r="BE5" s="435"/>
      <c r="BF5" s="435" t="str">
        <f t="shared" si="0"/>
        <v/>
      </c>
      <c r="BG5" s="435"/>
      <c r="BH5" s="435"/>
      <c r="BI5" s="446">
        <v>0</v>
      </c>
    </row>
    <row r="6" spans="1:61" s="1567" customFormat="1" ht="14.25" hidden="1" customHeight="1">
      <c r="A6" s="1268"/>
      <c r="B6" s="1268"/>
      <c r="C6" s="1268"/>
      <c r="D6" s="1268"/>
      <c r="E6" s="2187"/>
      <c r="F6" s="2187"/>
      <c r="G6" s="2187"/>
      <c r="H6" s="2187"/>
      <c r="I6" s="2184" t="str">
        <f>S5&amp;".1"</f>
        <v>.1</v>
      </c>
      <c r="J6" s="1268"/>
      <c r="K6" s="1268"/>
      <c r="L6" s="1271" t="s">
        <v>402</v>
      </c>
      <c r="M6" s="445"/>
      <c r="N6" s="445"/>
      <c r="O6" s="445"/>
      <c r="P6" s="2185">
        <v>1</v>
      </c>
      <c r="Q6" s="1387"/>
      <c r="R6" s="291"/>
      <c r="S6" s="970"/>
      <c r="T6" s="1308"/>
      <c r="U6" s="1309"/>
      <c r="V6" s="2216"/>
      <c r="W6" s="2216"/>
      <c r="X6" s="2216"/>
      <c r="Y6" s="2216"/>
      <c r="Z6" s="2216"/>
      <c r="AA6" s="2216"/>
      <c r="AB6" s="2216"/>
      <c r="AC6" s="2217"/>
      <c r="AD6" s="2215"/>
      <c r="AE6" s="2216"/>
      <c r="AF6" s="2216"/>
      <c r="AG6" s="2216"/>
      <c r="AH6" s="2216"/>
      <c r="AI6" s="2216"/>
      <c r="AJ6" s="2216"/>
      <c r="AK6" s="2216"/>
      <c r="AL6" s="2216"/>
      <c r="AM6" s="2216"/>
      <c r="AN6" s="2216"/>
      <c r="AO6" s="2216"/>
      <c r="AP6" s="2216"/>
      <c r="AQ6" s="2216"/>
      <c r="AR6" s="2216"/>
      <c r="AS6" s="2216"/>
      <c r="AT6" s="2216"/>
      <c r="AU6" s="2216"/>
      <c r="AV6" s="2216"/>
      <c r="AW6" s="2216"/>
      <c r="AX6" s="2216"/>
      <c r="AY6" s="2216"/>
      <c r="AZ6" s="2216"/>
      <c r="BA6" s="2216"/>
      <c r="BB6" s="2217"/>
      <c r="BC6" s="1310"/>
      <c r="BE6" s="435"/>
      <c r="BF6" s="435" t="str">
        <f t="shared" si="0"/>
        <v/>
      </c>
      <c r="BG6" s="435"/>
      <c r="BH6" s="435"/>
      <c r="BI6" s="446">
        <v>0</v>
      </c>
    </row>
    <row r="7" spans="1:61" s="1567" customFormat="1" ht="14.25" hidden="1" customHeight="1">
      <c r="A7" s="1268"/>
      <c r="B7" s="1268"/>
      <c r="C7" s="1268"/>
      <c r="D7" s="1268"/>
      <c r="E7" s="2187"/>
      <c r="F7" s="2187"/>
      <c r="G7" s="2187"/>
      <c r="H7" s="2187"/>
      <c r="I7" s="2207"/>
      <c r="J7" s="2184" t="str">
        <f>S5&amp;".1"</f>
        <v>.1</v>
      </c>
      <c r="K7" s="1268"/>
      <c r="L7" s="1271"/>
      <c r="M7" s="445"/>
      <c r="N7" s="445"/>
      <c r="O7" s="445"/>
      <c r="P7" s="2185"/>
      <c r="Q7" s="2185">
        <v>1</v>
      </c>
      <c r="R7" s="292"/>
      <c r="S7" s="970"/>
      <c r="T7" s="1324"/>
      <c r="U7" s="1309"/>
      <c r="V7" s="2216"/>
      <c r="W7" s="2216"/>
      <c r="X7" s="2216"/>
      <c r="Y7" s="2216"/>
      <c r="Z7" s="2216"/>
      <c r="AA7" s="2216"/>
      <c r="AB7" s="2216"/>
      <c r="AC7" s="2217"/>
      <c r="AD7" s="2215"/>
      <c r="AE7" s="2216"/>
      <c r="AF7" s="2216"/>
      <c r="AG7" s="2216"/>
      <c r="AH7" s="2216"/>
      <c r="AI7" s="2216"/>
      <c r="AJ7" s="2216"/>
      <c r="AK7" s="2216"/>
      <c r="AL7" s="2216"/>
      <c r="AM7" s="2216"/>
      <c r="AN7" s="2216"/>
      <c r="AO7" s="2216"/>
      <c r="AP7" s="2216"/>
      <c r="AQ7" s="2216"/>
      <c r="AR7" s="2216"/>
      <c r="AS7" s="2216"/>
      <c r="AT7" s="2216"/>
      <c r="AU7" s="2216"/>
      <c r="AV7" s="2216"/>
      <c r="AW7" s="2216"/>
      <c r="AX7" s="2216"/>
      <c r="AY7" s="2216"/>
      <c r="AZ7" s="2216"/>
      <c r="BA7" s="2216"/>
      <c r="BB7" s="2217"/>
      <c r="BC7" s="1310"/>
      <c r="BE7" s="435"/>
      <c r="BF7" s="435" t="str">
        <f t="shared" si="0"/>
        <v/>
      </c>
      <c r="BG7" s="435"/>
      <c r="BH7" s="435"/>
      <c r="BI7" s="446">
        <v>0</v>
      </c>
    </row>
    <row r="8" spans="1:61" ht="11.25" hidden="1" customHeight="1">
      <c r="A8" s="1288"/>
      <c r="B8" s="1288"/>
      <c r="C8" s="1288"/>
      <c r="D8" s="1288"/>
      <c r="E8" s="2187"/>
      <c r="F8" s="2187"/>
      <c r="G8" s="2187"/>
      <c r="H8" s="2187"/>
      <c r="I8" s="2207"/>
      <c r="J8" s="2207"/>
      <c r="K8" s="2184" t="e">
        <f>S4&amp;".1"</f>
        <v>#N/A</v>
      </c>
      <c r="L8" s="1289"/>
      <c r="P8" s="2185"/>
      <c r="Q8" s="2185"/>
      <c r="R8" s="2250">
        <v>1</v>
      </c>
      <c r="S8" s="2244" t="e">
        <f>$K8</f>
        <v>#N/A</v>
      </c>
      <c r="T8" s="2263"/>
      <c r="U8" s="236"/>
      <c r="V8" s="686"/>
      <c r="W8" s="1182"/>
      <c r="X8" s="686"/>
      <c r="Y8" s="1182"/>
      <c r="Z8" s="1659"/>
      <c r="AA8" s="1384" t="s">
        <v>66</v>
      </c>
      <c r="AB8" s="1659"/>
      <c r="AC8" s="1384" t="s">
        <v>66</v>
      </c>
      <c r="AD8" s="2124" t="s">
        <v>66</v>
      </c>
      <c r="AE8" s="2229"/>
      <c r="AF8" s="2141">
        <v>1</v>
      </c>
      <c r="AG8" s="2266"/>
      <c r="AH8" s="2047" t="s">
        <v>66</v>
      </c>
      <c r="AI8" s="2229"/>
      <c r="AJ8" s="2141">
        <v>1</v>
      </c>
      <c r="AK8" s="2230" t="s">
        <v>22</v>
      </c>
      <c r="AL8" s="2047" t="s">
        <v>66</v>
      </c>
      <c r="AM8" s="2131"/>
      <c r="AN8" s="2141">
        <v>1</v>
      </c>
      <c r="AO8" s="2260"/>
      <c r="AP8" s="2261" t="s">
        <v>66</v>
      </c>
      <c r="AQ8" s="247"/>
      <c r="AR8" s="1388">
        <v>1</v>
      </c>
      <c r="AS8" s="1391" t="s">
        <v>22</v>
      </c>
      <c r="AT8" s="686"/>
      <c r="AU8" s="1182"/>
      <c r="AV8" s="686"/>
      <c r="AW8" s="1182"/>
      <c r="AX8" s="1659"/>
      <c r="AY8" s="1384" t="s">
        <v>66</v>
      </c>
      <c r="AZ8" s="1659"/>
      <c r="BA8" s="1384" t="s">
        <v>66</v>
      </c>
      <c r="BB8" s="1273"/>
      <c r="BC8" s="2181" t="s">
        <v>500</v>
      </c>
      <c r="BE8" s="435"/>
      <c r="BF8" s="435" t="str">
        <f t="shared" si="0"/>
        <v/>
      </c>
      <c r="BG8" s="435"/>
      <c r="BH8" s="435"/>
      <c r="BI8" s="1080">
        <v>0</v>
      </c>
    </row>
    <row r="9" spans="1:61" ht="11.25" hidden="1" customHeight="1">
      <c r="A9" s="1288"/>
      <c r="B9" s="1288"/>
      <c r="C9" s="1288"/>
      <c r="D9" s="1288"/>
      <c r="E9" s="2187"/>
      <c r="F9" s="2187"/>
      <c r="G9" s="2187"/>
      <c r="H9" s="2187"/>
      <c r="I9" s="2207"/>
      <c r="J9" s="2207"/>
      <c r="K9" s="2184"/>
      <c r="L9" s="1289"/>
      <c r="P9" s="2185"/>
      <c r="Q9" s="2185"/>
      <c r="R9" s="2250"/>
      <c r="S9" s="2245"/>
      <c r="T9" s="2264"/>
      <c r="U9" s="236"/>
      <c r="V9" s="1318"/>
      <c r="W9" s="1421"/>
      <c r="X9" s="1318"/>
      <c r="Y9" s="1421"/>
      <c r="Z9" s="1318"/>
      <c r="AA9" s="1318"/>
      <c r="AB9" s="1318"/>
      <c r="AC9" s="1318"/>
      <c r="AD9" s="2125"/>
      <c r="AE9" s="2229"/>
      <c r="AF9" s="2141"/>
      <c r="AG9" s="2266"/>
      <c r="AH9" s="2047"/>
      <c r="AI9" s="2229"/>
      <c r="AJ9" s="2141"/>
      <c r="AK9" s="2230"/>
      <c r="AL9" s="2047"/>
      <c r="AM9" s="2136"/>
      <c r="AN9" s="2141"/>
      <c r="AO9" s="2260"/>
      <c r="AP9" s="2262"/>
      <c r="AQ9" s="252"/>
      <c r="AR9" s="351"/>
      <c r="AS9" s="351" t="s">
        <v>501</v>
      </c>
      <c r="AT9" s="1318"/>
      <c r="AU9" s="1421"/>
      <c r="AV9" s="1318"/>
      <c r="AW9" s="1421"/>
      <c r="AX9" s="1318"/>
      <c r="AY9" s="1318"/>
      <c r="AZ9" s="1318"/>
      <c r="BA9" s="1318"/>
      <c r="BB9" s="1322"/>
      <c r="BC9" s="2182"/>
      <c r="BE9" s="435"/>
      <c r="BF9" s="435"/>
      <c r="BG9" s="435"/>
      <c r="BH9" s="435"/>
      <c r="BI9" s="1080">
        <v>0</v>
      </c>
    </row>
    <row r="10" spans="1:61" ht="11.25" hidden="1" customHeight="1">
      <c r="A10" s="1288"/>
      <c r="B10" s="1288"/>
      <c r="C10" s="1288"/>
      <c r="D10" s="1288"/>
      <c r="E10" s="2187"/>
      <c r="F10" s="2187"/>
      <c r="G10" s="2187"/>
      <c r="H10" s="2187"/>
      <c r="I10" s="2207"/>
      <c r="J10" s="2207"/>
      <c r="K10" s="2184"/>
      <c r="L10" s="1289"/>
      <c r="P10" s="2185"/>
      <c r="Q10" s="2185"/>
      <c r="R10" s="2250"/>
      <c r="S10" s="2245"/>
      <c r="T10" s="2264"/>
      <c r="U10" s="236"/>
      <c r="V10" s="1318"/>
      <c r="W10" s="1421"/>
      <c r="X10" s="1318"/>
      <c r="Y10" s="1421"/>
      <c r="Z10" s="1318"/>
      <c r="AA10" s="1318"/>
      <c r="AB10" s="1318"/>
      <c r="AC10" s="1318"/>
      <c r="AD10" s="2125"/>
      <c r="AE10" s="2229"/>
      <c r="AF10" s="2141"/>
      <c r="AG10" s="2266"/>
      <c r="AH10" s="2047"/>
      <c r="AI10" s="2229"/>
      <c r="AJ10" s="2141"/>
      <c r="AK10" s="2230"/>
      <c r="AL10" s="2047"/>
      <c r="AM10" s="252"/>
      <c r="AN10" s="1425"/>
      <c r="AO10" s="1425" t="s">
        <v>502</v>
      </c>
      <c r="AP10" s="351"/>
      <c r="AQ10" s="351"/>
      <c r="AR10" s="351"/>
      <c r="AS10" s="1318"/>
      <c r="AT10" s="1318"/>
      <c r="AU10" s="1421"/>
      <c r="AV10" s="1318"/>
      <c r="AW10" s="1421"/>
      <c r="AX10" s="1318"/>
      <c r="AY10" s="1318"/>
      <c r="AZ10" s="1318"/>
      <c r="BA10" s="1318"/>
      <c r="BB10" s="1322"/>
      <c r="BC10" s="2182"/>
      <c r="BE10" s="435"/>
      <c r="BF10" s="435"/>
      <c r="BG10" s="435"/>
      <c r="BH10" s="435"/>
      <c r="BI10" s="1080">
        <v>0</v>
      </c>
    </row>
    <row r="11" spans="1:61" ht="11.25" hidden="1" customHeight="1">
      <c r="A11" s="1288"/>
      <c r="B11" s="1288"/>
      <c r="C11" s="1288"/>
      <c r="D11" s="1288"/>
      <c r="E11" s="2187"/>
      <c r="F11" s="2187"/>
      <c r="G11" s="2187"/>
      <c r="H11" s="2187"/>
      <c r="I11" s="2207"/>
      <c r="J11" s="2207"/>
      <c r="K11" s="2184"/>
      <c r="L11" s="1289"/>
      <c r="P11" s="2185"/>
      <c r="Q11" s="2185"/>
      <c r="R11" s="2250"/>
      <c r="S11" s="2245"/>
      <c r="T11" s="2264"/>
      <c r="U11" s="236"/>
      <c r="V11" s="1318"/>
      <c r="W11" s="1421"/>
      <c r="X11" s="1318"/>
      <c r="Y11" s="1421"/>
      <c r="Z11" s="1318"/>
      <c r="AA11" s="1318"/>
      <c r="AB11" s="1318"/>
      <c r="AC11" s="1318"/>
      <c r="AD11" s="2125"/>
      <c r="AE11" s="2229"/>
      <c r="AF11" s="2141"/>
      <c r="AG11" s="2266"/>
      <c r="AH11" s="2047"/>
      <c r="AI11" s="230"/>
      <c r="AJ11" s="350"/>
      <c r="AK11" s="249" t="s">
        <v>503</v>
      </c>
      <c r="AL11" s="1318"/>
      <c r="AM11" s="1318"/>
      <c r="AN11" s="1318"/>
      <c r="AO11" s="1318"/>
      <c r="AP11" s="1318"/>
      <c r="AQ11" s="1318"/>
      <c r="AR11" s="1318"/>
      <c r="AS11" s="1318"/>
      <c r="AT11" s="1318"/>
      <c r="AU11" s="1421"/>
      <c r="AV11" s="1318"/>
      <c r="AW11" s="1421"/>
      <c r="AX11" s="1318"/>
      <c r="AY11" s="1318"/>
      <c r="AZ11" s="1318"/>
      <c r="BA11" s="1318"/>
      <c r="BB11" s="1322"/>
      <c r="BC11" s="2182"/>
      <c r="BE11" s="435"/>
      <c r="BF11" s="435"/>
      <c r="BG11" s="435"/>
      <c r="BH11" s="435"/>
      <c r="BI11" s="1080">
        <v>0</v>
      </c>
    </row>
    <row r="12" spans="1:61" ht="11.25" hidden="1" customHeight="1">
      <c r="A12" s="1288"/>
      <c r="B12" s="1288"/>
      <c r="C12" s="1288"/>
      <c r="D12" s="1288"/>
      <c r="E12" s="2187"/>
      <c r="F12" s="2187"/>
      <c r="G12" s="2187"/>
      <c r="H12" s="2187"/>
      <c r="I12" s="2207"/>
      <c r="J12" s="2207"/>
      <c r="K12" s="2184"/>
      <c r="L12" s="1289"/>
      <c r="P12" s="2185"/>
      <c r="Q12" s="2185"/>
      <c r="R12" s="2250"/>
      <c r="S12" s="2246"/>
      <c r="T12" s="2265"/>
      <c r="U12" s="236"/>
      <c r="V12" s="1318"/>
      <c r="W12" s="1319" t="str">
        <f>Z8&amp;"-"&amp;AB8</f>
        <v>-</v>
      </c>
      <c r="X12" s="1318"/>
      <c r="Y12" s="1319" t="str">
        <f>AB8&amp;"-"&amp;AD8</f>
        <v>-да</v>
      </c>
      <c r="Z12" s="1318"/>
      <c r="AA12" s="1318"/>
      <c r="AB12" s="1318"/>
      <c r="AC12" s="1318"/>
      <c r="AD12" s="2052"/>
      <c r="AE12" s="248"/>
      <c r="AF12" s="250"/>
      <c r="AG12" s="351" t="s">
        <v>504</v>
      </c>
      <c r="AH12" s="1318"/>
      <c r="AI12" s="1318"/>
      <c r="AJ12" s="1318"/>
      <c r="AK12" s="1318"/>
      <c r="AL12" s="1318"/>
      <c r="AM12" s="1318"/>
      <c r="AN12" s="1318"/>
      <c r="AO12" s="1318"/>
      <c r="AP12" s="1318"/>
      <c r="AQ12" s="1318"/>
      <c r="AR12" s="1318"/>
      <c r="AS12" s="1318"/>
      <c r="AT12" s="1318"/>
      <c r="AU12" s="1319" t="str">
        <f>AX8&amp;"-"&amp;AZ8</f>
        <v>-</v>
      </c>
      <c r="AV12" s="1318"/>
      <c r="AW12" s="1319" t="str">
        <f>AZ8&amp;"-"&amp;BB8</f>
        <v>-</v>
      </c>
      <c r="AX12" s="1318"/>
      <c r="AY12" s="1318"/>
      <c r="AZ12" s="1318"/>
      <c r="BA12" s="1318"/>
      <c r="BB12" s="1321" t="str">
        <f>BE8&amp;"-"&amp;BG8</f>
        <v>-</v>
      </c>
      <c r="BC12" s="2182"/>
      <c r="BE12" s="435"/>
      <c r="BF12" s="435" t="str">
        <f t="shared" ref="BF12:BF18" si="1">IF(T12="","",T12)</f>
        <v/>
      </c>
      <c r="BG12" s="435"/>
      <c r="BH12" s="435"/>
      <c r="BI12" s="1080">
        <v>0</v>
      </c>
    </row>
    <row r="13" spans="1:61" ht="11.25" hidden="1" customHeight="1">
      <c r="A13" s="1288"/>
      <c r="B13" s="1288"/>
      <c r="C13" s="1288"/>
      <c r="D13" s="1288"/>
      <c r="E13" s="2187"/>
      <c r="F13" s="2187"/>
      <c r="G13" s="2187"/>
      <c r="H13" s="2187"/>
      <c r="I13" s="2207"/>
      <c r="J13" s="2184"/>
      <c r="K13" s="1288"/>
      <c r="L13" s="1289"/>
      <c r="P13" s="2185"/>
      <c r="Q13" s="2185"/>
      <c r="R13" s="291"/>
      <c r="S13" s="1203"/>
      <c r="T13" s="223" t="s">
        <v>467</v>
      </c>
      <c r="U13" s="302"/>
      <c r="V13" s="302"/>
      <c r="W13" s="302"/>
      <c r="X13" s="302"/>
      <c r="Y13" s="302"/>
      <c r="Z13" s="302"/>
      <c r="AA13" s="302"/>
      <c r="AB13" s="302"/>
      <c r="AC13" s="302"/>
      <c r="AD13" s="1430"/>
      <c r="AE13" s="302"/>
      <c r="AF13" s="302"/>
      <c r="AG13" s="302"/>
      <c r="AH13" s="302"/>
      <c r="AI13" s="302"/>
      <c r="AJ13" s="302"/>
      <c r="AK13" s="302"/>
      <c r="AL13" s="302"/>
      <c r="AM13" s="302"/>
      <c r="AN13" s="302"/>
      <c r="AO13" s="302"/>
      <c r="AP13" s="302"/>
      <c r="AQ13" s="302"/>
      <c r="AR13" s="302"/>
      <c r="AS13" s="302"/>
      <c r="AT13" s="302"/>
      <c r="AU13" s="302"/>
      <c r="AV13" s="302"/>
      <c r="AW13" s="302"/>
      <c r="AX13" s="302"/>
      <c r="AY13" s="302"/>
      <c r="AZ13" s="302"/>
      <c r="BA13" s="302"/>
      <c r="BB13" s="260"/>
      <c r="BC13" s="2183"/>
      <c r="BE13" s="435"/>
      <c r="BF13" s="435" t="str">
        <f t="shared" si="1"/>
        <v>Добавить строку</v>
      </c>
      <c r="BG13" s="435"/>
      <c r="BH13" s="435"/>
      <c r="BI13" s="1080">
        <v>0</v>
      </c>
    </row>
    <row r="14" spans="1:61" s="1567" customFormat="1" ht="14.25" hidden="1" customHeight="1">
      <c r="A14" s="1268"/>
      <c r="B14" s="1268"/>
      <c r="C14" s="1268"/>
      <c r="D14" s="1268"/>
      <c r="E14" s="2187"/>
      <c r="F14" s="2187"/>
      <c r="G14" s="2187"/>
      <c r="H14" s="2187"/>
      <c r="I14" s="2184"/>
      <c r="J14" s="1268"/>
      <c r="K14" s="1268"/>
      <c r="L14" s="1271"/>
      <c r="M14" s="445"/>
      <c r="N14" s="445"/>
      <c r="O14" s="445"/>
      <c r="P14" s="2185"/>
      <c r="Q14" s="1387"/>
      <c r="R14" s="291"/>
      <c r="S14" s="1311"/>
      <c r="T14" s="1312"/>
      <c r="U14" s="1313"/>
      <c r="V14" s="1313"/>
      <c r="W14" s="1313"/>
      <c r="X14" s="1313"/>
      <c r="Y14" s="1313"/>
      <c r="Z14" s="1313"/>
      <c r="AA14" s="1313"/>
      <c r="AB14" s="1313"/>
      <c r="AC14" s="1313"/>
      <c r="AD14" s="1313"/>
      <c r="AE14" s="1313"/>
      <c r="AF14" s="1313"/>
      <c r="AG14" s="1313"/>
      <c r="AH14" s="1313"/>
      <c r="AI14" s="1313"/>
      <c r="AJ14" s="1313"/>
      <c r="AK14" s="1313"/>
      <c r="AL14" s="1313"/>
      <c r="AM14" s="1313"/>
      <c r="AN14" s="1313"/>
      <c r="AO14" s="1313"/>
      <c r="AP14" s="1313"/>
      <c r="AQ14" s="1313"/>
      <c r="AR14" s="1313"/>
      <c r="AS14" s="1313"/>
      <c r="AT14" s="1313"/>
      <c r="AU14" s="1313"/>
      <c r="AV14" s="1313"/>
      <c r="AW14" s="1313"/>
      <c r="AX14" s="1313"/>
      <c r="AY14" s="1313"/>
      <c r="AZ14" s="1313"/>
      <c r="BA14" s="1313"/>
      <c r="BB14" s="1313"/>
      <c r="BC14" s="1314"/>
      <c r="BE14" s="435"/>
      <c r="BF14" s="435" t="str">
        <f t="shared" si="1"/>
        <v/>
      </c>
      <c r="BG14" s="435"/>
      <c r="BH14" s="435"/>
      <c r="BI14" s="446">
        <v>0</v>
      </c>
    </row>
    <row r="15" spans="1:61" s="1567" customFormat="1" ht="14.25" hidden="1" customHeight="1">
      <c r="A15" s="1268"/>
      <c r="B15" s="1268"/>
      <c r="C15" s="1268"/>
      <c r="D15" s="1268"/>
      <c r="E15" s="2187"/>
      <c r="F15" s="2187"/>
      <c r="G15" s="2187"/>
      <c r="H15" s="2186"/>
      <c r="I15" s="1268"/>
      <c r="J15" s="1268"/>
      <c r="K15" s="1268"/>
      <c r="L15" s="1271"/>
      <c r="M15" s="1240"/>
      <c r="N15" s="1240"/>
      <c r="O15" s="453"/>
      <c r="P15" s="315"/>
      <c r="Q15" s="1269"/>
      <c r="R15" s="1326"/>
      <c r="S15" s="1311"/>
      <c r="T15" s="1312"/>
      <c r="U15" s="1313"/>
      <c r="V15" s="1313"/>
      <c r="W15" s="1313"/>
      <c r="X15" s="1313"/>
      <c r="Y15" s="1313"/>
      <c r="Z15" s="1313"/>
      <c r="AA15" s="1313"/>
      <c r="AB15" s="1313"/>
      <c r="AC15" s="1313"/>
      <c r="AD15" s="1313"/>
      <c r="AE15" s="1313"/>
      <c r="AF15" s="1313"/>
      <c r="AG15" s="1313"/>
      <c r="AH15" s="1313"/>
      <c r="AI15" s="1313"/>
      <c r="AJ15" s="1313"/>
      <c r="AK15" s="1313"/>
      <c r="AL15" s="1313"/>
      <c r="AM15" s="1313"/>
      <c r="AN15" s="1313"/>
      <c r="AO15" s="1313"/>
      <c r="AP15" s="1313"/>
      <c r="AQ15" s="1313"/>
      <c r="AR15" s="1313"/>
      <c r="AS15" s="1313"/>
      <c r="AT15" s="1313"/>
      <c r="AU15" s="1313"/>
      <c r="AV15" s="1313"/>
      <c r="AW15" s="1313"/>
      <c r="AX15" s="1313"/>
      <c r="AY15" s="1313"/>
      <c r="AZ15" s="1313"/>
      <c r="BA15" s="1313"/>
      <c r="BB15" s="1313"/>
      <c r="BC15" s="1314"/>
      <c r="BE15" s="435"/>
      <c r="BF15" s="435" t="str">
        <f t="shared" si="1"/>
        <v/>
      </c>
      <c r="BG15" s="435"/>
      <c r="BH15" s="435"/>
      <c r="BI15" s="446">
        <v>0</v>
      </c>
    </row>
    <row r="16" spans="1:61" s="1567" customFormat="1" ht="14.25" hidden="1" customHeight="1">
      <c r="A16" s="1268"/>
      <c r="B16" s="1268"/>
      <c r="C16" s="1268"/>
      <c r="D16" s="1239"/>
      <c r="E16" s="2187"/>
      <c r="F16" s="2187"/>
      <c r="G16" s="2186"/>
      <c r="H16" s="1239"/>
      <c r="I16" s="1239"/>
      <c r="J16" s="1239"/>
      <c r="K16" s="1239"/>
      <c r="L16" s="1389"/>
      <c r="M16" s="1240"/>
      <c r="N16" s="1240"/>
      <c r="P16" s="1241"/>
      <c r="Q16" s="1242"/>
      <c r="R16" s="1241"/>
      <c r="S16" s="1247"/>
      <c r="T16" s="1250"/>
      <c r="U16" s="1249"/>
      <c r="V16" s="1249"/>
      <c r="W16" s="1249"/>
      <c r="X16" s="1249"/>
      <c r="Y16" s="1249"/>
      <c r="Z16" s="1249"/>
      <c r="AA16" s="1249"/>
      <c r="AB16" s="1249"/>
      <c r="AC16" s="1249"/>
      <c r="AD16" s="1249"/>
      <c r="AE16" s="1249"/>
      <c r="AF16" s="1249"/>
      <c r="AG16" s="1249"/>
      <c r="AH16" s="1249"/>
      <c r="AI16" s="1249"/>
      <c r="AJ16" s="1249"/>
      <c r="AK16" s="1249"/>
      <c r="AL16" s="1249"/>
      <c r="AM16" s="1249"/>
      <c r="AN16" s="1249"/>
      <c r="AO16" s="1249"/>
      <c r="AP16" s="1249"/>
      <c r="AQ16" s="1249"/>
      <c r="AR16" s="1249"/>
      <c r="AS16" s="1249"/>
      <c r="AT16" s="1249"/>
      <c r="AU16" s="1249"/>
      <c r="AV16" s="1249"/>
      <c r="AW16" s="1249"/>
      <c r="AX16" s="1249"/>
      <c r="AY16" s="1249"/>
      <c r="AZ16" s="1249"/>
      <c r="BA16" s="1249"/>
      <c r="BB16" s="1249"/>
      <c r="BC16" s="1249"/>
      <c r="BE16" s="718"/>
      <c r="BF16" s="718" t="str">
        <f t="shared" si="1"/>
        <v/>
      </c>
      <c r="BG16" s="718"/>
      <c r="BH16" s="718"/>
      <c r="BI16" s="453">
        <v>0</v>
      </c>
    </row>
    <row r="17" spans="1:61" s="1567" customFormat="1" ht="14.25" hidden="1" customHeight="1">
      <c r="A17" s="1268"/>
      <c r="B17" s="1268"/>
      <c r="C17" s="1239"/>
      <c r="D17" s="1239"/>
      <c r="E17" s="2187"/>
      <c r="F17" s="2186"/>
      <c r="G17" s="1239"/>
      <c r="H17" s="1239"/>
      <c r="I17" s="1239"/>
      <c r="J17" s="1239"/>
      <c r="K17" s="1239"/>
      <c r="L17" s="1389"/>
      <c r="M17" s="1246"/>
      <c r="N17" s="1246"/>
      <c r="P17" s="1241"/>
      <c r="Q17" s="1242"/>
      <c r="R17" s="1241"/>
      <c r="S17" s="1247"/>
      <c r="T17" s="1250" t="s">
        <v>414</v>
      </c>
      <c r="U17" s="1249"/>
      <c r="V17" s="1249"/>
      <c r="W17" s="1249"/>
      <c r="X17" s="1249"/>
      <c r="Y17" s="1249"/>
      <c r="Z17" s="1249"/>
      <c r="AA17" s="1249"/>
      <c r="AB17" s="1249"/>
      <c r="AC17" s="1249"/>
      <c r="AD17" s="1249"/>
      <c r="AE17" s="1249"/>
      <c r="AF17" s="1249"/>
      <c r="AG17" s="1249"/>
      <c r="AH17" s="1249"/>
      <c r="AI17" s="1249"/>
      <c r="AJ17" s="1249"/>
      <c r="AK17" s="1249"/>
      <c r="AL17" s="1249"/>
      <c r="AM17" s="1249"/>
      <c r="AN17" s="1249"/>
      <c r="AO17" s="1249"/>
      <c r="AP17" s="1249"/>
      <c r="AQ17" s="1249"/>
      <c r="AR17" s="1249"/>
      <c r="AS17" s="1249"/>
      <c r="AT17" s="1249"/>
      <c r="AU17" s="1249"/>
      <c r="AV17" s="1249"/>
      <c r="AW17" s="1249"/>
      <c r="AX17" s="1249"/>
      <c r="AY17" s="1249"/>
      <c r="AZ17" s="1249"/>
      <c r="BA17" s="1249"/>
      <c r="BB17" s="1249"/>
      <c r="BC17" s="1249"/>
      <c r="BE17" s="718"/>
      <c r="BF17" s="718" t="str">
        <f t="shared" si="1"/>
        <v>Добавить централизованную систему для дифференциации</v>
      </c>
      <c r="BG17" s="718"/>
      <c r="BH17" s="718"/>
      <c r="BI17" s="453">
        <v>0</v>
      </c>
    </row>
    <row r="18" spans="1:61" s="1567" customFormat="1" ht="14.25" hidden="1" customHeight="1">
      <c r="A18" s="1268"/>
      <c r="B18" s="1268"/>
      <c r="C18" s="1268"/>
      <c r="D18" s="1268"/>
      <c r="E18" s="2186"/>
      <c r="F18" s="1268"/>
      <c r="G18" s="1268"/>
      <c r="H18" s="1268"/>
      <c r="I18" s="1268"/>
      <c r="J18" s="1268"/>
      <c r="K18" s="1268"/>
      <c r="L18" s="1271"/>
      <c r="M18" s="1246"/>
      <c r="N18" s="1246"/>
      <c r="O18" s="453"/>
      <c r="P18" s="315"/>
      <c r="Q18" s="1269"/>
      <c r="R18" s="315"/>
      <c r="S18" s="1247"/>
      <c r="T18" s="1250" t="s">
        <v>415</v>
      </c>
      <c r="U18" s="1249"/>
      <c r="V18" s="1249"/>
      <c r="W18" s="1249"/>
      <c r="X18" s="1249"/>
      <c r="Y18" s="1249"/>
      <c r="Z18" s="1249"/>
      <c r="AA18" s="1249"/>
      <c r="AB18" s="1249"/>
      <c r="AC18" s="1249"/>
      <c r="AD18" s="1249"/>
      <c r="AE18" s="1249"/>
      <c r="AF18" s="1249"/>
      <c r="AG18" s="1249"/>
      <c r="AH18" s="1249"/>
      <c r="AI18" s="1249"/>
      <c r="AJ18" s="1249"/>
      <c r="AK18" s="1249"/>
      <c r="AL18" s="1249"/>
      <c r="AM18" s="1249"/>
      <c r="AN18" s="1249"/>
      <c r="AO18" s="1249"/>
      <c r="AP18" s="1249"/>
      <c r="AQ18" s="1249"/>
      <c r="AR18" s="1249"/>
      <c r="AS18" s="1249"/>
      <c r="AT18" s="1249"/>
      <c r="AU18" s="1249"/>
      <c r="AV18" s="1249"/>
      <c r="AW18" s="1249"/>
      <c r="AX18" s="1249"/>
      <c r="AY18" s="1249"/>
      <c r="AZ18" s="1249"/>
      <c r="BA18" s="1249"/>
      <c r="BB18" s="1249"/>
      <c r="BC18" s="1249"/>
      <c r="BE18" s="435"/>
      <c r="BF18" s="435" t="str">
        <f t="shared" si="1"/>
        <v>Добавить территорию для дифференциации</v>
      </c>
      <c r="BG18" s="435"/>
      <c r="BH18" s="435"/>
      <c r="BI18" s="446">
        <v>0</v>
      </c>
    </row>
    <row r="19" spans="1:61" ht="14.25" hidden="1" customHeight="1">
      <c r="AC19" s="263"/>
      <c r="BA19" s="263"/>
      <c r="BI19" s="1080">
        <v>0</v>
      </c>
    </row>
    <row r="20" spans="1:61" ht="14.25" hidden="1" customHeight="1">
      <c r="AD20" s="1249" t="s">
        <v>19</v>
      </c>
      <c r="AE20" s="1426"/>
      <c r="AF20" s="483">
        <v>1</v>
      </c>
      <c r="AG20" s="1427"/>
      <c r="AH20" s="1249" t="s">
        <v>19</v>
      </c>
      <c r="AI20" s="1426"/>
      <c r="AJ20" s="483">
        <v>1</v>
      </c>
      <c r="AK20" s="1427"/>
      <c r="AL20" s="1249" t="s">
        <v>19</v>
      </c>
      <c r="AM20" s="1428"/>
      <c r="AN20" s="483">
        <v>1</v>
      </c>
      <c r="AO20" s="1429"/>
      <c r="AP20" s="1249" t="s">
        <v>19</v>
      </c>
      <c r="AQ20" s="1428"/>
      <c r="AR20" s="483">
        <v>1</v>
      </c>
      <c r="AS20" s="1429"/>
      <c r="AT20" s="261"/>
      <c r="AU20" s="319"/>
      <c r="AV20" s="261"/>
      <c r="AW20" s="319"/>
      <c r="AX20" s="1661"/>
      <c r="AY20" s="1385" t="s">
        <v>66</v>
      </c>
      <c r="AZ20" s="1661"/>
      <c r="BA20" s="1385" t="s">
        <v>66</v>
      </c>
      <c r="BI20" s="1080">
        <v>0</v>
      </c>
    </row>
    <row r="21" spans="1:61" ht="14.25" hidden="1" customHeight="1">
      <c r="BD21" s="431"/>
      <c r="BE21" s="431"/>
      <c r="BF21" s="431"/>
      <c r="BG21" s="431"/>
      <c r="BH21" s="431"/>
      <c r="BI21" s="1080">
        <v>0</v>
      </c>
    </row>
    <row r="22" spans="1:61" ht="14.25" hidden="1" customHeight="1">
      <c r="O22" s="1292" t="s">
        <v>416</v>
      </c>
      <c r="Z22" s="1270"/>
      <c r="AB22" s="1270"/>
      <c r="AC22" s="263"/>
      <c r="AX22" s="1270"/>
      <c r="AZ22" s="1270"/>
      <c r="BA22" s="263"/>
      <c r="BD22" s="431"/>
      <c r="BE22" s="431"/>
      <c r="BF22" s="431"/>
      <c r="BG22" s="431"/>
      <c r="BH22" s="431"/>
      <c r="BI22" s="1080">
        <v>0</v>
      </c>
    </row>
    <row r="23" spans="1:61" ht="14.25" hidden="1" customHeight="1">
      <c r="AC23" s="263"/>
      <c r="BA23" s="263"/>
      <c r="BD23" s="431"/>
      <c r="BE23" s="431"/>
      <c r="BF23" s="431"/>
      <c r="BG23" s="431"/>
      <c r="BH23" s="431"/>
      <c r="BI23" s="1080">
        <v>0</v>
      </c>
    </row>
    <row r="24" spans="1:61" s="1434" customFormat="1" ht="14.25" hidden="1" customHeight="1">
      <c r="M24" s="1433"/>
      <c r="N24" s="1433"/>
      <c r="O24" s="1434" t="s">
        <v>417</v>
      </c>
      <c r="P24" s="1433"/>
      <c r="Q24" s="1435"/>
      <c r="R24" s="1435"/>
      <c r="AA24" s="1432" t="s">
        <v>419</v>
      </c>
      <c r="AC24" s="1432" t="s">
        <v>420</v>
      </c>
      <c r="AD24" s="1432" t="s">
        <v>468</v>
      </c>
      <c r="AH24" s="1432" t="s">
        <v>468</v>
      </c>
      <c r="AK24" s="1432" t="s">
        <v>505</v>
      </c>
      <c r="AL24" s="1432" t="s">
        <v>468</v>
      </c>
      <c r="AP24" s="1432" t="s">
        <v>468</v>
      </c>
      <c r="AY24" s="1432" t="s">
        <v>419</v>
      </c>
      <c r="BA24" s="1432" t="s">
        <v>420</v>
      </c>
      <c r="BD24" s="1436"/>
      <c r="BE24" s="1436"/>
      <c r="BF24" s="1436"/>
      <c r="BG24" s="1436"/>
      <c r="BH24" s="1436"/>
      <c r="BI24" s="1432">
        <v>0</v>
      </c>
    </row>
    <row r="25" spans="1:61" ht="14.25" hidden="1" customHeight="1">
      <c r="O25" s="1289"/>
      <c r="BD25" s="431"/>
      <c r="BE25" s="431"/>
      <c r="BF25" s="431"/>
      <c r="BG25" s="431"/>
      <c r="BH25" s="431"/>
      <c r="BI25" s="1080">
        <v>0</v>
      </c>
    </row>
    <row r="26" spans="1:61" ht="14.25" hidden="1" customHeight="1">
      <c r="O26" s="1289"/>
      <c r="BD26" s="431"/>
      <c r="BE26" s="431"/>
      <c r="BF26" s="431"/>
      <c r="BG26" s="431"/>
      <c r="BH26" s="431"/>
      <c r="BI26" s="1080">
        <v>0</v>
      </c>
    </row>
    <row r="27" spans="1:61" ht="14.65" customHeight="1">
      <c r="Q27" s="227"/>
      <c r="R27" s="311"/>
      <c r="S27" s="1200"/>
      <c r="T27" s="298"/>
      <c r="U27" s="298"/>
      <c r="V27" s="444"/>
      <c r="W27" s="444"/>
      <c r="X27" s="444"/>
      <c r="Y27" s="444"/>
      <c r="Z27" s="444"/>
      <c r="AA27" s="444"/>
      <c r="AB27" s="444"/>
      <c r="AC27" s="444"/>
      <c r="AD27" s="444"/>
      <c r="AE27" s="444"/>
      <c r="AF27" s="444"/>
      <c r="AG27" s="444"/>
      <c r="AH27" s="444"/>
      <c r="AI27" s="444"/>
      <c r="AJ27" s="444"/>
      <c r="AK27" s="444"/>
      <c r="AL27" s="444"/>
      <c r="AM27" s="444"/>
      <c r="AN27" s="444"/>
      <c r="AO27" s="444"/>
      <c r="AP27" s="444"/>
      <c r="AQ27" s="444"/>
      <c r="AR27" s="444"/>
      <c r="AS27" s="444"/>
      <c r="AT27" s="444"/>
      <c r="AU27" s="444"/>
      <c r="AV27" s="444"/>
      <c r="AW27" s="444"/>
      <c r="AX27" s="444"/>
      <c r="AY27" s="444"/>
      <c r="AZ27" s="444"/>
      <c r="BA27" s="444"/>
      <c r="BI27" s="1080">
        <v>14</v>
      </c>
    </row>
    <row r="28" spans="1:61" ht="14.65" customHeight="1">
      <c r="Q28" s="227"/>
      <c r="R28" s="311"/>
      <c r="S28" s="2170" t="str">
        <f>IF(TEMPLATE_GROUP="P",PT_P_FORM_COLDVSNA_5_NAME_FORM,PT_R_FORM_COLDVSNA_17_NAME_FORM)</f>
        <v>Форма 14. Информация о предложении организации холодного водоснабжения расчетной величины тарифов на подключение (технологическое присоединение) к централизованной системе холодного водоснабжения</v>
      </c>
      <c r="T28" s="2170"/>
      <c r="U28" s="2170"/>
      <c r="V28" s="2170"/>
      <c r="W28" s="2170"/>
      <c r="X28" s="2170"/>
      <c r="Y28" s="2170"/>
      <c r="Z28" s="2170"/>
      <c r="AA28" s="2170"/>
      <c r="AB28" s="2170"/>
      <c r="AC28" s="2170"/>
      <c r="AD28" s="2170"/>
      <c r="AE28" s="2170"/>
      <c r="AF28" s="2170"/>
      <c r="AG28" s="2170"/>
      <c r="AH28" s="2170"/>
      <c r="AI28" s="2170"/>
      <c r="AJ28" s="2170"/>
      <c r="AK28" s="2170"/>
      <c r="AL28" s="2170"/>
      <c r="AM28" s="2170"/>
      <c r="AN28" s="2170"/>
      <c r="AO28" s="2170"/>
      <c r="AP28" s="2170"/>
      <c r="AQ28" s="2170"/>
      <c r="AR28" s="2170"/>
      <c r="AS28" s="2170"/>
      <c r="AT28" s="2170"/>
      <c r="AU28" s="2170"/>
      <c r="AV28" s="2170"/>
      <c r="AW28" s="2170"/>
      <c r="AX28" s="2170"/>
      <c r="AY28" s="2170"/>
      <c r="AZ28" s="2170"/>
      <c r="BA28" s="1168"/>
      <c r="BI28" s="1080">
        <v>14</v>
      </c>
    </row>
    <row r="29" spans="1:61" ht="14.65" customHeight="1">
      <c r="Q29" s="227"/>
      <c r="R29" s="311"/>
      <c r="S29" s="2115" t="str">
        <f>IF(org=0,"Не определено",org)</f>
        <v>ООО "ЗЕНИТ ЭНЕРГО"</v>
      </c>
      <c r="T29" s="2115"/>
      <c r="U29" s="2115"/>
      <c r="V29" s="2115"/>
      <c r="W29" s="2115"/>
      <c r="X29" s="2115"/>
      <c r="Y29" s="2115"/>
      <c r="Z29" s="2115"/>
      <c r="AA29" s="2115"/>
      <c r="AB29" s="2115"/>
      <c r="AC29" s="2115"/>
      <c r="AD29" s="2115"/>
      <c r="AE29" s="2115"/>
      <c r="AF29" s="2115"/>
      <c r="AG29" s="2115"/>
      <c r="AH29" s="2115"/>
      <c r="AI29" s="2115"/>
      <c r="AJ29" s="2115"/>
      <c r="AK29" s="2115"/>
      <c r="AL29" s="2115"/>
      <c r="AM29" s="2115"/>
      <c r="AN29" s="2115"/>
      <c r="AO29" s="2115"/>
      <c r="AP29" s="2115"/>
      <c r="AQ29" s="2115"/>
      <c r="AR29" s="2115"/>
      <c r="AS29" s="2115"/>
      <c r="AT29" s="2115"/>
      <c r="AU29" s="2115"/>
      <c r="AV29" s="2115"/>
      <c r="AW29" s="2115"/>
      <c r="AX29" s="2115"/>
      <c r="AY29" s="2115"/>
      <c r="AZ29" s="2115"/>
      <c r="BA29" s="1168"/>
      <c r="BI29" s="1080">
        <v>14</v>
      </c>
    </row>
    <row r="30" spans="1:61" ht="14.25" hidden="1" customHeight="1">
      <c r="Q30" s="227"/>
      <c r="R30" s="311"/>
      <c r="S30" s="1200"/>
      <c r="T30" s="298"/>
      <c r="U30" s="298"/>
      <c r="V30" s="258"/>
      <c r="W30" s="258"/>
      <c r="X30" s="258"/>
      <c r="Y30" s="258"/>
      <c r="Z30" s="258"/>
      <c r="AA30" s="258"/>
      <c r="AB30" s="258"/>
      <c r="AC30" s="258"/>
      <c r="AD30" s="258"/>
      <c r="AE30" s="258"/>
      <c r="AF30" s="258"/>
      <c r="AG30" s="258"/>
      <c r="AH30" s="258"/>
      <c r="AI30" s="258"/>
      <c r="AJ30" s="258"/>
      <c r="AK30" s="258"/>
      <c r="AL30" s="258"/>
      <c r="AM30" s="258"/>
      <c r="AN30" s="258"/>
      <c r="AO30" s="258"/>
      <c r="AP30" s="258"/>
      <c r="AQ30" s="258"/>
      <c r="AR30" s="258"/>
      <c r="AS30" s="258"/>
      <c r="AT30" s="258"/>
      <c r="AU30" s="258"/>
      <c r="AV30" s="258"/>
      <c r="AW30" s="258"/>
      <c r="AX30" s="258"/>
      <c r="AY30" s="258"/>
      <c r="AZ30" s="258"/>
      <c r="BA30" s="258"/>
      <c r="BB30" s="444"/>
      <c r="BI30" s="1080">
        <v>0</v>
      </c>
    </row>
    <row r="31" spans="1:61" s="1777" customFormat="1" ht="25.5" hidden="1" customHeight="1">
      <c r="A31" s="1293"/>
      <c r="B31" s="1293"/>
      <c r="C31" s="1293"/>
      <c r="D31" s="1293"/>
      <c r="E31" s="1293"/>
      <c r="F31" s="1293"/>
      <c r="G31" s="1293"/>
      <c r="H31" s="1293"/>
      <c r="I31" s="1293"/>
      <c r="J31" s="1293"/>
      <c r="K31" s="1293"/>
      <c r="L31" s="1294"/>
      <c r="M31" s="1293"/>
      <c r="N31" s="1293"/>
      <c r="O31" s="1293"/>
      <c r="P31" s="1293"/>
      <c r="Q31" s="1293"/>
      <c r="S31" s="2178" t="s">
        <v>42</v>
      </c>
      <c r="T31" s="2178"/>
      <c r="U31" s="1297"/>
      <c r="V31" s="2179" t="str">
        <f>IF(TITLE_NAME_OR_PR_CHANGE="",IF(TITLE_NAME_OR_PR="","",TITLE_NAME_OR_PR),TITLE_NAME_OR_PR_CHANGE)</f>
        <v/>
      </c>
      <c r="W31" s="2179"/>
      <c r="X31" s="2179"/>
      <c r="Y31" s="2179"/>
      <c r="Z31" s="2179"/>
      <c r="AA31" s="2179"/>
      <c r="AB31" s="2179"/>
      <c r="AC31" s="262"/>
      <c r="AD31" s="2179" t="str">
        <f>IF(TITLE_NAME_OR_PR_CHANGE="",IF(TITLE_NAME_OR_PR="","",TITLE_NAME_OR_PR),TITLE_NAME_OR_PR_CHANGE)</f>
        <v/>
      </c>
      <c r="AE31" s="2179"/>
      <c r="AF31" s="2179"/>
      <c r="AG31" s="2179"/>
      <c r="AH31" s="2179"/>
      <c r="AI31" s="2179"/>
      <c r="AJ31" s="2179"/>
      <c r="AK31" s="2179"/>
      <c r="AL31" s="2179"/>
      <c r="AM31" s="2179"/>
      <c r="AN31" s="2179"/>
      <c r="AO31" s="2179"/>
      <c r="AP31" s="2179"/>
      <c r="AQ31" s="2179"/>
      <c r="AR31" s="2179"/>
      <c r="AS31" s="2179"/>
      <c r="AT31" s="2179"/>
      <c r="AU31" s="2179"/>
      <c r="AV31" s="2179"/>
      <c r="AW31" s="2179"/>
      <c r="AX31" s="2179"/>
      <c r="AY31" s="2179"/>
      <c r="AZ31" s="2179"/>
      <c r="BA31" s="262"/>
      <c r="BB31" s="262"/>
      <c r="BC31" s="216"/>
      <c r="BD31" s="303"/>
      <c r="BE31" s="303"/>
      <c r="BF31" s="303"/>
      <c r="BG31" s="303"/>
      <c r="BH31" s="303"/>
      <c r="BI31" s="353">
        <v>0</v>
      </c>
    </row>
    <row r="32" spans="1:61" s="1777" customFormat="1" ht="18.75" hidden="1" customHeight="1">
      <c r="A32" s="1293"/>
      <c r="B32" s="1293"/>
      <c r="C32" s="1293"/>
      <c r="D32" s="1293"/>
      <c r="E32" s="1293"/>
      <c r="F32" s="1293"/>
      <c r="G32" s="1293"/>
      <c r="H32" s="1293"/>
      <c r="I32" s="1293"/>
      <c r="J32" s="1293"/>
      <c r="K32" s="1293"/>
      <c r="L32" s="1294"/>
      <c r="M32" s="1293"/>
      <c r="N32" s="1293"/>
      <c r="O32" s="1293"/>
      <c r="P32" s="1293"/>
      <c r="Q32" s="1293"/>
      <c r="S32" s="2178" t="s">
        <v>422</v>
      </c>
      <c r="T32" s="2178"/>
      <c r="U32" s="1297"/>
      <c r="V32" s="2188" t="str">
        <f>IF(TITLE_DATE_PR_CHANGE="",IF(TITLE_DATE_PR="","",TITLE_DATE_PR),TITLE_DATE_PR_CHANGE)</f>
        <v/>
      </c>
      <c r="W32" s="2188"/>
      <c r="X32" s="2188"/>
      <c r="Y32" s="2188"/>
      <c r="Z32" s="2188"/>
      <c r="AA32" s="2188"/>
      <c r="AB32" s="2188"/>
      <c r="AC32" s="262"/>
      <c r="AD32" s="2188" t="str">
        <f>IF(TITLE_DATE_PR_CHANGE="",IF(TITLE_DATE_PR="","",TITLE_DATE_PR),TITLE_DATE_PR_CHANGE)</f>
        <v/>
      </c>
      <c r="AE32" s="2188"/>
      <c r="AF32" s="2188"/>
      <c r="AG32" s="2188"/>
      <c r="AH32" s="2188"/>
      <c r="AI32" s="2188"/>
      <c r="AJ32" s="2188"/>
      <c r="AK32" s="2188"/>
      <c r="AL32" s="2188"/>
      <c r="AM32" s="2188"/>
      <c r="AN32" s="2188"/>
      <c r="AO32" s="2188"/>
      <c r="AP32" s="2188"/>
      <c r="AQ32" s="2188"/>
      <c r="AR32" s="2188"/>
      <c r="AS32" s="2188"/>
      <c r="AT32" s="2188"/>
      <c r="AU32" s="2188"/>
      <c r="AV32" s="2188"/>
      <c r="AW32" s="2188"/>
      <c r="AX32" s="2188"/>
      <c r="AY32" s="2188"/>
      <c r="AZ32" s="2188"/>
      <c r="BA32" s="262"/>
      <c r="BB32" s="262"/>
      <c r="BC32" s="216"/>
      <c r="BD32" s="303"/>
      <c r="BE32" s="303"/>
      <c r="BF32" s="303"/>
      <c r="BG32" s="303"/>
      <c r="BH32" s="303"/>
      <c r="BI32" s="353">
        <v>0</v>
      </c>
    </row>
    <row r="33" spans="1:61" s="1777" customFormat="1" ht="18.75" hidden="1" customHeight="1">
      <c r="A33" s="1293"/>
      <c r="B33" s="1293"/>
      <c r="C33" s="1293"/>
      <c r="D33" s="1293"/>
      <c r="E33" s="1293"/>
      <c r="F33" s="1293"/>
      <c r="G33" s="1293"/>
      <c r="H33" s="1293"/>
      <c r="I33" s="1293"/>
      <c r="J33" s="1293"/>
      <c r="K33" s="1293"/>
      <c r="L33" s="1294"/>
      <c r="M33" s="1293"/>
      <c r="N33" s="1293"/>
      <c r="O33" s="1293"/>
      <c r="P33" s="1293"/>
      <c r="Q33" s="1293"/>
      <c r="S33" s="2178" t="s">
        <v>423</v>
      </c>
      <c r="T33" s="2178"/>
      <c r="U33" s="1297"/>
      <c r="V33" s="2179" t="str">
        <f>IF(TITLE_NUMBER_PR_CHANGE="",IF(TITLE_NUMBER_PR="","",TITLE_NUMBER_PR),TITLE_NUMBER_PR_CHANGE)</f>
        <v/>
      </c>
      <c r="W33" s="2179"/>
      <c r="X33" s="2179"/>
      <c r="Y33" s="2179"/>
      <c r="Z33" s="2179"/>
      <c r="AA33" s="2179"/>
      <c r="AB33" s="2179"/>
      <c r="AC33" s="262"/>
      <c r="AD33" s="2179" t="str">
        <f>IF(TITLE_NUMBER_PR_CHANGE="",IF(TITLE_NUMBER_PR="","",TITLE_NUMBER_PR),TITLE_NUMBER_PR_CHANGE)</f>
        <v/>
      </c>
      <c r="AE33" s="2179"/>
      <c r="AF33" s="2179"/>
      <c r="AG33" s="2179"/>
      <c r="AH33" s="2179"/>
      <c r="AI33" s="2179"/>
      <c r="AJ33" s="2179"/>
      <c r="AK33" s="2179"/>
      <c r="AL33" s="2179"/>
      <c r="AM33" s="2179"/>
      <c r="AN33" s="2179"/>
      <c r="AO33" s="2179"/>
      <c r="AP33" s="2179"/>
      <c r="AQ33" s="2179"/>
      <c r="AR33" s="2179"/>
      <c r="AS33" s="2179"/>
      <c r="AT33" s="2179"/>
      <c r="AU33" s="2179"/>
      <c r="AV33" s="2179"/>
      <c r="AW33" s="2179"/>
      <c r="AX33" s="2179"/>
      <c r="AY33" s="2179"/>
      <c r="AZ33" s="2179"/>
      <c r="BA33" s="262"/>
      <c r="BB33" s="262"/>
      <c r="BC33" s="216"/>
      <c r="BD33" s="303"/>
      <c r="BE33" s="303"/>
      <c r="BF33" s="303"/>
      <c r="BG33" s="303"/>
      <c r="BH33" s="303"/>
      <c r="BI33" s="353">
        <v>0</v>
      </c>
    </row>
    <row r="34" spans="1:61" s="1777" customFormat="1" ht="18.75" hidden="1" customHeight="1">
      <c r="A34" s="1293"/>
      <c r="B34" s="1293"/>
      <c r="C34" s="1293"/>
      <c r="D34" s="1293"/>
      <c r="E34" s="1293"/>
      <c r="F34" s="1293"/>
      <c r="G34" s="1293"/>
      <c r="H34" s="1293"/>
      <c r="I34" s="1293"/>
      <c r="J34" s="1293"/>
      <c r="K34" s="1293"/>
      <c r="L34" s="1294"/>
      <c r="M34" s="1293"/>
      <c r="N34" s="1293"/>
      <c r="O34" s="1293"/>
      <c r="P34" s="1293"/>
      <c r="Q34" s="1293"/>
      <c r="S34" s="2178" t="s">
        <v>43</v>
      </c>
      <c r="T34" s="2178"/>
      <c r="U34" s="1297"/>
      <c r="V34" s="2179" t="str">
        <f>IF(TITLE_IST_PUB_CHANGE="",IF(TITLE_IST_PUB="","",TITLE_IST_PUB),TITLE_IST_PUB_CHANGE)</f>
        <v/>
      </c>
      <c r="W34" s="2179"/>
      <c r="X34" s="2179"/>
      <c r="Y34" s="2179"/>
      <c r="Z34" s="2179"/>
      <c r="AA34" s="2179"/>
      <c r="AB34" s="2179"/>
      <c r="AC34" s="262"/>
      <c r="AD34" s="2179" t="str">
        <f>IF(TITLE_IST_PUB_CHANGE="",IF(TITLE_IST_PUB="","",TITLE_IST_PUB),TITLE_IST_PUB_CHANGE)</f>
        <v/>
      </c>
      <c r="AE34" s="2179"/>
      <c r="AF34" s="2179"/>
      <c r="AG34" s="2179"/>
      <c r="AH34" s="2179"/>
      <c r="AI34" s="2179"/>
      <c r="AJ34" s="2179"/>
      <c r="AK34" s="2179"/>
      <c r="AL34" s="2179"/>
      <c r="AM34" s="2179"/>
      <c r="AN34" s="2179"/>
      <c r="AO34" s="2179"/>
      <c r="AP34" s="2179"/>
      <c r="AQ34" s="2179"/>
      <c r="AR34" s="2179"/>
      <c r="AS34" s="2179"/>
      <c r="AT34" s="2179"/>
      <c r="AU34" s="2179"/>
      <c r="AV34" s="2179"/>
      <c r="AW34" s="2179"/>
      <c r="AX34" s="2179"/>
      <c r="AY34" s="2179"/>
      <c r="AZ34" s="2179"/>
      <c r="BA34" s="262"/>
      <c r="BB34" s="262"/>
      <c r="BC34" s="216"/>
      <c r="BD34" s="303"/>
      <c r="BE34" s="303"/>
      <c r="BF34" s="303"/>
      <c r="BG34" s="303"/>
      <c r="BH34" s="303"/>
      <c r="BI34" s="353">
        <v>0</v>
      </c>
    </row>
    <row r="35" spans="1:61" ht="14.25" hidden="1" customHeight="1">
      <c r="Q35" s="227"/>
      <c r="R35" s="311"/>
      <c r="S35" s="1200"/>
      <c r="T35" s="298"/>
      <c r="U35" s="298"/>
      <c r="V35" s="258"/>
      <c r="W35" s="258"/>
      <c r="X35" s="258"/>
      <c r="Y35" s="258"/>
      <c r="Z35" s="258"/>
      <c r="AA35" s="258"/>
      <c r="AB35" s="258"/>
      <c r="AC35" s="258"/>
      <c r="AD35" s="258"/>
      <c r="AE35" s="258"/>
      <c r="AF35" s="258"/>
      <c r="AG35" s="258"/>
      <c r="AH35" s="258"/>
      <c r="AI35" s="258"/>
      <c r="AJ35" s="258"/>
      <c r="AK35" s="258"/>
      <c r="AL35" s="258"/>
      <c r="AM35" s="258"/>
      <c r="AN35" s="258"/>
      <c r="AO35" s="258"/>
      <c r="AP35" s="258"/>
      <c r="AQ35" s="258"/>
      <c r="AR35" s="258"/>
      <c r="AS35" s="258"/>
      <c r="AT35" s="258"/>
      <c r="AU35" s="258"/>
      <c r="AV35" s="258"/>
      <c r="AW35" s="258"/>
      <c r="AX35" s="258"/>
      <c r="AY35" s="258"/>
      <c r="AZ35" s="258"/>
      <c r="BA35" s="258"/>
      <c r="BB35" s="444"/>
      <c r="BI35" s="1080">
        <v>0</v>
      </c>
    </row>
    <row r="36" spans="1:61" s="1777" customFormat="1" ht="18.75" hidden="1" customHeight="1">
      <c r="A36" s="1293"/>
      <c r="B36" s="1293"/>
      <c r="C36" s="1293"/>
      <c r="D36" s="1293"/>
      <c r="E36" s="1293"/>
      <c r="F36" s="1293"/>
      <c r="G36" s="1293"/>
      <c r="H36" s="1293"/>
      <c r="I36" s="1293"/>
      <c r="J36" s="1293"/>
      <c r="K36" s="1293"/>
      <c r="L36" s="1294"/>
      <c r="M36" s="1293"/>
      <c r="N36" s="1293"/>
      <c r="O36" s="1293"/>
      <c r="P36" s="1293"/>
      <c r="Q36" s="1293"/>
      <c r="S36" s="2178" t="s">
        <v>422</v>
      </c>
      <c r="T36" s="2178"/>
      <c r="U36" s="1297"/>
      <c r="V36" s="2188" t="str">
        <f>IF(TITLE_DATE_PR_CHANGE="",IF(TITLE_DATE_PR="","",TITLE_DATE_PR),TITLE_DATE_PR_CHANGE)</f>
        <v/>
      </c>
      <c r="W36" s="2188"/>
      <c r="X36" s="2188"/>
      <c r="Y36" s="2188"/>
      <c r="Z36" s="2188"/>
      <c r="AA36" s="2188"/>
      <c r="AB36" s="2188"/>
      <c r="AC36" s="262"/>
      <c r="AD36" s="2188" t="str">
        <f>IF(TITLE_DATE_PR_CHANGE="",IF(TITLE_DATE_PR="","",TITLE_DATE_PR),TITLE_DATE_PR_CHANGE)</f>
        <v/>
      </c>
      <c r="AE36" s="2188"/>
      <c r="AF36" s="2188"/>
      <c r="AG36" s="2188"/>
      <c r="AH36" s="2188"/>
      <c r="AI36" s="2188"/>
      <c r="AJ36" s="2188"/>
      <c r="AK36" s="2188"/>
      <c r="AL36" s="2188"/>
      <c r="AM36" s="2188"/>
      <c r="AN36" s="2188"/>
      <c r="AO36" s="2188"/>
      <c r="AP36" s="2188"/>
      <c r="AQ36" s="2188"/>
      <c r="AR36" s="2188"/>
      <c r="AS36" s="2188"/>
      <c r="AT36" s="2188"/>
      <c r="AU36" s="2188"/>
      <c r="AV36" s="2188"/>
      <c r="AW36" s="2188"/>
      <c r="AX36" s="2188"/>
      <c r="AY36" s="2188"/>
      <c r="AZ36" s="2188"/>
      <c r="BA36" s="262"/>
      <c r="BB36" s="262"/>
      <c r="BC36" s="216"/>
      <c r="BD36" s="303"/>
      <c r="BE36" s="303"/>
      <c r="BF36" s="303"/>
      <c r="BG36" s="303"/>
      <c r="BH36" s="303"/>
      <c r="BI36" s="353">
        <v>0</v>
      </c>
    </row>
    <row r="37" spans="1:61" s="1777" customFormat="1" ht="18.75" hidden="1" customHeight="1">
      <c r="A37" s="1293"/>
      <c r="B37" s="1293"/>
      <c r="C37" s="1293"/>
      <c r="D37" s="1293"/>
      <c r="E37" s="1293"/>
      <c r="F37" s="1293"/>
      <c r="G37" s="1293"/>
      <c r="H37" s="1293"/>
      <c r="I37" s="1293"/>
      <c r="J37" s="1293"/>
      <c r="K37" s="1293"/>
      <c r="L37" s="1294"/>
      <c r="M37" s="1293"/>
      <c r="N37" s="1293"/>
      <c r="O37" s="1293"/>
      <c r="P37" s="1293"/>
      <c r="Q37" s="1293"/>
      <c r="S37" s="2178" t="s">
        <v>423</v>
      </c>
      <c r="T37" s="2178"/>
      <c r="U37" s="1297"/>
      <c r="V37" s="2179" t="str">
        <f>IF(TITLE_NUMBER_PR_CHANGE="",IF(TITLE_NUMBER_PR="","",TITLE_NUMBER_PR),TITLE_NUMBER_PR_CHANGE)</f>
        <v/>
      </c>
      <c r="W37" s="2179"/>
      <c r="X37" s="2179"/>
      <c r="Y37" s="2179"/>
      <c r="Z37" s="2179"/>
      <c r="AA37" s="2179"/>
      <c r="AB37" s="2179"/>
      <c r="AC37" s="262"/>
      <c r="AD37" s="2179" t="str">
        <f>IF(TITLE_NUMBER_PR_CHANGE="",IF(TITLE_NUMBER_PR="","",TITLE_NUMBER_PR),TITLE_NUMBER_PR_CHANGE)</f>
        <v/>
      </c>
      <c r="AE37" s="2179"/>
      <c r="AF37" s="2179"/>
      <c r="AG37" s="2179"/>
      <c r="AH37" s="2179"/>
      <c r="AI37" s="2179"/>
      <c r="AJ37" s="2179"/>
      <c r="AK37" s="2179"/>
      <c r="AL37" s="2179"/>
      <c r="AM37" s="2179"/>
      <c r="AN37" s="2179"/>
      <c r="AO37" s="2179"/>
      <c r="AP37" s="2179"/>
      <c r="AQ37" s="2179"/>
      <c r="AR37" s="2179"/>
      <c r="AS37" s="2179"/>
      <c r="AT37" s="2179"/>
      <c r="AU37" s="2179"/>
      <c r="AV37" s="2179"/>
      <c r="AW37" s="2179"/>
      <c r="AX37" s="2179"/>
      <c r="AY37" s="2179"/>
      <c r="AZ37" s="2179"/>
      <c r="BA37" s="262"/>
      <c r="BB37" s="262"/>
      <c r="BC37" s="216"/>
      <c r="BD37" s="303"/>
      <c r="BE37" s="303"/>
      <c r="BF37" s="303"/>
      <c r="BG37" s="303"/>
      <c r="BH37" s="303"/>
      <c r="BI37" s="353">
        <v>0</v>
      </c>
    </row>
    <row r="38" spans="1:61" s="1777" customFormat="1" ht="0" hidden="1" customHeight="1">
      <c r="A38" s="1293"/>
      <c r="B38" s="1293"/>
      <c r="C38" s="1293"/>
      <c r="D38" s="1293"/>
      <c r="E38" s="1293"/>
      <c r="F38" s="1293"/>
      <c r="G38" s="1293"/>
      <c r="H38" s="1293"/>
      <c r="I38" s="1293"/>
      <c r="J38" s="1293"/>
      <c r="K38" s="1293"/>
      <c r="L38" s="1294"/>
      <c r="M38" s="1293"/>
      <c r="N38" s="1293"/>
      <c r="O38" s="1293"/>
      <c r="P38" s="1293"/>
      <c r="Q38" s="1293"/>
      <c r="S38" s="259"/>
      <c r="T38" s="259"/>
      <c r="U38" s="1379"/>
      <c r="V38" s="262"/>
      <c r="W38" s="262"/>
      <c r="X38" s="262"/>
      <c r="Y38" s="262"/>
      <c r="Z38" s="262"/>
      <c r="AA38" s="262"/>
      <c r="AB38" s="262"/>
      <c r="AC38" s="214" t="s">
        <v>426</v>
      </c>
      <c r="AD38" s="262"/>
      <c r="AE38" s="262"/>
      <c r="AF38" s="262"/>
      <c r="AG38" s="262"/>
      <c r="AH38" s="262"/>
      <c r="AI38" s="262"/>
      <c r="AJ38" s="262"/>
      <c r="AK38" s="262"/>
      <c r="AL38" s="262"/>
      <c r="AM38" s="262"/>
      <c r="AN38" s="262"/>
      <c r="AO38" s="262"/>
      <c r="AP38" s="262"/>
      <c r="AQ38" s="262"/>
      <c r="AR38" s="262"/>
      <c r="AS38" s="262"/>
      <c r="AT38" s="262"/>
      <c r="AU38" s="262"/>
      <c r="AV38" s="262"/>
      <c r="AW38" s="262"/>
      <c r="AX38" s="262"/>
      <c r="AY38" s="262"/>
      <c r="AZ38" s="262"/>
      <c r="BA38" s="214" t="s">
        <v>426</v>
      </c>
      <c r="BD38" s="303"/>
      <c r="BE38" s="303"/>
      <c r="BF38" s="303"/>
      <c r="BG38" s="303"/>
      <c r="BH38" s="303"/>
      <c r="BI38" s="353">
        <v>0</v>
      </c>
    </row>
    <row r="39" spans="1:61" ht="14.65" customHeight="1">
      <c r="Q39" s="227"/>
      <c r="R39" s="311"/>
      <c r="S39" s="1200"/>
      <c r="T39" s="298"/>
      <c r="U39" s="1169"/>
      <c r="V39" s="2180"/>
      <c r="W39" s="2180"/>
      <c r="X39" s="2180"/>
      <c r="Y39" s="2180"/>
      <c r="Z39" s="2180"/>
      <c r="AA39" s="2180"/>
      <c r="AB39" s="2180"/>
      <c r="AC39" s="2180"/>
      <c r="AD39" s="2180"/>
      <c r="AE39" s="2180"/>
      <c r="AF39" s="2180"/>
      <c r="AG39" s="2180"/>
      <c r="AH39" s="2180"/>
      <c r="AI39" s="2180"/>
      <c r="AJ39" s="2180"/>
      <c r="AK39" s="2180"/>
      <c r="AL39" s="2180"/>
      <c r="AM39" s="2180"/>
      <c r="AN39" s="2180"/>
      <c r="AO39" s="2180"/>
      <c r="AP39" s="2180"/>
      <c r="AQ39" s="2180"/>
      <c r="AR39" s="2180"/>
      <c r="AS39" s="2180"/>
      <c r="AT39" s="2180"/>
      <c r="AU39" s="2180"/>
      <c r="AV39" s="2180"/>
      <c r="AW39" s="2180"/>
      <c r="AX39" s="2180"/>
      <c r="AY39" s="2180"/>
      <c r="AZ39" s="2180"/>
      <c r="BA39" s="2180"/>
      <c r="BI39" s="1080">
        <v>14</v>
      </c>
    </row>
    <row r="40" spans="1:61" ht="14.65" customHeight="1">
      <c r="Q40" s="227"/>
      <c r="R40" s="311"/>
      <c r="S40" s="2066" t="s">
        <v>299</v>
      </c>
      <c r="T40" s="2066"/>
      <c r="U40" s="2066"/>
      <c r="V40" s="2066"/>
      <c r="W40" s="2066"/>
      <c r="X40" s="2066"/>
      <c r="Y40" s="2066"/>
      <c r="Z40" s="2066"/>
      <c r="AA40" s="2066"/>
      <c r="AB40" s="2066"/>
      <c r="AC40" s="2066"/>
      <c r="AD40" s="2066"/>
      <c r="AE40" s="2066"/>
      <c r="AF40" s="2066"/>
      <c r="AG40" s="2066"/>
      <c r="AH40" s="2066"/>
      <c r="AI40" s="2066"/>
      <c r="AJ40" s="2066"/>
      <c r="AK40" s="2066"/>
      <c r="AL40" s="2066"/>
      <c r="AM40" s="2066"/>
      <c r="AN40" s="2066"/>
      <c r="AO40" s="2066"/>
      <c r="AP40" s="2066"/>
      <c r="AQ40" s="2066"/>
      <c r="AR40" s="2066"/>
      <c r="AS40" s="2066"/>
      <c r="AT40" s="2066"/>
      <c r="AU40" s="2066"/>
      <c r="AV40" s="2066"/>
      <c r="AW40" s="2066"/>
      <c r="AX40" s="2066"/>
      <c r="AY40" s="2066"/>
      <c r="AZ40" s="2066"/>
      <c r="BA40" s="2066"/>
      <c r="BB40" s="2066"/>
      <c r="BC40" s="2066" t="s">
        <v>300</v>
      </c>
      <c r="BI40" s="1080">
        <v>14</v>
      </c>
    </row>
    <row r="41" spans="1:61" ht="14.65" customHeight="1">
      <c r="Q41" s="227"/>
      <c r="R41" s="311"/>
      <c r="S41" s="2194" t="s">
        <v>88</v>
      </c>
      <c r="T41" s="2145" t="s">
        <v>506</v>
      </c>
      <c r="U41" s="237"/>
      <c r="V41" s="2195" t="s">
        <v>428</v>
      </c>
      <c r="W41" s="2196"/>
      <c r="X41" s="2196"/>
      <c r="Y41" s="2196"/>
      <c r="Z41" s="2196"/>
      <c r="AA41" s="2196"/>
      <c r="AB41" s="2197"/>
      <c r="AC41" s="2198" t="s">
        <v>429</v>
      </c>
      <c r="AD41" s="2231" t="s">
        <v>507</v>
      </c>
      <c r="AE41" s="2212"/>
      <c r="AF41" s="2212"/>
      <c r="AG41" s="2232"/>
      <c r="AH41" s="2231" t="s">
        <v>508</v>
      </c>
      <c r="AI41" s="2212"/>
      <c r="AJ41" s="2212"/>
      <c r="AK41" s="2232"/>
      <c r="AL41" s="2231" t="s">
        <v>509</v>
      </c>
      <c r="AM41" s="2212"/>
      <c r="AN41" s="2212"/>
      <c r="AO41" s="2232"/>
      <c r="AP41" s="2231" t="s">
        <v>510</v>
      </c>
      <c r="AQ41" s="2212"/>
      <c r="AR41" s="2212"/>
      <c r="AS41" s="2232"/>
      <c r="AT41" s="2195" t="s">
        <v>428</v>
      </c>
      <c r="AU41" s="2196"/>
      <c r="AV41" s="2196"/>
      <c r="AW41" s="2196"/>
      <c r="AX41" s="2196"/>
      <c r="AY41" s="2196"/>
      <c r="AZ41" s="2197"/>
      <c r="BA41" s="2198" t="s">
        <v>429</v>
      </c>
      <c r="BB41" s="2201" t="s">
        <v>431</v>
      </c>
      <c r="BC41" s="2066"/>
      <c r="BI41" s="1080">
        <v>14</v>
      </c>
    </row>
    <row r="42" spans="1:61" ht="35.65" customHeight="1">
      <c r="Q42" s="227"/>
      <c r="R42" s="311"/>
      <c r="S42" s="2194"/>
      <c r="T42" s="2145"/>
      <c r="U42" s="959"/>
      <c r="V42" s="2131" t="s">
        <v>511</v>
      </c>
      <c r="W42" s="2132"/>
      <c r="X42" s="2131" t="s">
        <v>512</v>
      </c>
      <c r="Y42" s="2132"/>
      <c r="Z42" s="2131" t="s">
        <v>513</v>
      </c>
      <c r="AA42" s="2226"/>
      <c r="AB42" s="2132"/>
      <c r="AC42" s="2199"/>
      <c r="AD42" s="2233"/>
      <c r="AE42" s="2234"/>
      <c r="AF42" s="2234"/>
      <c r="AG42" s="2235"/>
      <c r="AH42" s="2233"/>
      <c r="AI42" s="2234"/>
      <c r="AJ42" s="2234"/>
      <c r="AK42" s="2235"/>
      <c r="AL42" s="2233"/>
      <c r="AM42" s="2234"/>
      <c r="AN42" s="2234"/>
      <c r="AO42" s="2235"/>
      <c r="AP42" s="2233"/>
      <c r="AQ42" s="2234"/>
      <c r="AR42" s="2234"/>
      <c r="AS42" s="2235"/>
      <c r="AT42" s="2131" t="s">
        <v>511</v>
      </c>
      <c r="AU42" s="2132"/>
      <c r="AV42" s="2131" t="s">
        <v>512</v>
      </c>
      <c r="AW42" s="2132"/>
      <c r="AX42" s="2131" t="s">
        <v>513</v>
      </c>
      <c r="AY42" s="2226"/>
      <c r="AZ42" s="2132"/>
      <c r="BA42" s="2199"/>
      <c r="BB42" s="2202"/>
      <c r="BC42" s="2066"/>
      <c r="BI42" s="1080">
        <v>34</v>
      </c>
    </row>
    <row r="43" spans="1:61" ht="14.65" customHeight="1">
      <c r="Q43" s="227"/>
      <c r="R43" s="311"/>
      <c r="S43" s="2194"/>
      <c r="T43" s="2145"/>
      <c r="U43" s="959"/>
      <c r="V43" s="2136"/>
      <c r="W43" s="2137"/>
      <c r="X43" s="2136"/>
      <c r="Y43" s="2137"/>
      <c r="Z43" s="2136"/>
      <c r="AA43" s="2227"/>
      <c r="AB43" s="2137"/>
      <c r="AC43" s="2199"/>
      <c r="AD43" s="2233"/>
      <c r="AE43" s="2234"/>
      <c r="AF43" s="2234"/>
      <c r="AG43" s="2235"/>
      <c r="AH43" s="2233"/>
      <c r="AI43" s="2234"/>
      <c r="AJ43" s="2234"/>
      <c r="AK43" s="2235"/>
      <c r="AL43" s="2233"/>
      <c r="AM43" s="2234"/>
      <c r="AN43" s="2234"/>
      <c r="AO43" s="2235"/>
      <c r="AP43" s="2233"/>
      <c r="AQ43" s="2234"/>
      <c r="AR43" s="2234"/>
      <c r="AS43" s="2235"/>
      <c r="AT43" s="2136"/>
      <c r="AU43" s="2137"/>
      <c r="AV43" s="2136"/>
      <c r="AW43" s="2137"/>
      <c r="AX43" s="2136"/>
      <c r="AY43" s="2227"/>
      <c r="AZ43" s="2137"/>
      <c r="BA43" s="2199"/>
      <c r="BB43" s="2202"/>
      <c r="BC43" s="2066"/>
      <c r="BI43" s="1080">
        <v>14</v>
      </c>
    </row>
    <row r="44" spans="1:61" ht="14.65" customHeight="1">
      <c r="A44" s="1295"/>
      <c r="B44" s="1295" t="s">
        <v>136</v>
      </c>
      <c r="C44" s="1295" t="s">
        <v>137</v>
      </c>
      <c r="D44" s="1295" t="s">
        <v>138</v>
      </c>
      <c r="E44" s="1289" t="s">
        <v>436</v>
      </c>
      <c r="F44" s="1289" t="s">
        <v>437</v>
      </c>
      <c r="G44" s="1289" t="s">
        <v>438</v>
      </c>
      <c r="H44" s="1289" t="s">
        <v>439</v>
      </c>
      <c r="I44" s="1289" t="s">
        <v>440</v>
      </c>
      <c r="J44" s="1289" t="s">
        <v>441</v>
      </c>
      <c r="K44" s="1289" t="s">
        <v>442</v>
      </c>
      <c r="L44" s="1289" t="s">
        <v>417</v>
      </c>
      <c r="Q44" s="227"/>
      <c r="R44" s="311"/>
      <c r="S44" s="2194"/>
      <c r="T44" s="2145"/>
      <c r="U44" s="238"/>
      <c r="V44" s="1373" t="s">
        <v>477</v>
      </c>
      <c r="W44" s="1373" t="s">
        <v>478</v>
      </c>
      <c r="X44" s="1373" t="s">
        <v>477</v>
      </c>
      <c r="Y44" s="1373" t="s">
        <v>478</v>
      </c>
      <c r="Z44" s="1380" t="s">
        <v>445</v>
      </c>
      <c r="AA44" s="2154" t="s">
        <v>446</v>
      </c>
      <c r="AB44" s="2156"/>
      <c r="AC44" s="2200"/>
      <c r="AD44" s="2236"/>
      <c r="AE44" s="2237"/>
      <c r="AF44" s="2237"/>
      <c r="AG44" s="2238"/>
      <c r="AH44" s="2236"/>
      <c r="AI44" s="2237"/>
      <c r="AJ44" s="2237"/>
      <c r="AK44" s="2238"/>
      <c r="AL44" s="2236"/>
      <c r="AM44" s="2237"/>
      <c r="AN44" s="2237"/>
      <c r="AO44" s="2238"/>
      <c r="AP44" s="2236"/>
      <c r="AQ44" s="2237"/>
      <c r="AR44" s="2237"/>
      <c r="AS44" s="2238"/>
      <c r="AT44" s="1373" t="s">
        <v>477</v>
      </c>
      <c r="AU44" s="1373" t="s">
        <v>478</v>
      </c>
      <c r="AV44" s="1373" t="s">
        <v>477</v>
      </c>
      <c r="AW44" s="1373" t="s">
        <v>478</v>
      </c>
      <c r="AX44" s="1380" t="s">
        <v>445</v>
      </c>
      <c r="AY44" s="2154" t="s">
        <v>446</v>
      </c>
      <c r="AZ44" s="2156"/>
      <c r="BA44" s="2200"/>
      <c r="BB44" s="2203"/>
      <c r="BC44" s="2066"/>
      <c r="BI44" s="1080">
        <v>14</v>
      </c>
    </row>
    <row r="45" spans="1:61" s="1566" customFormat="1" ht="11.25" hidden="1" customHeight="1">
      <c r="A45" s="1295"/>
      <c r="B45" s="1295"/>
      <c r="C45" s="1295"/>
      <c r="D45" s="1295"/>
      <c r="E45" s="1295"/>
      <c r="F45" s="1295"/>
      <c r="G45" s="1295"/>
      <c r="H45" s="1295"/>
      <c r="I45" s="1295"/>
      <c r="J45" s="1295"/>
      <c r="K45" s="1295"/>
      <c r="L45" s="1289"/>
      <c r="M45" s="1287"/>
      <c r="N45" s="1287"/>
      <c r="O45" s="1287"/>
      <c r="P45" s="445"/>
      <c r="Q45" s="1179"/>
      <c r="R45" s="1179">
        <v>1</v>
      </c>
      <c r="S45" s="1202" t="s">
        <v>109</v>
      </c>
      <c r="T45" s="1180" t="s">
        <v>110</v>
      </c>
      <c r="U45" s="1170" t="str">
        <f ca="1">OFFSET(U45,0,-1)</f>
        <v>2</v>
      </c>
      <c r="V45" s="1376">
        <f t="shared" ref="V45:AA45" ca="1" si="2">OFFSET(V45,0,-1)+1</f>
        <v>3</v>
      </c>
      <c r="W45" s="1376">
        <f t="shared" ca="1" si="2"/>
        <v>4</v>
      </c>
      <c r="X45" s="1376">
        <f t="shared" ca="1" si="2"/>
        <v>5</v>
      </c>
      <c r="Y45" s="1376">
        <f t="shared" ca="1" si="2"/>
        <v>6</v>
      </c>
      <c r="Z45" s="1376">
        <f t="shared" ca="1" si="2"/>
        <v>7</v>
      </c>
      <c r="AA45" s="2193">
        <f t="shared" ca="1" si="2"/>
        <v>8</v>
      </c>
      <c r="AB45" s="2193"/>
      <c r="AC45" s="1376">
        <f ca="1">OFFSET(AC45,0,-2)+1</f>
        <v>9</v>
      </c>
      <c r="AD45" s="1376">
        <f ca="1">OFFSET(AD45,0,-1)+1</f>
        <v>10</v>
      </c>
      <c r="AE45" s="1376"/>
      <c r="AF45" s="1376"/>
      <c r="AG45" s="1376"/>
      <c r="AH45" s="1376"/>
      <c r="AI45" s="1376"/>
      <c r="AJ45" s="1376"/>
      <c r="AK45" s="1376"/>
      <c r="AL45" s="1376"/>
      <c r="AM45" s="1376"/>
      <c r="AN45" s="1376"/>
      <c r="AO45" s="1376"/>
      <c r="AP45" s="1376"/>
      <c r="AQ45" s="1376"/>
      <c r="AR45" s="1376"/>
      <c r="AS45" s="1376"/>
      <c r="AT45" s="1376"/>
      <c r="AU45" s="1376"/>
      <c r="AV45" s="1376"/>
      <c r="AW45" s="1376">
        <f ca="1">OFFSET(AW45,0,-1)+1</f>
        <v>1</v>
      </c>
      <c r="AX45" s="1376">
        <f ca="1">OFFSET(AX45,0,-1)+1</f>
        <v>2</v>
      </c>
      <c r="AY45" s="2193">
        <f ca="1">OFFSET(AY45,0,-1)+1</f>
        <v>3</v>
      </c>
      <c r="AZ45" s="2193"/>
      <c r="BA45" s="1376">
        <f ca="1">OFFSET(BA45,0,-2)+1</f>
        <v>4</v>
      </c>
      <c r="BB45" s="1170">
        <f ca="1">OFFSET(BB45,0,-1)</f>
        <v>4</v>
      </c>
      <c r="BC45" s="1376">
        <f ca="1">OFFSET(BC45,0,-1)+1</f>
        <v>5</v>
      </c>
      <c r="BD45" s="446"/>
      <c r="BE45" s="446"/>
      <c r="BF45" s="446"/>
      <c r="BG45" s="446"/>
      <c r="BH45" s="446"/>
      <c r="BI45" s="431">
        <v>0</v>
      </c>
    </row>
    <row r="46" spans="1:61" ht="21.95" customHeight="1">
      <c r="A46" s="1288" t="s">
        <v>245</v>
      </c>
      <c r="B46" s="1288"/>
      <c r="C46" s="1288"/>
      <c r="D46" s="1288"/>
      <c r="E46" s="2186">
        <v>1</v>
      </c>
      <c r="F46" s="1288"/>
      <c r="G46" s="1288"/>
      <c r="H46" s="1288"/>
      <c r="I46" s="1288"/>
      <c r="J46" s="1288"/>
      <c r="K46" s="1288"/>
      <c r="L46" s="1289"/>
      <c r="M46" s="1290"/>
      <c r="N46" s="1290"/>
      <c r="O46" s="1290"/>
      <c r="P46" s="1334"/>
      <c r="Q46" s="802"/>
      <c r="R46" s="290"/>
      <c r="S46" s="1382">
        <f>INDEX(PT_DIFFERENTIATION_NUM_NTAR,MATCH(A46,PT_DIFFERENTIATION_NTAR_ID,0))</f>
        <v>0</v>
      </c>
      <c r="T46" s="234" t="s">
        <v>124</v>
      </c>
      <c r="U46" s="236"/>
      <c r="V46" s="2173"/>
      <c r="W46" s="2173"/>
      <c r="X46" s="2173"/>
      <c r="Y46" s="2173"/>
      <c r="Z46" s="2173"/>
      <c r="AA46" s="2173"/>
      <c r="AB46" s="2173"/>
      <c r="AC46" s="2174"/>
      <c r="AD46" s="2172" t="str">
        <f>INDEX(PT_DIFFERENTIATION_NTAR,MATCH(A46,PT_DIFFERENTIATION_NTAR_ID,0))</f>
        <v/>
      </c>
      <c r="AE46" s="2173"/>
      <c r="AF46" s="2173"/>
      <c r="AG46" s="2173"/>
      <c r="AH46" s="2173"/>
      <c r="AI46" s="2173"/>
      <c r="AJ46" s="2173"/>
      <c r="AK46" s="2173"/>
      <c r="AL46" s="2173"/>
      <c r="AM46" s="2173"/>
      <c r="AN46" s="2173"/>
      <c r="AO46" s="2173"/>
      <c r="AP46" s="2173"/>
      <c r="AQ46" s="2173"/>
      <c r="AR46" s="2173"/>
      <c r="AS46" s="2173"/>
      <c r="AT46" s="2173"/>
      <c r="AU46" s="2173"/>
      <c r="AV46" s="2173"/>
      <c r="AW46" s="2173"/>
      <c r="AX46" s="2173"/>
      <c r="AY46" s="2173"/>
      <c r="AZ46" s="2173"/>
      <c r="BA46" s="2173"/>
      <c r="BB46" s="2174"/>
      <c r="BC46" s="1183"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BE46" s="435"/>
      <c r="BF46" s="435" t="str">
        <f t="shared" ref="BF46:BF52" si="3">IF(T46="","",T46)</f>
        <v>Наименование тарифа</v>
      </c>
      <c r="BG46" s="435"/>
      <c r="BH46" s="435"/>
      <c r="BI46" s="1080">
        <v>21</v>
      </c>
    </row>
    <row r="47" spans="1:61" ht="21.95" customHeight="1">
      <c r="A47" s="1288" t="s">
        <v>245</v>
      </c>
      <c r="B47" s="1288" t="s">
        <v>246</v>
      </c>
      <c r="C47" s="1288"/>
      <c r="D47" s="1288"/>
      <c r="E47" s="2187"/>
      <c r="F47" s="2186">
        <v>1</v>
      </c>
      <c r="G47" s="1288"/>
      <c r="H47" s="1288"/>
      <c r="I47" s="1288"/>
      <c r="J47" s="1288"/>
      <c r="K47" s="1288"/>
      <c r="L47" s="1289"/>
      <c r="M47" s="1290"/>
      <c r="N47" s="1290"/>
      <c r="O47" s="1290"/>
      <c r="P47" s="1335"/>
      <c r="Q47" s="1336"/>
      <c r="R47" s="288"/>
      <c r="S47" s="1382" t="str">
        <f>INDEX(PT_DIFFERENTIATION_NUM_TER,MATCH(B47,PT_DIFFERENTIATION_TER_ID,0))</f>
        <v>.</v>
      </c>
      <c r="T47" s="244" t="s">
        <v>396</v>
      </c>
      <c r="U47" s="236"/>
      <c r="V47" s="2173"/>
      <c r="W47" s="2173"/>
      <c r="X47" s="2173"/>
      <c r="Y47" s="2173"/>
      <c r="Z47" s="2173"/>
      <c r="AA47" s="2173"/>
      <c r="AB47" s="2173"/>
      <c r="AC47" s="2174"/>
      <c r="AD47" s="2172" t="str">
        <f>INDEX(PT_DIFFERENTIATION_TER,MATCH(B47,PT_DIFFERENTIATION_TER_ID,0))</f>
        <v/>
      </c>
      <c r="AE47" s="2173"/>
      <c r="AF47" s="2173"/>
      <c r="AG47" s="2173"/>
      <c r="AH47" s="2173"/>
      <c r="AI47" s="2173"/>
      <c r="AJ47" s="2173"/>
      <c r="AK47" s="2173"/>
      <c r="AL47" s="2173"/>
      <c r="AM47" s="2173"/>
      <c r="AN47" s="2173"/>
      <c r="AO47" s="2173"/>
      <c r="AP47" s="2173"/>
      <c r="AQ47" s="2173"/>
      <c r="AR47" s="2173"/>
      <c r="AS47" s="2173"/>
      <c r="AT47" s="2173"/>
      <c r="AU47" s="2173"/>
      <c r="AV47" s="2173"/>
      <c r="AW47" s="2173"/>
      <c r="AX47" s="2173"/>
      <c r="AY47" s="2173"/>
      <c r="AZ47" s="2173"/>
      <c r="BA47" s="2173"/>
      <c r="BB47" s="2174"/>
      <c r="BC47" s="1183" t="s">
        <v>397</v>
      </c>
      <c r="BE47" s="435"/>
      <c r="BF47" s="435" t="str">
        <f t="shared" si="3"/>
        <v>Территория действия тарифа</v>
      </c>
      <c r="BG47" s="435"/>
      <c r="BH47" s="435"/>
      <c r="BI47" s="1080">
        <v>21</v>
      </c>
    </row>
    <row r="48" spans="1:61" ht="43.15" customHeight="1">
      <c r="A48" s="1288" t="s">
        <v>245</v>
      </c>
      <c r="B48" s="1288" t="s">
        <v>246</v>
      </c>
      <c r="C48" s="1288" t="s">
        <v>247</v>
      </c>
      <c r="D48" s="1288"/>
      <c r="E48" s="2187"/>
      <c r="F48" s="2187"/>
      <c r="G48" s="2186">
        <v>1</v>
      </c>
      <c r="H48" s="1288"/>
      <c r="I48" s="1288"/>
      <c r="J48" s="1288"/>
      <c r="K48" s="1288"/>
      <c r="L48" s="1289"/>
      <c r="M48" s="1290"/>
      <c r="N48" s="1290"/>
      <c r="O48" s="1290"/>
      <c r="P48" s="1337"/>
      <c r="Q48" s="1336"/>
      <c r="R48" s="288"/>
      <c r="S48" s="1382" t="str">
        <f>INDEX(PT_DIFFERENTIATION_NUM_CS,MATCH(C48,PT_DIFFERENTIATION_CS_ID,0))</f>
        <v>..</v>
      </c>
      <c r="T48" s="245" t="s">
        <v>480</v>
      </c>
      <c r="U48" s="236"/>
      <c r="V48" s="2173"/>
      <c r="W48" s="2173"/>
      <c r="X48" s="2173"/>
      <c r="Y48" s="2173"/>
      <c r="Z48" s="2173"/>
      <c r="AA48" s="2173"/>
      <c r="AB48" s="2173"/>
      <c r="AC48" s="2174"/>
      <c r="AD48" s="2172" t="str">
        <f>INDEX(PT_DIFFERENTIATION_CS,MATCH(C48,PT_DIFFERENTIATION_CS_ID,0))</f>
        <v/>
      </c>
      <c r="AE48" s="2173"/>
      <c r="AF48" s="2173"/>
      <c r="AG48" s="2173"/>
      <c r="AH48" s="2173"/>
      <c r="AI48" s="2173"/>
      <c r="AJ48" s="2173"/>
      <c r="AK48" s="2173"/>
      <c r="AL48" s="2173"/>
      <c r="AM48" s="2173"/>
      <c r="AN48" s="2173"/>
      <c r="AO48" s="2173"/>
      <c r="AP48" s="2173"/>
      <c r="AQ48" s="2173"/>
      <c r="AR48" s="2173"/>
      <c r="AS48" s="2173"/>
      <c r="AT48" s="2173"/>
      <c r="AU48" s="2173"/>
      <c r="AV48" s="2173"/>
      <c r="AW48" s="2173"/>
      <c r="AX48" s="2173"/>
      <c r="AY48" s="2173"/>
      <c r="AZ48" s="2173"/>
      <c r="BA48" s="2173"/>
      <c r="BB48" s="2174"/>
      <c r="BC48" s="1183" t="s">
        <v>481</v>
      </c>
      <c r="BE48" s="435"/>
      <c r="BF48" s="435" t="str">
        <f t="shared" si="3"/>
        <v>Наименование централизованной системы холодного водоснабжения</v>
      </c>
      <c r="BG48" s="435"/>
      <c r="BH48" s="435"/>
      <c r="BI48" s="1080">
        <v>41</v>
      </c>
    </row>
    <row r="49" spans="1:61" s="1567" customFormat="1" ht="0" hidden="1" customHeight="1">
      <c r="A49" s="1268" t="s">
        <v>245</v>
      </c>
      <c r="B49" s="1268" t="s">
        <v>246</v>
      </c>
      <c r="C49" s="1268" t="s">
        <v>247</v>
      </c>
      <c r="D49" s="1268" t="s">
        <v>514</v>
      </c>
      <c r="E49" s="2187"/>
      <c r="F49" s="2187"/>
      <c r="G49" s="2187"/>
      <c r="H49" s="2186">
        <v>1</v>
      </c>
      <c r="I49" s="1268"/>
      <c r="J49" s="1268"/>
      <c r="K49" s="1268"/>
      <c r="L49" s="1271"/>
      <c r="M49" s="1240"/>
      <c r="N49" s="1240"/>
      <c r="O49" s="1240"/>
      <c r="P49" s="1422"/>
      <c r="Q49" s="1423"/>
      <c r="R49" s="292"/>
      <c r="S49" s="970"/>
      <c r="T49" s="1424"/>
      <c r="U49" s="1309"/>
      <c r="V49" s="2216"/>
      <c r="W49" s="2216"/>
      <c r="X49" s="2216"/>
      <c r="Y49" s="2216"/>
      <c r="Z49" s="2216"/>
      <c r="AA49" s="2216"/>
      <c r="AB49" s="2216"/>
      <c r="AC49" s="2217"/>
      <c r="AD49" s="2215"/>
      <c r="AE49" s="2216"/>
      <c r="AF49" s="2216"/>
      <c r="AG49" s="2216"/>
      <c r="AH49" s="2216"/>
      <c r="AI49" s="2216"/>
      <c r="AJ49" s="2216"/>
      <c r="AK49" s="2216"/>
      <c r="AL49" s="2216"/>
      <c r="AM49" s="2216"/>
      <c r="AN49" s="2216"/>
      <c r="AO49" s="2216"/>
      <c r="AP49" s="2216"/>
      <c r="AQ49" s="2216"/>
      <c r="AR49" s="2216"/>
      <c r="AS49" s="2216"/>
      <c r="AT49" s="2216"/>
      <c r="AU49" s="2216"/>
      <c r="AV49" s="2216"/>
      <c r="AW49" s="2216"/>
      <c r="AX49" s="2216"/>
      <c r="AY49" s="2216"/>
      <c r="AZ49" s="2216"/>
      <c r="BA49" s="2216"/>
      <c r="BB49" s="2217"/>
      <c r="BC49" s="1310" t="s">
        <v>401</v>
      </c>
      <c r="BE49" s="435"/>
      <c r="BF49" s="435" t="str">
        <f t="shared" si="3"/>
        <v/>
      </c>
      <c r="BG49" s="435"/>
      <c r="BH49" s="435"/>
      <c r="BI49" s="446">
        <v>0</v>
      </c>
    </row>
    <row r="50" spans="1:61" s="1567" customFormat="1" ht="0" hidden="1" customHeight="1">
      <c r="A50" s="1268" t="s">
        <v>245</v>
      </c>
      <c r="B50" s="1268" t="s">
        <v>246</v>
      </c>
      <c r="C50" s="1268" t="s">
        <v>247</v>
      </c>
      <c r="D50" s="1268" t="s">
        <v>514</v>
      </c>
      <c r="E50" s="2187"/>
      <c r="F50" s="2187"/>
      <c r="G50" s="2187"/>
      <c r="H50" s="2187"/>
      <c r="I50" s="2184" t="str">
        <f>S49&amp;".1"</f>
        <v>.1</v>
      </c>
      <c r="J50" s="1268"/>
      <c r="K50" s="1268"/>
      <c r="L50" s="1271" t="s">
        <v>402</v>
      </c>
      <c r="M50" s="445"/>
      <c r="N50" s="445"/>
      <c r="O50" s="445"/>
      <c r="P50" s="2185">
        <v>1</v>
      </c>
      <c r="Q50" s="1387"/>
      <c r="R50" s="291"/>
      <c r="S50" s="970"/>
      <c r="T50" s="1308"/>
      <c r="U50" s="1309"/>
      <c r="V50" s="2216"/>
      <c r="W50" s="2216"/>
      <c r="X50" s="2216"/>
      <c r="Y50" s="2216"/>
      <c r="Z50" s="2216"/>
      <c r="AA50" s="2216"/>
      <c r="AB50" s="2216"/>
      <c r="AC50" s="2217"/>
      <c r="AD50" s="2215"/>
      <c r="AE50" s="2216"/>
      <c r="AF50" s="2216"/>
      <c r="AG50" s="2216"/>
      <c r="AH50" s="2216"/>
      <c r="AI50" s="2216"/>
      <c r="AJ50" s="2216"/>
      <c r="AK50" s="2216"/>
      <c r="AL50" s="2216"/>
      <c r="AM50" s="2216"/>
      <c r="AN50" s="2216"/>
      <c r="AO50" s="2216"/>
      <c r="AP50" s="2216"/>
      <c r="AQ50" s="2216"/>
      <c r="AR50" s="2216"/>
      <c r="AS50" s="2216"/>
      <c r="AT50" s="2216"/>
      <c r="AU50" s="2216"/>
      <c r="AV50" s="2216"/>
      <c r="AW50" s="2216"/>
      <c r="AX50" s="2216"/>
      <c r="AY50" s="2216"/>
      <c r="AZ50" s="2216"/>
      <c r="BA50" s="2216"/>
      <c r="BB50" s="2217"/>
      <c r="BC50" s="1310"/>
      <c r="BE50" s="435"/>
      <c r="BF50" s="435" t="str">
        <f t="shared" si="3"/>
        <v/>
      </c>
      <c r="BG50" s="435"/>
      <c r="BH50" s="435"/>
      <c r="BI50" s="446">
        <v>0</v>
      </c>
    </row>
    <row r="51" spans="1:61" s="1567" customFormat="1" ht="0" hidden="1" customHeight="1">
      <c r="A51" s="1268" t="s">
        <v>245</v>
      </c>
      <c r="B51" s="1268" t="s">
        <v>246</v>
      </c>
      <c r="C51" s="1268" t="s">
        <v>247</v>
      </c>
      <c r="D51" s="1268" t="s">
        <v>514</v>
      </c>
      <c r="E51" s="2187"/>
      <c r="F51" s="2187"/>
      <c r="G51" s="2187"/>
      <c r="H51" s="2187"/>
      <c r="I51" s="2207"/>
      <c r="J51" s="2184" t="str">
        <f>S49&amp;".1"</f>
        <v>.1</v>
      </c>
      <c r="K51" s="1268"/>
      <c r="L51" s="1271"/>
      <c r="M51" s="445"/>
      <c r="N51" s="445"/>
      <c r="O51" s="445"/>
      <c r="P51" s="2185"/>
      <c r="Q51" s="2185">
        <v>1</v>
      </c>
      <c r="R51" s="292"/>
      <c r="S51" s="970"/>
      <c r="T51" s="1324"/>
      <c r="U51" s="1309"/>
      <c r="V51" s="2216"/>
      <c r="W51" s="2216"/>
      <c r="X51" s="2216"/>
      <c r="Y51" s="2216"/>
      <c r="Z51" s="2216"/>
      <c r="AA51" s="2216"/>
      <c r="AB51" s="2216"/>
      <c r="AC51" s="2217"/>
      <c r="AD51" s="2215"/>
      <c r="AE51" s="2216"/>
      <c r="AF51" s="2216"/>
      <c r="AG51" s="2216"/>
      <c r="AH51" s="2216"/>
      <c r="AI51" s="2216"/>
      <c r="AJ51" s="2216"/>
      <c r="AK51" s="2216"/>
      <c r="AL51" s="2216"/>
      <c r="AM51" s="2216"/>
      <c r="AN51" s="2267"/>
      <c r="AO51" s="2267"/>
      <c r="AP51" s="2216"/>
      <c r="AQ51" s="2216"/>
      <c r="AR51" s="2216"/>
      <c r="AS51" s="2216"/>
      <c r="AT51" s="2216"/>
      <c r="AU51" s="2216"/>
      <c r="AV51" s="2216"/>
      <c r="AW51" s="2216"/>
      <c r="AX51" s="2216"/>
      <c r="AY51" s="2216"/>
      <c r="AZ51" s="2216"/>
      <c r="BA51" s="2216"/>
      <c r="BB51" s="2217"/>
      <c r="BC51" s="1310"/>
      <c r="BE51" s="435"/>
      <c r="BF51" s="435" t="str">
        <f t="shared" si="3"/>
        <v/>
      </c>
      <c r="BG51" s="435"/>
      <c r="BH51" s="435"/>
      <c r="BI51" s="446">
        <v>0</v>
      </c>
    </row>
    <row r="52" spans="1:61" ht="11.45" customHeight="1">
      <c r="A52" s="1288" t="s">
        <v>245</v>
      </c>
      <c r="B52" s="1288" t="s">
        <v>246</v>
      </c>
      <c r="C52" s="1288" t="s">
        <v>247</v>
      </c>
      <c r="D52" s="1288" t="s">
        <v>514</v>
      </c>
      <c r="E52" s="2187"/>
      <c r="F52" s="2187"/>
      <c r="G52" s="2187"/>
      <c r="H52" s="2187"/>
      <c r="I52" s="2207"/>
      <c r="J52" s="2207"/>
      <c r="K52" s="2184" t="str">
        <f>S48&amp;".1"</f>
        <v>...1</v>
      </c>
      <c r="L52" s="1289"/>
      <c r="P52" s="2185"/>
      <c r="Q52" s="2185"/>
      <c r="R52" s="292">
        <v>1</v>
      </c>
      <c r="S52" s="2244" t="str">
        <f>$K52</f>
        <v>...1</v>
      </c>
      <c r="T52" s="2263"/>
      <c r="U52" s="236"/>
      <c r="V52" s="686"/>
      <c r="W52" s="1182"/>
      <c r="X52" s="686"/>
      <c r="Y52" s="1182"/>
      <c r="Z52" s="1659"/>
      <c r="AA52" s="1384" t="s">
        <v>66</v>
      </c>
      <c r="AB52" s="1659"/>
      <c r="AC52" s="1384" t="s">
        <v>66</v>
      </c>
      <c r="AD52" s="2124" t="s">
        <v>66</v>
      </c>
      <c r="AE52" s="2229"/>
      <c r="AF52" s="2141">
        <v>1</v>
      </c>
      <c r="AG52" s="2266"/>
      <c r="AH52" s="2047" t="s">
        <v>66</v>
      </c>
      <c r="AI52" s="2229"/>
      <c r="AJ52" s="2141">
        <v>1</v>
      </c>
      <c r="AK52" s="2230" t="s">
        <v>22</v>
      </c>
      <c r="AL52" s="2047" t="s">
        <v>66</v>
      </c>
      <c r="AM52" s="2131"/>
      <c r="AN52" s="2141">
        <v>1</v>
      </c>
      <c r="AO52" s="2260"/>
      <c r="AP52" s="2261" t="s">
        <v>66</v>
      </c>
      <c r="AQ52" s="247"/>
      <c r="AR52" s="1388">
        <v>1</v>
      </c>
      <c r="AS52" s="1391" t="s">
        <v>22</v>
      </c>
      <c r="AT52" s="686"/>
      <c r="AU52" s="1182"/>
      <c r="AV52" s="686"/>
      <c r="AW52" s="1182"/>
      <c r="AX52" s="1659"/>
      <c r="AY52" s="1384" t="s">
        <v>66</v>
      </c>
      <c r="AZ52" s="1659"/>
      <c r="BA52" s="1384" t="s">
        <v>66</v>
      </c>
      <c r="BB52" s="1273"/>
      <c r="BC52" s="2181" t="s">
        <v>500</v>
      </c>
      <c r="BE52" s="435"/>
      <c r="BF52" s="435" t="str">
        <f t="shared" si="3"/>
        <v/>
      </c>
      <c r="BG52" s="435"/>
      <c r="BH52" s="435"/>
      <c r="BI52" s="1080">
        <v>11</v>
      </c>
    </row>
    <row r="53" spans="1:61" ht="11.45" customHeight="1">
      <c r="A53" s="1288"/>
      <c r="B53" s="1288"/>
      <c r="C53" s="1288"/>
      <c r="D53" s="1288"/>
      <c r="E53" s="2187"/>
      <c r="F53" s="2187"/>
      <c r="G53" s="2187"/>
      <c r="H53" s="2187"/>
      <c r="I53" s="2207"/>
      <c r="J53" s="2207"/>
      <c r="K53" s="2184"/>
      <c r="L53" s="1289"/>
      <c r="P53" s="2185"/>
      <c r="Q53" s="2185"/>
      <c r="R53" s="292"/>
      <c r="S53" s="2245"/>
      <c r="T53" s="2264"/>
      <c r="U53" s="236"/>
      <c r="V53" s="1318"/>
      <c r="W53" s="1421"/>
      <c r="X53" s="1318"/>
      <c r="Y53" s="1421"/>
      <c r="Z53" s="1318"/>
      <c r="AA53" s="1318"/>
      <c r="AB53" s="1318"/>
      <c r="AC53" s="1318"/>
      <c r="AD53" s="2125"/>
      <c r="AE53" s="2229"/>
      <c r="AF53" s="2141"/>
      <c r="AG53" s="2266"/>
      <c r="AH53" s="2047"/>
      <c r="AI53" s="2229"/>
      <c r="AJ53" s="2141"/>
      <c r="AK53" s="2230"/>
      <c r="AL53" s="2047"/>
      <c r="AM53" s="2136"/>
      <c r="AN53" s="2141"/>
      <c r="AO53" s="2260"/>
      <c r="AP53" s="2262"/>
      <c r="AQ53" s="252"/>
      <c r="AR53" s="351"/>
      <c r="AS53" s="351" t="s">
        <v>501</v>
      </c>
      <c r="AT53" s="1318"/>
      <c r="AU53" s="1421"/>
      <c r="AV53" s="1318"/>
      <c r="AW53" s="1421"/>
      <c r="AX53" s="1318"/>
      <c r="AY53" s="1318"/>
      <c r="AZ53" s="1318"/>
      <c r="BA53" s="1318"/>
      <c r="BB53" s="1322"/>
      <c r="BC53" s="2182"/>
      <c r="BE53" s="435"/>
      <c r="BF53" s="435"/>
      <c r="BG53" s="435"/>
      <c r="BH53" s="435"/>
      <c r="BI53" s="1080">
        <v>11</v>
      </c>
    </row>
    <row r="54" spans="1:61" ht="11.45" customHeight="1">
      <c r="A54" s="1288" t="s">
        <v>245</v>
      </c>
      <c r="B54" s="1288"/>
      <c r="C54" s="1288"/>
      <c r="D54" s="1288"/>
      <c r="E54" s="2187"/>
      <c r="F54" s="2187"/>
      <c r="G54" s="2187"/>
      <c r="H54" s="2187"/>
      <c r="I54" s="2207"/>
      <c r="J54" s="2207"/>
      <c r="K54" s="2184"/>
      <c r="L54" s="1289"/>
      <c r="P54" s="2185"/>
      <c r="Q54" s="2185"/>
      <c r="R54" s="292"/>
      <c r="S54" s="2245"/>
      <c r="T54" s="2264"/>
      <c r="U54" s="236"/>
      <c r="V54" s="1318"/>
      <c r="W54" s="1421"/>
      <c r="X54" s="1318"/>
      <c r="Y54" s="1421"/>
      <c r="Z54" s="1318"/>
      <c r="AA54" s="1318"/>
      <c r="AB54" s="1318"/>
      <c r="AC54" s="1318"/>
      <c r="AD54" s="2125"/>
      <c r="AE54" s="2229"/>
      <c r="AF54" s="2141"/>
      <c r="AG54" s="2266"/>
      <c r="AH54" s="2047"/>
      <c r="AI54" s="2229"/>
      <c r="AJ54" s="2141"/>
      <c r="AK54" s="2230"/>
      <c r="AL54" s="2047"/>
      <c r="AM54" s="252"/>
      <c r="AN54" s="1425"/>
      <c r="AO54" s="1425" t="s">
        <v>502</v>
      </c>
      <c r="AP54" s="351"/>
      <c r="AQ54" s="351"/>
      <c r="AR54" s="351"/>
      <c r="AS54" s="1318"/>
      <c r="AT54" s="1318"/>
      <c r="AU54" s="1421"/>
      <c r="AV54" s="1318"/>
      <c r="AW54" s="1421"/>
      <c r="AX54" s="1318"/>
      <c r="AY54" s="1318"/>
      <c r="AZ54" s="1318"/>
      <c r="BA54" s="1318"/>
      <c r="BB54" s="1322"/>
      <c r="BC54" s="2182"/>
      <c r="BE54" s="435"/>
      <c r="BF54" s="435"/>
      <c r="BG54" s="435"/>
      <c r="BH54" s="435"/>
      <c r="BI54" s="1080">
        <v>11</v>
      </c>
    </row>
    <row r="55" spans="1:61" ht="11.45" customHeight="1">
      <c r="A55" s="1288" t="s">
        <v>245</v>
      </c>
      <c r="B55" s="1288"/>
      <c r="C55" s="1288"/>
      <c r="D55" s="1288"/>
      <c r="E55" s="2187"/>
      <c r="F55" s="2187"/>
      <c r="G55" s="2187"/>
      <c r="H55" s="2187"/>
      <c r="I55" s="2207"/>
      <c r="J55" s="2207"/>
      <c r="K55" s="2184"/>
      <c r="L55" s="1289"/>
      <c r="P55" s="2185"/>
      <c r="Q55" s="2185"/>
      <c r="R55" s="292"/>
      <c r="S55" s="2245"/>
      <c r="T55" s="2264"/>
      <c r="U55" s="236"/>
      <c r="V55" s="1318"/>
      <c r="W55" s="1421"/>
      <c r="X55" s="1318"/>
      <c r="Y55" s="1421"/>
      <c r="Z55" s="1318"/>
      <c r="AA55" s="1318"/>
      <c r="AB55" s="1318"/>
      <c r="AC55" s="1318"/>
      <c r="AD55" s="2125"/>
      <c r="AE55" s="2229"/>
      <c r="AF55" s="2141"/>
      <c r="AG55" s="2266"/>
      <c r="AH55" s="2047"/>
      <c r="AI55" s="230"/>
      <c r="AJ55" s="350"/>
      <c r="AK55" s="249" t="s">
        <v>503</v>
      </c>
      <c r="AL55" s="1318"/>
      <c r="AM55" s="1318"/>
      <c r="AN55" s="1318"/>
      <c r="AO55" s="1318"/>
      <c r="AP55" s="1318"/>
      <c r="AQ55" s="1318"/>
      <c r="AR55" s="1318"/>
      <c r="AS55" s="1318"/>
      <c r="AT55" s="1318"/>
      <c r="AU55" s="1421"/>
      <c r="AV55" s="1318"/>
      <c r="AW55" s="1421"/>
      <c r="AX55" s="1318"/>
      <c r="AY55" s="1318"/>
      <c r="AZ55" s="1318"/>
      <c r="BA55" s="1318"/>
      <c r="BB55" s="1322"/>
      <c r="BC55" s="2182"/>
      <c r="BE55" s="435"/>
      <c r="BF55" s="435"/>
      <c r="BG55" s="435"/>
      <c r="BH55" s="435"/>
      <c r="BI55" s="1080">
        <v>11</v>
      </c>
    </row>
    <row r="56" spans="1:61" ht="11.45" customHeight="1">
      <c r="A56" s="1288" t="s">
        <v>245</v>
      </c>
      <c r="B56" s="1288" t="s">
        <v>246</v>
      </c>
      <c r="C56" s="1288" t="s">
        <v>247</v>
      </c>
      <c r="D56" s="1288" t="s">
        <v>514</v>
      </c>
      <c r="E56" s="2187"/>
      <c r="F56" s="2187"/>
      <c r="G56" s="2187"/>
      <c r="H56" s="2187"/>
      <c r="I56" s="2207"/>
      <c r="J56" s="2207"/>
      <c r="K56" s="2184"/>
      <c r="L56" s="1289"/>
      <c r="P56" s="2185"/>
      <c r="Q56" s="2185"/>
      <c r="R56" s="292"/>
      <c r="S56" s="2246"/>
      <c r="T56" s="2265"/>
      <c r="U56" s="236"/>
      <c r="V56" s="1318"/>
      <c r="W56" s="1319" t="str">
        <f>Z52&amp;"-"&amp;AB52</f>
        <v>-</v>
      </c>
      <c r="X56" s="1318"/>
      <c r="Y56" s="1319" t="str">
        <f>AB52&amp;"-"&amp;AD52</f>
        <v>-да</v>
      </c>
      <c r="Z56" s="1318"/>
      <c r="AA56" s="1318"/>
      <c r="AB56" s="1318"/>
      <c r="AC56" s="1318"/>
      <c r="AD56" s="2052"/>
      <c r="AE56" s="248"/>
      <c r="AF56" s="250"/>
      <c r="AG56" s="351" t="s">
        <v>504</v>
      </c>
      <c r="AH56" s="1318"/>
      <c r="AI56" s="1318"/>
      <c r="AJ56" s="1318"/>
      <c r="AK56" s="1318"/>
      <c r="AL56" s="1318"/>
      <c r="AM56" s="1318"/>
      <c r="AN56" s="1318"/>
      <c r="AO56" s="1318"/>
      <c r="AP56" s="1318"/>
      <c r="AQ56" s="1318"/>
      <c r="AR56" s="1318"/>
      <c r="AS56" s="1318"/>
      <c r="AT56" s="1318"/>
      <c r="AU56" s="1319" t="str">
        <f>AX52&amp;"-"&amp;AZ52</f>
        <v>-</v>
      </c>
      <c r="AV56" s="1318"/>
      <c r="AW56" s="1319" t="str">
        <f>AZ52&amp;"-"&amp;BB52</f>
        <v>-</v>
      </c>
      <c r="AX56" s="1318"/>
      <c r="AY56" s="1318"/>
      <c r="AZ56" s="1318"/>
      <c r="BA56" s="1318"/>
      <c r="BB56" s="1321" t="str">
        <f>BE52&amp;"-"&amp;BG52</f>
        <v>-</v>
      </c>
      <c r="BC56" s="2182"/>
      <c r="BE56" s="435"/>
      <c r="BF56" s="435" t="str">
        <f t="shared" ref="BF56:BF63" si="4">IF(T56="","",T56)</f>
        <v/>
      </c>
      <c r="BG56" s="435"/>
      <c r="BH56" s="435"/>
      <c r="BI56" s="1080">
        <v>11</v>
      </c>
    </row>
    <row r="57" spans="1:61" ht="11.45" customHeight="1">
      <c r="A57" s="1288" t="s">
        <v>245</v>
      </c>
      <c r="B57" s="1288" t="s">
        <v>246</v>
      </c>
      <c r="C57" s="1288" t="s">
        <v>247</v>
      </c>
      <c r="D57" s="1288" t="s">
        <v>514</v>
      </c>
      <c r="E57" s="2187"/>
      <c r="F57" s="2187"/>
      <c r="G57" s="2187"/>
      <c r="H57" s="2187"/>
      <c r="I57" s="2207"/>
      <c r="J57" s="2184"/>
      <c r="K57" s="1288"/>
      <c r="L57" s="1289"/>
      <c r="P57" s="2185"/>
      <c r="Q57" s="2185"/>
      <c r="R57" s="291"/>
      <c r="S57" s="1203"/>
      <c r="T57" s="223" t="s">
        <v>467</v>
      </c>
      <c r="U57" s="302"/>
      <c r="V57" s="302"/>
      <c r="W57" s="302"/>
      <c r="X57" s="302"/>
      <c r="Y57" s="302"/>
      <c r="Z57" s="302"/>
      <c r="AA57" s="302"/>
      <c r="AB57" s="302"/>
      <c r="AC57" s="260"/>
      <c r="AD57" s="1430"/>
      <c r="AE57" s="302"/>
      <c r="AF57" s="302"/>
      <c r="AG57" s="302"/>
      <c r="AH57" s="302"/>
      <c r="AI57" s="302"/>
      <c r="AJ57" s="302"/>
      <c r="AK57" s="302"/>
      <c r="AL57" s="302"/>
      <c r="AM57" s="302"/>
      <c r="AN57" s="302"/>
      <c r="AO57" s="302"/>
      <c r="AP57" s="302"/>
      <c r="AQ57" s="302"/>
      <c r="AR57" s="302"/>
      <c r="AS57" s="302"/>
      <c r="AT57" s="302"/>
      <c r="AU57" s="302"/>
      <c r="AV57" s="302"/>
      <c r="AW57" s="302"/>
      <c r="AX57" s="302"/>
      <c r="AY57" s="302"/>
      <c r="AZ57" s="302"/>
      <c r="BA57" s="302"/>
      <c r="BB57" s="260"/>
      <c r="BC57" s="2183"/>
      <c r="BE57" s="435"/>
      <c r="BF57" s="435" t="str">
        <f t="shared" si="4"/>
        <v>Добавить строку</v>
      </c>
      <c r="BG57" s="435"/>
      <c r="BH57" s="435"/>
      <c r="BI57" s="1080">
        <v>11</v>
      </c>
    </row>
    <row r="58" spans="1:61" s="1567" customFormat="1" ht="0" hidden="1" customHeight="1">
      <c r="A58" s="1268" t="s">
        <v>245</v>
      </c>
      <c r="B58" s="1268" t="s">
        <v>246</v>
      </c>
      <c r="C58" s="1268" t="s">
        <v>247</v>
      </c>
      <c r="D58" s="1268" t="s">
        <v>514</v>
      </c>
      <c r="E58" s="2187"/>
      <c r="F58" s="2187"/>
      <c r="G58" s="2187"/>
      <c r="H58" s="2187"/>
      <c r="I58" s="2184"/>
      <c r="J58" s="1268"/>
      <c r="K58" s="1268"/>
      <c r="L58" s="1271"/>
      <c r="M58" s="445"/>
      <c r="N58" s="445"/>
      <c r="O58" s="445"/>
      <c r="P58" s="2185"/>
      <c r="Q58" s="1387"/>
      <c r="R58" s="291"/>
      <c r="S58" s="1311"/>
      <c r="T58" s="1312"/>
      <c r="U58" s="1313"/>
      <c r="V58" s="1313"/>
      <c r="W58" s="1313"/>
      <c r="X58" s="1313"/>
      <c r="Y58" s="1313"/>
      <c r="Z58" s="1313"/>
      <c r="AA58" s="1313"/>
      <c r="AB58" s="1313"/>
      <c r="AC58" s="1313"/>
      <c r="AD58" s="1313"/>
      <c r="AE58" s="1313"/>
      <c r="AF58" s="1313"/>
      <c r="AG58" s="1313"/>
      <c r="AH58" s="1313"/>
      <c r="AI58" s="1313"/>
      <c r="AJ58" s="1313"/>
      <c r="AK58" s="1313"/>
      <c r="AL58" s="1313"/>
      <c r="AM58" s="1313"/>
      <c r="AN58" s="1313"/>
      <c r="AO58" s="1313"/>
      <c r="AP58" s="1313"/>
      <c r="AQ58" s="1313"/>
      <c r="AR58" s="1313"/>
      <c r="AS58" s="1313"/>
      <c r="AT58" s="1313"/>
      <c r="AU58" s="1313"/>
      <c r="AV58" s="1313"/>
      <c r="AW58" s="1313"/>
      <c r="AX58" s="1313"/>
      <c r="AY58" s="1313"/>
      <c r="AZ58" s="1313"/>
      <c r="BA58" s="1313"/>
      <c r="BB58" s="1313"/>
      <c r="BC58" s="1314"/>
      <c r="BE58" s="435"/>
      <c r="BF58" s="435" t="str">
        <f t="shared" si="4"/>
        <v/>
      </c>
      <c r="BG58" s="435"/>
      <c r="BH58" s="435"/>
      <c r="BI58" s="446">
        <v>0</v>
      </c>
    </row>
    <row r="59" spans="1:61" s="1567" customFormat="1" ht="0" hidden="1" customHeight="1">
      <c r="A59" s="1268" t="s">
        <v>245</v>
      </c>
      <c r="B59" s="1268" t="s">
        <v>246</v>
      </c>
      <c r="C59" s="1268" t="s">
        <v>247</v>
      </c>
      <c r="D59" s="1268" t="s">
        <v>514</v>
      </c>
      <c r="E59" s="2187"/>
      <c r="F59" s="2187"/>
      <c r="G59" s="2187"/>
      <c r="H59" s="2186"/>
      <c r="I59" s="1268"/>
      <c r="J59" s="1268"/>
      <c r="K59" s="1268"/>
      <c r="L59" s="1271"/>
      <c r="M59" s="1240"/>
      <c r="N59" s="1240"/>
      <c r="O59" s="453"/>
      <c r="P59" s="315"/>
      <c r="Q59" s="1269"/>
      <c r="R59" s="1326"/>
      <c r="S59" s="1311"/>
      <c r="T59" s="1312"/>
      <c r="U59" s="1313"/>
      <c r="V59" s="1313"/>
      <c r="W59" s="1313"/>
      <c r="X59" s="1313"/>
      <c r="Y59" s="1313"/>
      <c r="Z59" s="1313"/>
      <c r="AA59" s="1313"/>
      <c r="AB59" s="1313"/>
      <c r="AC59" s="1313"/>
      <c r="AD59" s="1313"/>
      <c r="AE59" s="1313"/>
      <c r="AF59" s="1313"/>
      <c r="AG59" s="1313"/>
      <c r="AH59" s="1313"/>
      <c r="AI59" s="1313"/>
      <c r="AJ59" s="1313"/>
      <c r="AK59" s="1313"/>
      <c r="AL59" s="1313"/>
      <c r="AM59" s="1313"/>
      <c r="AN59" s="1313"/>
      <c r="AO59" s="1313"/>
      <c r="AP59" s="1313"/>
      <c r="AQ59" s="1313"/>
      <c r="AR59" s="1313"/>
      <c r="AS59" s="1313"/>
      <c r="AT59" s="1313"/>
      <c r="AU59" s="1313"/>
      <c r="AV59" s="1313"/>
      <c r="AW59" s="1313"/>
      <c r="AX59" s="1313"/>
      <c r="AY59" s="1313"/>
      <c r="AZ59" s="1313"/>
      <c r="BA59" s="1313"/>
      <c r="BB59" s="1313"/>
      <c r="BC59" s="1314"/>
      <c r="BE59" s="435"/>
      <c r="BF59" s="435" t="str">
        <f t="shared" si="4"/>
        <v/>
      </c>
      <c r="BG59" s="435"/>
      <c r="BH59" s="435"/>
      <c r="BI59" s="446">
        <v>0</v>
      </c>
    </row>
    <row r="60" spans="1:61" s="1567" customFormat="1" ht="0" hidden="1" customHeight="1">
      <c r="A60" s="1268" t="s">
        <v>245</v>
      </c>
      <c r="B60" s="1268" t="s">
        <v>246</v>
      </c>
      <c r="C60" s="1268" t="s">
        <v>247</v>
      </c>
      <c r="D60" s="1239"/>
      <c r="E60" s="2187"/>
      <c r="F60" s="2187"/>
      <c r="G60" s="2186"/>
      <c r="H60" s="1239"/>
      <c r="I60" s="1239"/>
      <c r="J60" s="1239"/>
      <c r="K60" s="1239"/>
      <c r="L60" s="1389"/>
      <c r="M60" s="1240"/>
      <c r="N60" s="1240"/>
      <c r="P60" s="1241"/>
      <c r="Q60" s="1242"/>
      <c r="R60" s="1241"/>
      <c r="S60" s="1247"/>
      <c r="T60" s="1250"/>
      <c r="U60" s="1249"/>
      <c r="V60" s="1249"/>
      <c r="W60" s="1249"/>
      <c r="X60" s="1249"/>
      <c r="Y60" s="1249"/>
      <c r="Z60" s="1249"/>
      <c r="AA60" s="1249"/>
      <c r="AB60" s="1249"/>
      <c r="AC60" s="1249"/>
      <c r="AD60" s="1249"/>
      <c r="AE60" s="1249"/>
      <c r="AF60" s="1249"/>
      <c r="AG60" s="1249"/>
      <c r="AH60" s="1249"/>
      <c r="AI60" s="1249"/>
      <c r="AJ60" s="1249"/>
      <c r="AK60" s="1249"/>
      <c r="AL60" s="1249"/>
      <c r="AM60" s="1249"/>
      <c r="AN60" s="1249"/>
      <c r="AO60" s="1249"/>
      <c r="AP60" s="1249"/>
      <c r="AQ60" s="1249"/>
      <c r="AR60" s="1249"/>
      <c r="AS60" s="1249"/>
      <c r="AT60" s="1249"/>
      <c r="AU60" s="1249"/>
      <c r="AV60" s="1249"/>
      <c r="AW60" s="1249"/>
      <c r="AX60" s="1249"/>
      <c r="AY60" s="1249"/>
      <c r="AZ60" s="1249"/>
      <c r="BA60" s="1249"/>
      <c r="BB60" s="1249"/>
      <c r="BC60" s="1249"/>
      <c r="BE60" s="718"/>
      <c r="BF60" s="718" t="str">
        <f t="shared" si="4"/>
        <v/>
      </c>
      <c r="BG60" s="718"/>
      <c r="BH60" s="718"/>
      <c r="BI60" s="453">
        <v>0</v>
      </c>
    </row>
    <row r="61" spans="1:61" s="1567" customFormat="1" ht="0" hidden="1" customHeight="1">
      <c r="A61" s="1268" t="s">
        <v>245</v>
      </c>
      <c r="B61" s="1268" t="s">
        <v>246</v>
      </c>
      <c r="C61" s="1239"/>
      <c r="D61" s="1239"/>
      <c r="E61" s="2187"/>
      <c r="F61" s="2186"/>
      <c r="G61" s="1239"/>
      <c r="H61" s="1239"/>
      <c r="I61" s="1239"/>
      <c r="J61" s="1239"/>
      <c r="K61" s="1239"/>
      <c r="L61" s="1389"/>
      <c r="M61" s="1246"/>
      <c r="N61" s="1246"/>
      <c r="P61" s="1241"/>
      <c r="Q61" s="1242"/>
      <c r="R61" s="1241"/>
      <c r="S61" s="1247"/>
      <c r="T61" s="1250" t="s">
        <v>414</v>
      </c>
      <c r="U61" s="1249"/>
      <c r="V61" s="1249"/>
      <c r="W61" s="1249"/>
      <c r="X61" s="1249"/>
      <c r="Y61" s="1249"/>
      <c r="Z61" s="1249"/>
      <c r="AA61" s="1249"/>
      <c r="AB61" s="1249"/>
      <c r="AC61" s="1249"/>
      <c r="AD61" s="1249"/>
      <c r="AE61" s="1249"/>
      <c r="AF61" s="1249"/>
      <c r="AG61" s="1249"/>
      <c r="AH61" s="1249"/>
      <c r="AI61" s="1249"/>
      <c r="AJ61" s="1249"/>
      <c r="AK61" s="1249"/>
      <c r="AL61" s="1249"/>
      <c r="AM61" s="1249"/>
      <c r="AN61" s="1249"/>
      <c r="AO61" s="1249"/>
      <c r="AP61" s="1249"/>
      <c r="AQ61" s="1249"/>
      <c r="AR61" s="1249"/>
      <c r="AS61" s="1249"/>
      <c r="AT61" s="1249"/>
      <c r="AU61" s="1249"/>
      <c r="AV61" s="1249"/>
      <c r="AW61" s="1249"/>
      <c r="AX61" s="1249"/>
      <c r="AY61" s="1249"/>
      <c r="AZ61" s="1249"/>
      <c r="BA61" s="1249"/>
      <c r="BB61" s="1249"/>
      <c r="BC61" s="1249"/>
      <c r="BE61" s="718"/>
      <c r="BF61" s="718" t="str">
        <f t="shared" si="4"/>
        <v>Добавить централизованную систему для дифференциации</v>
      </c>
      <c r="BG61" s="718"/>
      <c r="BH61" s="718"/>
      <c r="BI61" s="453">
        <v>0</v>
      </c>
    </row>
    <row r="62" spans="1:61" s="1567" customFormat="1" ht="0" hidden="1" customHeight="1">
      <c r="A62" s="1268" t="s">
        <v>245</v>
      </c>
      <c r="B62" s="1268"/>
      <c r="C62" s="1268"/>
      <c r="D62" s="1268"/>
      <c r="E62" s="2186"/>
      <c r="F62" s="1268"/>
      <c r="G62" s="1268"/>
      <c r="H62" s="1268"/>
      <c r="I62" s="1268"/>
      <c r="J62" s="1268"/>
      <c r="K62" s="1268"/>
      <c r="L62" s="1271"/>
      <c r="M62" s="1246"/>
      <c r="N62" s="1246"/>
      <c r="O62" s="453"/>
      <c r="P62" s="315"/>
      <c r="Q62" s="1269"/>
      <c r="R62" s="315"/>
      <c r="S62" s="1247"/>
      <c r="T62" s="1250" t="s">
        <v>415</v>
      </c>
      <c r="U62" s="1249"/>
      <c r="V62" s="1249"/>
      <c r="W62" s="1249"/>
      <c r="X62" s="1249"/>
      <c r="Y62" s="1249"/>
      <c r="Z62" s="1249"/>
      <c r="AA62" s="1249"/>
      <c r="AB62" s="1249"/>
      <c r="AC62" s="1249"/>
      <c r="AD62" s="1249"/>
      <c r="AE62" s="1249"/>
      <c r="AF62" s="1249"/>
      <c r="AG62" s="1249"/>
      <c r="AH62" s="1249"/>
      <c r="AI62" s="1249"/>
      <c r="AJ62" s="1249"/>
      <c r="AK62" s="1249"/>
      <c r="AL62" s="1249"/>
      <c r="AM62" s="1249"/>
      <c r="AN62" s="1249"/>
      <c r="AO62" s="1249"/>
      <c r="AP62" s="1249"/>
      <c r="AQ62" s="1249"/>
      <c r="AR62" s="1249"/>
      <c r="AS62" s="1249"/>
      <c r="AT62" s="1249"/>
      <c r="AU62" s="1249"/>
      <c r="AV62" s="1249"/>
      <c r="AW62" s="1249"/>
      <c r="AX62" s="1249"/>
      <c r="AY62" s="1249"/>
      <c r="AZ62" s="1249"/>
      <c r="BA62" s="1249"/>
      <c r="BB62" s="1249"/>
      <c r="BC62" s="1249"/>
      <c r="BE62" s="435"/>
      <c r="BF62" s="435" t="str">
        <f t="shared" si="4"/>
        <v>Добавить территорию для дифференциации</v>
      </c>
      <c r="BG62" s="435"/>
      <c r="BH62" s="435"/>
      <c r="BI62" s="446">
        <v>0</v>
      </c>
    </row>
    <row r="63" spans="1:61" s="1567" customFormat="1" ht="0" hidden="1" customHeight="1">
      <c r="A63" s="1239"/>
      <c r="B63" s="1239"/>
      <c r="C63" s="1239"/>
      <c r="D63" s="1239"/>
      <c r="E63" s="1268"/>
      <c r="F63" s="1239"/>
      <c r="G63" s="1239"/>
      <c r="H63" s="1239"/>
      <c r="I63" s="1239"/>
      <c r="J63" s="1239"/>
      <c r="K63" s="1239"/>
      <c r="L63" s="1389"/>
      <c r="M63" s="1246"/>
      <c r="N63" s="1246"/>
      <c r="P63" s="1241"/>
      <c r="Q63" s="1242"/>
      <c r="R63" s="1241"/>
      <c r="S63" s="1247"/>
      <c r="T63" s="1250" t="s">
        <v>447</v>
      </c>
      <c r="U63" s="1249"/>
      <c r="V63" s="1249"/>
      <c r="W63" s="1249"/>
      <c r="X63" s="1249"/>
      <c r="Y63" s="1249"/>
      <c r="Z63" s="1249"/>
      <c r="AA63" s="1249"/>
      <c r="AB63" s="1249"/>
      <c r="AC63" s="1249"/>
      <c r="AD63" s="1249"/>
      <c r="AE63" s="1249"/>
      <c r="AF63" s="1249"/>
      <c r="AG63" s="1249"/>
      <c r="AH63" s="1249"/>
      <c r="AI63" s="1249"/>
      <c r="AJ63" s="1249"/>
      <c r="AK63" s="1249"/>
      <c r="AL63" s="1249"/>
      <c r="AM63" s="1249"/>
      <c r="AN63" s="1249"/>
      <c r="AO63" s="1249"/>
      <c r="AP63" s="1249"/>
      <c r="AQ63" s="1249"/>
      <c r="AR63" s="1249"/>
      <c r="AS63" s="1249"/>
      <c r="AT63" s="1249"/>
      <c r="AU63" s="1249"/>
      <c r="AV63" s="1249"/>
      <c r="AW63" s="1249"/>
      <c r="AX63" s="1249"/>
      <c r="AY63" s="1249"/>
      <c r="AZ63" s="1249"/>
      <c r="BA63" s="1249"/>
      <c r="BB63" s="1249"/>
      <c r="BC63" s="1249"/>
      <c r="BE63" s="718"/>
      <c r="BF63" s="718" t="str">
        <f t="shared" si="4"/>
        <v>Добавить наименование тарифа</v>
      </c>
      <c r="BG63" s="718"/>
      <c r="BH63" s="718"/>
      <c r="BI63" s="453">
        <v>0</v>
      </c>
    </row>
    <row r="64" spans="1:61" ht="11.45" customHeight="1">
      <c r="M64" s="1085"/>
      <c r="N64" s="1085"/>
      <c r="O64" s="472"/>
      <c r="P64" s="1085"/>
      <c r="Q64" s="1085"/>
      <c r="R64" s="1080"/>
      <c r="S64" s="1080"/>
      <c r="BD64" s="1080"/>
      <c r="BE64" s="1080"/>
      <c r="BF64" s="1080"/>
      <c r="BG64" s="1080"/>
      <c r="BH64" s="1080"/>
      <c r="BI64" s="1080">
        <v>11</v>
      </c>
    </row>
    <row r="65" spans="1:61" ht="19.899999999999999" customHeight="1">
      <c r="O65" s="472"/>
      <c r="S65" s="1178"/>
      <c r="T65" s="2206"/>
      <c r="U65" s="2206"/>
      <c r="V65" s="2206"/>
      <c r="W65" s="2206"/>
      <c r="X65" s="2206"/>
      <c r="Y65" s="2206"/>
      <c r="Z65" s="2206"/>
      <c r="AA65" s="2206"/>
      <c r="AB65" s="2206"/>
      <c r="AC65" s="2206"/>
      <c r="AD65" s="2206"/>
      <c r="AE65" s="2206"/>
      <c r="AF65" s="2206"/>
      <c r="AG65" s="2206"/>
      <c r="AH65" s="2206"/>
      <c r="AI65" s="2206"/>
      <c r="AJ65" s="2206"/>
      <c r="AK65" s="2206"/>
      <c r="AL65" s="2206"/>
      <c r="AM65" s="2206"/>
      <c r="AN65" s="2206"/>
      <c r="AO65" s="2206"/>
      <c r="AP65" s="2206"/>
      <c r="AQ65" s="2206"/>
      <c r="AR65" s="2206"/>
      <c r="AS65" s="2206"/>
      <c r="AT65" s="2206"/>
      <c r="AU65" s="2206"/>
      <c r="AV65" s="2206"/>
      <c r="AW65" s="2206"/>
      <c r="AX65" s="2206"/>
      <c r="AY65" s="2206"/>
      <c r="AZ65" s="2206"/>
      <c r="BA65" s="2206"/>
      <c r="BB65" s="2206"/>
      <c r="BC65" s="2206"/>
      <c r="BI65" s="1080">
        <v>19</v>
      </c>
    </row>
    <row r="66" spans="1:61" ht="14.65" customHeight="1">
      <c r="O66" s="472"/>
      <c r="T66" s="1374"/>
      <c r="U66" s="1374"/>
      <c r="V66" s="1374"/>
      <c r="W66" s="1374"/>
      <c r="X66" s="1374"/>
      <c r="Y66" s="1374"/>
      <c r="Z66" s="1374"/>
      <c r="AA66" s="1374"/>
      <c r="AB66" s="1374"/>
      <c r="AC66" s="1374"/>
      <c r="AD66" s="1374"/>
      <c r="AE66" s="1374"/>
      <c r="AF66" s="1374"/>
      <c r="AG66" s="1374"/>
      <c r="AH66" s="1374"/>
      <c r="AI66" s="1374"/>
      <c r="AJ66" s="1374"/>
      <c r="AK66" s="1374"/>
      <c r="AL66" s="1374"/>
      <c r="AM66" s="1374"/>
      <c r="AN66" s="1374"/>
      <c r="AO66" s="1374"/>
      <c r="AP66" s="1374"/>
      <c r="AQ66" s="1374"/>
      <c r="AR66" s="1374"/>
      <c r="AS66" s="1374"/>
      <c r="AT66" s="1374"/>
      <c r="AU66" s="1374"/>
      <c r="AV66" s="1374"/>
      <c r="AW66" s="1374"/>
      <c r="AX66" s="1374"/>
      <c r="AY66" s="1374"/>
      <c r="AZ66" s="1374"/>
      <c r="BA66" s="1374"/>
      <c r="BB66" s="1374"/>
      <c r="BC66" s="1374"/>
      <c r="BI66" s="1080">
        <v>14</v>
      </c>
    </row>
    <row r="67" spans="1:61" ht="19.899999999999999" customHeight="1">
      <c r="O67" s="472"/>
      <c r="S67" s="1178"/>
      <c r="T67" s="2206"/>
      <c r="U67" s="2206"/>
      <c r="V67" s="2206"/>
      <c r="W67" s="2206"/>
      <c r="X67" s="2206"/>
      <c r="Y67" s="2206"/>
      <c r="Z67" s="2206"/>
      <c r="AA67" s="2206"/>
      <c r="AB67" s="2206"/>
      <c r="AC67" s="2206"/>
      <c r="AD67" s="2206"/>
      <c r="AE67" s="2206"/>
      <c r="AF67" s="2206"/>
      <c r="AG67" s="2206"/>
      <c r="AH67" s="2206"/>
      <c r="AI67" s="2206"/>
      <c r="AJ67" s="2206"/>
      <c r="AK67" s="2206"/>
      <c r="AL67" s="2206"/>
      <c r="AM67" s="2206"/>
      <c r="AN67" s="2206"/>
      <c r="AO67" s="2206"/>
      <c r="AP67" s="2206"/>
      <c r="AQ67" s="2206"/>
      <c r="AR67" s="2206"/>
      <c r="AS67" s="2206"/>
      <c r="AT67" s="2206"/>
      <c r="AU67" s="2206"/>
      <c r="AV67" s="2206"/>
      <c r="AW67" s="2206"/>
      <c r="AX67" s="2206"/>
      <c r="AY67" s="2206"/>
      <c r="AZ67" s="2206"/>
      <c r="BA67" s="2206"/>
      <c r="BB67" s="2206"/>
      <c r="BC67" s="2206"/>
      <c r="BI67" s="1080">
        <v>19</v>
      </c>
    </row>
    <row r="68" spans="1:61" ht="14.65" customHeight="1">
      <c r="O68" s="472"/>
      <c r="BI68" s="1080">
        <v>14</v>
      </c>
    </row>
    <row r="69" spans="1:61" ht="14.25" hidden="1" customHeight="1">
      <c r="A69" s="1085" t="s">
        <v>82</v>
      </c>
      <c r="B69" s="1085">
        <v>0</v>
      </c>
      <c r="C69" s="1085">
        <v>0</v>
      </c>
      <c r="D69" s="1085">
        <v>0</v>
      </c>
      <c r="E69" s="1085">
        <v>0</v>
      </c>
      <c r="F69" s="1085">
        <v>0</v>
      </c>
      <c r="G69" s="1085">
        <v>0</v>
      </c>
      <c r="H69" s="1085">
        <v>0</v>
      </c>
      <c r="I69" s="1085">
        <v>0</v>
      </c>
      <c r="J69" s="1085">
        <v>0</v>
      </c>
      <c r="K69" s="1085">
        <v>0</v>
      </c>
      <c r="L69" s="1386">
        <v>0</v>
      </c>
      <c r="M69" s="1287">
        <v>0</v>
      </c>
      <c r="N69" s="1287">
        <v>0</v>
      </c>
      <c r="O69" s="1287">
        <v>0</v>
      </c>
      <c r="P69" s="1287">
        <v>0</v>
      </c>
      <c r="Q69" s="1296">
        <v>0</v>
      </c>
      <c r="R69" s="280">
        <v>3</v>
      </c>
      <c r="S69" s="516">
        <v>12</v>
      </c>
      <c r="T69" s="1080">
        <v>31</v>
      </c>
      <c r="U69" s="1080">
        <v>0</v>
      </c>
      <c r="V69" s="1080">
        <v>0</v>
      </c>
      <c r="W69" s="1080">
        <v>0</v>
      </c>
      <c r="X69" s="1080">
        <v>0</v>
      </c>
      <c r="Y69" s="1080">
        <v>0</v>
      </c>
      <c r="Z69" s="1080">
        <v>0</v>
      </c>
      <c r="AA69" s="1080">
        <v>0</v>
      </c>
      <c r="AB69" s="1080">
        <v>0</v>
      </c>
      <c r="AC69" s="1080">
        <v>0</v>
      </c>
      <c r="AD69" s="1080">
        <v>3</v>
      </c>
      <c r="AE69" s="1080">
        <v>3</v>
      </c>
      <c r="AF69" s="1080">
        <v>3</v>
      </c>
      <c r="AG69" s="1080">
        <v>24</v>
      </c>
      <c r="AH69" s="1080">
        <v>3</v>
      </c>
      <c r="AI69" s="1080">
        <v>3</v>
      </c>
      <c r="AJ69" s="1080">
        <v>3</v>
      </c>
      <c r="AK69" s="1080">
        <v>24</v>
      </c>
      <c r="AL69" s="1080">
        <v>3</v>
      </c>
      <c r="AM69" s="1080">
        <v>3</v>
      </c>
      <c r="AN69" s="1080">
        <v>3</v>
      </c>
      <c r="AO69" s="1080">
        <v>18</v>
      </c>
      <c r="AP69" s="1080">
        <v>3</v>
      </c>
      <c r="AQ69" s="1080">
        <v>3</v>
      </c>
      <c r="AR69" s="1080">
        <v>3</v>
      </c>
      <c r="AS69" s="1080">
        <v>18</v>
      </c>
      <c r="AT69" s="1080">
        <v>21</v>
      </c>
      <c r="AU69" s="1080">
        <v>21</v>
      </c>
      <c r="AV69" s="1080">
        <v>21</v>
      </c>
      <c r="AW69" s="1080">
        <v>21</v>
      </c>
      <c r="AX69" s="1080">
        <v>11</v>
      </c>
      <c r="AY69" s="1080">
        <v>3</v>
      </c>
      <c r="AZ69" s="1080">
        <v>11</v>
      </c>
      <c r="BA69" s="1080">
        <v>0</v>
      </c>
      <c r="BB69" s="1080">
        <v>4</v>
      </c>
      <c r="BC69" s="1080">
        <v>115</v>
      </c>
      <c r="BD69" s="446">
        <v>10</v>
      </c>
      <c r="BE69" s="446">
        <v>10</v>
      </c>
      <c r="BF69" s="446">
        <v>10</v>
      </c>
      <c r="BG69" s="446">
        <v>10</v>
      </c>
      <c r="BH69" s="446">
        <v>10</v>
      </c>
      <c r="BI69" s="1080">
        <v>23</v>
      </c>
    </row>
  </sheetData>
  <sheetProtection formatColumns="0" formatRows="0" insertRows="0" deleteColumns="0" deleteRows="0" sort="0" autoFilter="0"/>
  <mergeCells count="122">
    <mergeCell ref="T67:BC67"/>
    <mergeCell ref="AK52:AK54"/>
    <mergeCell ref="AL52:AL54"/>
    <mergeCell ref="AE52:AE55"/>
    <mergeCell ref="AF52:AF55"/>
    <mergeCell ref="AG52:AG55"/>
    <mergeCell ref="AH52:AH55"/>
    <mergeCell ref="AI52:AI54"/>
    <mergeCell ref="AJ52:AJ54"/>
    <mergeCell ref="BC52:BC57"/>
    <mergeCell ref="T52:T56"/>
    <mergeCell ref="T65:BC65"/>
    <mergeCell ref="E46:E62"/>
    <mergeCell ref="V46:AC46"/>
    <mergeCell ref="AD46:BB46"/>
    <mergeCell ref="F47:F61"/>
    <mergeCell ref="V47:AC47"/>
    <mergeCell ref="AM52:AM53"/>
    <mergeCell ref="AN52:AN53"/>
    <mergeCell ref="AO52:AO53"/>
    <mergeCell ref="AP52:AP53"/>
    <mergeCell ref="AD52:AD56"/>
    <mergeCell ref="G48:G60"/>
    <mergeCell ref="V48:AC48"/>
    <mergeCell ref="AD48:BB48"/>
    <mergeCell ref="H49:H59"/>
    <mergeCell ref="V49:AC49"/>
    <mergeCell ref="AD49:BB49"/>
    <mergeCell ref="AD47:BB47"/>
    <mergeCell ref="I50:I58"/>
    <mergeCell ref="P50:P58"/>
    <mergeCell ref="V50:AC50"/>
    <mergeCell ref="J51:J57"/>
    <mergeCell ref="Q51:Q57"/>
    <mergeCell ref="V51:AC51"/>
    <mergeCell ref="AD51:BB51"/>
    <mergeCell ref="BC40:BC44"/>
    <mergeCell ref="S41:S44"/>
    <mergeCell ref="T41:T44"/>
    <mergeCell ref="AC41:AC44"/>
    <mergeCell ref="AD41:AG44"/>
    <mergeCell ref="AH41:AK44"/>
    <mergeCell ref="X42:Y43"/>
    <mergeCell ref="V41:AB41"/>
    <mergeCell ref="AP41:AS44"/>
    <mergeCell ref="AT41:AZ41"/>
    <mergeCell ref="AT42:AU43"/>
    <mergeCell ref="AV42:AW43"/>
    <mergeCell ref="AX42:AZ43"/>
    <mergeCell ref="AA44:AB44"/>
    <mergeCell ref="AY44:AZ44"/>
    <mergeCell ref="AL41:AO44"/>
    <mergeCell ref="BA41:BA44"/>
    <mergeCell ref="BB41:BB44"/>
    <mergeCell ref="V42:W43"/>
    <mergeCell ref="Z42:AB43"/>
    <mergeCell ref="K52:K56"/>
    <mergeCell ref="S52:S56"/>
    <mergeCell ref="S32:T32"/>
    <mergeCell ref="V32:AB32"/>
    <mergeCell ref="AD32:AZ32"/>
    <mergeCell ref="S36:T36"/>
    <mergeCell ref="V36:AB36"/>
    <mergeCell ref="AD36:AZ36"/>
    <mergeCell ref="S37:T37"/>
    <mergeCell ref="V37:AB37"/>
    <mergeCell ref="AD37:AZ37"/>
    <mergeCell ref="S33:T33"/>
    <mergeCell ref="V33:AB33"/>
    <mergeCell ref="AD33:AZ33"/>
    <mergeCell ref="S34:T34"/>
    <mergeCell ref="V34:AB34"/>
    <mergeCell ref="AD34:AZ34"/>
    <mergeCell ref="V39:AC39"/>
    <mergeCell ref="AD39:BA39"/>
    <mergeCell ref="S40:BB40"/>
    <mergeCell ref="AA45:AB45"/>
    <mergeCell ref="AY45:AZ45"/>
    <mergeCell ref="AD50:BB50"/>
    <mergeCell ref="S29:AZ29"/>
    <mergeCell ref="BC8:BC13"/>
    <mergeCell ref="AK8:AK10"/>
    <mergeCell ref="AL8:AL10"/>
    <mergeCell ref="AE8:AE11"/>
    <mergeCell ref="AF8:AF11"/>
    <mergeCell ref="AG8:AG11"/>
    <mergeCell ref="S31:T31"/>
    <mergeCell ref="V31:AB31"/>
    <mergeCell ref="AD31:AZ31"/>
    <mergeCell ref="AD7:BB7"/>
    <mergeCell ref="K8:K12"/>
    <mergeCell ref="R8:R12"/>
    <mergeCell ref="S8:S12"/>
    <mergeCell ref="T8:T12"/>
    <mergeCell ref="AH8:AH11"/>
    <mergeCell ref="AI8:AI10"/>
    <mergeCell ref="AJ8:AJ10"/>
    <mergeCell ref="S28:AZ28"/>
    <mergeCell ref="E2:E18"/>
    <mergeCell ref="V2:AC2"/>
    <mergeCell ref="AD2:BB2"/>
    <mergeCell ref="F3:F17"/>
    <mergeCell ref="V3:AC3"/>
    <mergeCell ref="AD3:BB3"/>
    <mergeCell ref="G4:G16"/>
    <mergeCell ref="V4:AC4"/>
    <mergeCell ref="AD4:BB4"/>
    <mergeCell ref="H5:H15"/>
    <mergeCell ref="AM8:AM9"/>
    <mergeCell ref="AN8:AN9"/>
    <mergeCell ref="AO8:AO9"/>
    <mergeCell ref="AP8:AP9"/>
    <mergeCell ref="AD8:AD12"/>
    <mergeCell ref="V5:AC5"/>
    <mergeCell ref="AD5:BB5"/>
    <mergeCell ref="I6:I14"/>
    <mergeCell ref="P6:P14"/>
    <mergeCell ref="V6:AC6"/>
    <mergeCell ref="AD6:BB6"/>
    <mergeCell ref="J7:J13"/>
    <mergeCell ref="Q7:Q13"/>
    <mergeCell ref="V7:AC7"/>
  </mergeCells>
  <dataValidations count="9">
    <dataValidation type="list" allowBlank="1" showInputMessage="1" showErrorMessage="1" errorTitle="Ошибка" error="Выберите значение из списка" sqref="T65589 T131125 T196661 T262197 T327733 T393269 T458805 T524341 T589877 T655413 T720949 T786485 T852021 T917557 T983093">
      <formula1>kind_of_heat_transfer</formula1>
    </dataValidation>
    <dataValidation type="list" allowBlank="1" showInputMessage="1" showErrorMessage="1" errorTitle="Ошибка" error="Выберите значение из списка" sqref="AD917555:AS917555 AD983091:AS983091 AD65587:AS65587 AD131123:AS131123 AD196659:AS196659 AD262195:AS262195 AD327731:AS327731 AD393267:AS393267 AD458803:AS458803 AD524339:AS524339 AD589875:AS589875 AD655411:AS655411 AD720947:AS720947 AD786483:AS786483 AD852019:AS852019">
      <formula1>kind_of_scheme_in</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9 Z131125 Z196661 Z262197 Z327733 Z393269 Z458805 Z524341 Z589877 Z655413 Z720949 Z786485 Z852021 Z917557 Z983093 AB65589 AB131125 AB196661 AB262197 AB327733 AB393269 AB458805 AB524341 AB589877 AB655413 AB720949 AB786485 AB852021 AB917557 AB983093 Z8 AB8 AX65589 AX131125 AX196661 AX262197 AX327733 AX393269 AX458805 AX524341 AX589877 AX655413 AX720949 AX786485 AX852021 AX917557 AX983093 AZ65589 AZ131125 AZ196661 AZ262197 AZ327733 AZ393269 AZ458805 AZ524341 AZ589877 AZ655413 AZ720949 AZ786485 AZ852021 AZ917557 AZ983093 AX52 AX20 AZ8 AZ52 AX8 AZ20 Z52 AB52"/>
    <dataValidation allowBlank="1" promptTitle="checkPeriodRange" sqref="W131126 W196662 W262198 W327734 W393270 W458806 W524342 W589878 W655414 W720950 W786486 W852022 W917558 W983094 AW56 AU12 BB12 AW65590 AW131126 AW196662 AW262198 AW327734 AW393270 AW458806 AW524342 AW589878 AW655414 AW720950 AW786486 AW852022 AW917558 AW983094 Y65590 Y56 W65590 Y131126 Y196662 Y262198 Y327734 Y393270 Y458806 Y524342 Y589878 Y655414 Y720950 Y786486 Y852022 Y917558 Y983094 AU56 Y12 BB56 W12 AW12 W56"/>
    <dataValidation type="textLength" operator="lessThanOrEqual" allowBlank="1" showInputMessage="1" showErrorMessage="1" errorTitle="Ошибка" error="Допускается ввод не более 900 символов!" sqref="BC65583:BC65590 BC131119:BC131126 BC196655:BC196662 BC262191:BC262198 BC327727:BC327734 BC393263:BC393270 BC458799:BC458806 BC524335:BC524342 BC589871:BC589878 BC655407:BC655414 BC720943:BC720950 BC786479:BC786486 BC852015:BC852022 BC917551:BC917558 BC983087:BC983094 AS8 T8:T12 AS52 T52:T56">
      <formula1>900</formula1>
    </dataValidation>
    <dataValidation allowBlank="1" showInputMessage="1" showErrorMessage="1" prompt="Для выбора выполните двойной щелчок левой клавиши мыши по соответствующей ячейке." sqref="AA65589 AA131125 AA196661 AA262197 AA327733 AA393269 AA458805 AA524341 AA589877 AA655413 AA720949 AA786485 AA852021 AA917557 AA983093 AC131125 AC458805 AC196661 AC262197 AC327733 AC393269 AC524341 AC589877 AC655413 AC720949 AC786485 AC852021 AC917557 AC983093 AC65589 AH52:AH53 AY8 AP52 AK52:AL53 AA8 AY65589 AY131125 AY196661 AY262197 AY327733 AY393269 AY458805 AY524341 AY589877 AY655413 AY720949 AY786485 AY852021 AY917557 AY983093 BA458805 BA196661 BA262197 BA327733 BA393269 BA524341 BA589877 BA655413 BA720949 BA786485 BA852021 BA917557 BA983093 BA65589 BA52 AC8:AD8 BA20 BA8 AY52 AK8:AL9 AD20 AG20:AH20 AK20:AL20 AP20 AY20 AH8:AH9 AP8 BA131125 AC52:AD52 AA52"/>
    <dataValidation type="decimal" allowBlank="1" showErrorMessage="1" errorTitle="Ошибка" error="Допускается ввод только действительных чисел!" sqref="AO52:AO53 AG8:AG11 AO8:AO9 AG52:AG55">
      <formula1>-9.99999999999999E+23</formula1>
      <formula2>9.99999999999999E+23</formula2>
    </dataValidation>
    <dataValidation type="list" allowBlank="1" showInputMessage="1" errorTitle="Ошибка" error="Выберите значение из списка" prompt="Выберите значение из списка" sqref="V983092:BB983092 V917556:BB917556 V852020:BB852020 V786484:BB786484 V720948:BB720948 V655412:BB655412 V589876:BB589876 V524340:BB524340 V458804:BB458804 V393268:BB393268 V327732:BB327732 V262196:BB262196 V196660:BB196660 V131124:BB131124 V65588:BB65588">
      <formula1>kind_of_cons</formula1>
    </dataValidation>
    <dataValidation allowBlank="1" sqref="S65591:BC65597 S983095:BC983101 S917559:BC917565 S852023:BC852029 S786487:BC786493 S720951:BC720957 S655415:BC655421 S589879:BC589885 S524343:BC524349 S458807:BC458813 S393271:BC393277 S327735:BC327741 S262199:BC262205 S196663:BC196669 S131127:BC131133"/>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6" tint="0.39997558519241921"/>
  </sheetPr>
  <dimension ref="A1:AQ58"/>
  <sheetViews>
    <sheetView showGridLines="0" zoomScale="90" workbookViewId="0">
      <pane xSplit="28" ySplit="40" topLeftCell="AC41" activePane="bottomRight" state="frozen"/>
      <selection pane="topRight" activeCell="AC1" sqref="AC1"/>
      <selection pane="bottomLeft" activeCell="A41" sqref="A41"/>
      <selection pane="bottomRight"/>
    </sheetView>
  </sheetViews>
  <sheetFormatPr defaultColWidth="10.5703125" defaultRowHeight="14.25" customHeight="1"/>
  <cols>
    <col min="1" max="1" width="10.5703125" style="1291" hidden="1"/>
    <col min="2" max="2" width="11" style="1291" hidden="1" customWidth="1"/>
    <col min="3" max="3" width="10.5703125" style="1291" hidden="1"/>
    <col min="4" max="4" width="11.85546875" style="1291" hidden="1" customWidth="1"/>
    <col min="5" max="5" width="10" style="1291" hidden="1" customWidth="1"/>
    <col min="6" max="6" width="8.7109375" style="1291" hidden="1" customWidth="1"/>
    <col min="7" max="7" width="7.5703125" style="1291" hidden="1" customWidth="1"/>
    <col min="8" max="8" width="11.42578125" style="1291" hidden="1" customWidth="1"/>
    <col min="9" max="9" width="14.140625" style="1291" hidden="1" customWidth="1"/>
    <col min="10" max="10" width="9.85546875" style="1291" hidden="1" customWidth="1"/>
    <col min="11" max="11" width="14.7109375" style="1291" hidden="1" customWidth="1"/>
    <col min="12" max="12" width="19.140625" style="2002" hidden="1" customWidth="1"/>
    <col min="13" max="14" width="12.28515625" style="1701" hidden="1" customWidth="1"/>
    <col min="15" max="15" width="23.42578125" style="1701" hidden="1" customWidth="1"/>
    <col min="16" max="16" width="3" style="2000" customWidth="1"/>
    <col min="17" max="18" width="3" style="280" customWidth="1"/>
    <col min="19" max="19" width="12" style="2001" customWidth="1"/>
    <col min="20" max="20" width="35" style="1560" customWidth="1"/>
    <col min="21" max="21" width="0.140625" style="1560" customWidth="1"/>
    <col min="22" max="24" width="24.7109375" style="1560" hidden="1" customWidth="1"/>
    <col min="25" max="25" width="11.7109375" style="1560" hidden="1" customWidth="1"/>
    <col min="26" max="26" width="3.7109375" style="1560" hidden="1" customWidth="1"/>
    <col min="27" max="27" width="11.7109375" style="1560" hidden="1" customWidth="1"/>
    <col min="28" max="28" width="8.5703125" style="1560" hidden="1" customWidth="1"/>
    <col min="29" max="29" width="24.7109375" style="1560" customWidth="1"/>
    <col min="30" max="31" width="24" style="1560" customWidth="1"/>
    <col min="32" max="32" width="11" style="1560" customWidth="1"/>
    <col min="33" max="33" width="3.7109375" style="1560" customWidth="1"/>
    <col min="34" max="34" width="11" style="1560" customWidth="1"/>
    <col min="35" max="35" width="8.5703125" style="1560" hidden="1" customWidth="1"/>
    <col min="36" max="36" width="4" style="1560" customWidth="1"/>
    <col min="37" max="37" width="115" style="1560" customWidth="1"/>
    <col min="38" max="42" width="10" style="1567" customWidth="1"/>
    <col min="43" max="43" width="10.5703125" style="1560" hidden="1"/>
  </cols>
  <sheetData>
    <row r="1" spans="1:43" ht="22.5" hidden="1" customHeight="1">
      <c r="X1" s="263"/>
      <c r="Y1" s="263"/>
      <c r="AE1" s="263"/>
      <c r="AF1" s="263"/>
      <c r="AQ1" s="1080" t="s">
        <v>14</v>
      </c>
    </row>
    <row r="2" spans="1:43" ht="23.25" hidden="1" customHeight="1">
      <c r="A2" s="1288"/>
      <c r="B2" s="1288"/>
      <c r="C2" s="1288"/>
      <c r="D2" s="1288"/>
      <c r="E2" s="2186">
        <v>1</v>
      </c>
      <c r="F2" s="1288"/>
      <c r="G2" s="1288"/>
      <c r="H2" s="1288"/>
      <c r="I2" s="1288"/>
      <c r="J2" s="1288"/>
      <c r="K2" s="1288"/>
      <c r="L2" s="1289"/>
      <c r="M2" s="1290"/>
      <c r="N2" s="1290"/>
      <c r="O2" s="1290"/>
      <c r="P2" s="296"/>
      <c r="Q2" s="295"/>
      <c r="R2" s="290"/>
      <c r="S2" s="1418" t="e">
        <f>INDEX(PT_DIFFERENTIATION_NUM_NTAR,MATCH(A2,PT_DIFFERENTIATION_NTAR_ID,0))</f>
        <v>#N/A</v>
      </c>
      <c r="T2" s="234" t="s">
        <v>124</v>
      </c>
      <c r="U2" s="236"/>
      <c r="V2" s="2172"/>
      <c r="W2" s="2173"/>
      <c r="X2" s="2173"/>
      <c r="Y2" s="2173"/>
      <c r="Z2" s="2173"/>
      <c r="AA2" s="2173"/>
      <c r="AB2" s="2174"/>
      <c r="AC2" s="2172" t="e">
        <f>INDEX(PT_DIFFERENTIATION_NTAR,MATCH(A2,PT_DIFFERENTIATION_NTAR_ID,0))</f>
        <v>#N/A</v>
      </c>
      <c r="AD2" s="2173"/>
      <c r="AE2" s="2173"/>
      <c r="AF2" s="2173"/>
      <c r="AG2" s="2173"/>
      <c r="AH2" s="2173"/>
      <c r="AI2" s="2173"/>
      <c r="AJ2" s="2174"/>
      <c r="AK2" s="1183"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2" s="435"/>
      <c r="AN2" s="435" t="str">
        <f t="shared" ref="AN2:AN13" si="0">IF(T2="","",T2)</f>
        <v>Наименование тарифа</v>
      </c>
      <c r="AO2" s="435"/>
      <c r="AP2" s="435"/>
      <c r="AQ2" s="1080">
        <v>0</v>
      </c>
    </row>
    <row r="3" spans="1:43" ht="23.25" hidden="1" customHeight="1">
      <c r="A3" s="1288"/>
      <c r="B3" s="1288"/>
      <c r="C3" s="1288"/>
      <c r="D3" s="1288"/>
      <c r="E3" s="2187"/>
      <c r="F3" s="2186">
        <v>1</v>
      </c>
      <c r="G3" s="1288"/>
      <c r="H3" s="1288"/>
      <c r="I3" s="1288"/>
      <c r="J3" s="1288"/>
      <c r="K3" s="1288"/>
      <c r="L3" s="1289"/>
      <c r="M3" s="1290"/>
      <c r="N3" s="1290"/>
      <c r="O3" s="1290"/>
      <c r="P3" s="1412"/>
      <c r="Q3" s="287"/>
      <c r="R3" s="288"/>
      <c r="S3" s="1418" t="e">
        <f>INDEX(PT_DIFFERENTIATION_NUM_TER,MATCH(B3,PT_DIFFERENTIATION_TER_ID,0))</f>
        <v>#N/A</v>
      </c>
      <c r="T3" s="244" t="s">
        <v>396</v>
      </c>
      <c r="U3" s="236"/>
      <c r="V3" s="2172"/>
      <c r="W3" s="2173"/>
      <c r="X3" s="2173"/>
      <c r="Y3" s="2173"/>
      <c r="Z3" s="2173"/>
      <c r="AA3" s="2173"/>
      <c r="AB3" s="2174"/>
      <c r="AC3" s="2172" t="e">
        <f>INDEX(PT_DIFFERENTIATION_TER,MATCH(B3,PT_DIFFERENTIATION_TER_ID,0))</f>
        <v>#N/A</v>
      </c>
      <c r="AD3" s="2173"/>
      <c r="AE3" s="2173"/>
      <c r="AF3" s="2173"/>
      <c r="AG3" s="2173"/>
      <c r="AH3" s="2173"/>
      <c r="AI3" s="2173"/>
      <c r="AJ3" s="2174"/>
      <c r="AK3" s="1183" t="s">
        <v>397</v>
      </c>
      <c r="AM3" s="435"/>
      <c r="AN3" s="435" t="str">
        <f t="shared" si="0"/>
        <v>Территория действия тарифа</v>
      </c>
      <c r="AO3" s="435"/>
      <c r="AP3" s="435"/>
      <c r="AQ3" s="1080">
        <v>0</v>
      </c>
    </row>
    <row r="4" spans="1:43" ht="23.25" hidden="1" customHeight="1">
      <c r="A4" s="1288"/>
      <c r="B4" s="1288"/>
      <c r="C4" s="1288"/>
      <c r="D4" s="1288"/>
      <c r="E4" s="2187"/>
      <c r="F4" s="2187"/>
      <c r="G4" s="2186">
        <v>1</v>
      </c>
      <c r="H4" s="1288"/>
      <c r="I4" s="1288"/>
      <c r="J4" s="1288"/>
      <c r="K4" s="1288"/>
      <c r="L4" s="1289"/>
      <c r="M4" s="1290"/>
      <c r="N4" s="1290"/>
      <c r="O4" s="1290"/>
      <c r="P4" s="289"/>
      <c r="Q4" s="287"/>
      <c r="R4" s="288"/>
      <c r="S4" s="1418" t="e">
        <f>INDEX(PT_DIFFERENTIATION_NUM_CS,MATCH(C4,PT_DIFFERENTIATION_CS_ID,0))</f>
        <v>#N/A</v>
      </c>
      <c r="T4" s="245" t="s">
        <v>515</v>
      </c>
      <c r="U4" s="236"/>
      <c r="V4" s="2172"/>
      <c r="W4" s="2173"/>
      <c r="X4" s="2173"/>
      <c r="Y4" s="2173"/>
      <c r="Z4" s="2173"/>
      <c r="AA4" s="2173"/>
      <c r="AB4" s="2174"/>
      <c r="AC4" s="2172" t="e">
        <f>INDEX(PT_DIFFERENTIATION_CS,MATCH(C4,PT_DIFFERENTIATION_CS_ID,0))</f>
        <v>#N/A</v>
      </c>
      <c r="AD4" s="2173"/>
      <c r="AE4" s="2173"/>
      <c r="AF4" s="2173"/>
      <c r="AG4" s="2173"/>
      <c r="AH4" s="2173"/>
      <c r="AI4" s="2173"/>
      <c r="AJ4" s="2174"/>
      <c r="AK4" s="1183" t="s">
        <v>516</v>
      </c>
      <c r="AM4" s="435"/>
      <c r="AN4" s="435" t="str">
        <f t="shared" si="0"/>
        <v>Наименование централизованной системы водоотведения</v>
      </c>
      <c r="AO4" s="435"/>
      <c r="AP4" s="435"/>
      <c r="AQ4" s="1080">
        <v>0</v>
      </c>
    </row>
    <row r="5" spans="1:43" ht="23.25" hidden="1" customHeight="1">
      <c r="A5" s="1288"/>
      <c r="B5" s="1288"/>
      <c r="C5" s="1288"/>
      <c r="D5" s="1288"/>
      <c r="E5" s="2187"/>
      <c r="F5" s="2187"/>
      <c r="G5" s="2187"/>
      <c r="H5" s="2187"/>
      <c r="I5" s="2184" t="e">
        <f>S4&amp;".1"</f>
        <v>#N/A</v>
      </c>
      <c r="J5" s="1288"/>
      <c r="K5" s="1288"/>
      <c r="L5" s="1289"/>
      <c r="P5" s="2185">
        <v>1</v>
      </c>
      <c r="Q5" s="1406"/>
      <c r="R5" s="291"/>
      <c r="S5" s="1418" t="e">
        <f>$I5</f>
        <v>#N/A</v>
      </c>
      <c r="T5" s="221" t="s">
        <v>482</v>
      </c>
      <c r="U5" s="236"/>
      <c r="V5" s="2253"/>
      <c r="W5" s="2254"/>
      <c r="X5" s="2254"/>
      <c r="Y5" s="2254"/>
      <c r="Z5" s="2254"/>
      <c r="AA5" s="2254"/>
      <c r="AB5" s="2255"/>
      <c r="AC5" s="2256"/>
      <c r="AD5" s="2257"/>
      <c r="AE5" s="2257"/>
      <c r="AF5" s="2257"/>
      <c r="AG5" s="2257"/>
      <c r="AH5" s="2257"/>
      <c r="AI5" s="2257"/>
      <c r="AJ5" s="2258"/>
      <c r="AK5" s="1183" t="s">
        <v>483</v>
      </c>
      <c r="AM5" s="435"/>
      <c r="AN5" s="435" t="str">
        <f t="shared" si="0"/>
        <v>Наименование признака дифференциации</v>
      </c>
      <c r="AO5" s="435"/>
      <c r="AP5" s="435"/>
      <c r="AQ5" s="1080">
        <v>0</v>
      </c>
    </row>
    <row r="6" spans="1:43" ht="23.25" hidden="1" customHeight="1">
      <c r="A6" s="1288"/>
      <c r="B6" s="1288"/>
      <c r="C6" s="1288"/>
      <c r="D6" s="1288"/>
      <c r="E6" s="2187"/>
      <c r="F6" s="2187"/>
      <c r="G6" s="2187"/>
      <c r="H6" s="2187"/>
      <c r="I6" s="2207"/>
      <c r="J6" s="2184" t="e">
        <f>I5&amp;".1"</f>
        <v>#N/A</v>
      </c>
      <c r="K6" s="1288"/>
      <c r="L6" s="1289" t="s">
        <v>405</v>
      </c>
      <c r="P6" s="2185"/>
      <c r="Q6" s="2185">
        <v>1</v>
      </c>
      <c r="R6" s="292"/>
      <c r="S6" s="1418" t="e">
        <f>$J6</f>
        <v>#N/A</v>
      </c>
      <c r="T6" s="222" t="s">
        <v>406</v>
      </c>
      <c r="U6" s="236"/>
      <c r="V6" s="2175"/>
      <c r="W6" s="2176"/>
      <c r="X6" s="2176"/>
      <c r="Y6" s="2176"/>
      <c r="Z6" s="2176"/>
      <c r="AA6" s="2176"/>
      <c r="AB6" s="2177"/>
      <c r="AC6" s="2175"/>
      <c r="AD6" s="2176"/>
      <c r="AE6" s="2176"/>
      <c r="AF6" s="2176"/>
      <c r="AG6" s="2176"/>
      <c r="AH6" s="2176"/>
      <c r="AI6" s="2176"/>
      <c r="AJ6" s="2177"/>
      <c r="AK6" s="1232" t="s">
        <v>484</v>
      </c>
      <c r="AM6" s="435"/>
      <c r="AN6" s="435" t="str">
        <f t="shared" si="0"/>
        <v>Группа потребителей</v>
      </c>
      <c r="AO6" s="435"/>
      <c r="AP6" s="435"/>
      <c r="AQ6" s="1080">
        <v>0</v>
      </c>
    </row>
    <row r="7" spans="1:43" ht="23.25" hidden="1" customHeight="1">
      <c r="A7" s="1288"/>
      <c r="B7" s="1288"/>
      <c r="C7" s="1288"/>
      <c r="D7" s="1288"/>
      <c r="E7" s="2187"/>
      <c r="F7" s="2187"/>
      <c r="G7" s="2187"/>
      <c r="H7" s="2187"/>
      <c r="I7" s="2207"/>
      <c r="J7" s="2207"/>
      <c r="K7" s="2184" t="e">
        <f>J6&amp;".1"</f>
        <v>#N/A</v>
      </c>
      <c r="L7" s="1289"/>
      <c r="P7" s="2185"/>
      <c r="Q7" s="2185"/>
      <c r="R7" s="292">
        <v>1</v>
      </c>
      <c r="S7" s="1418" t="e">
        <f>$K7</f>
        <v>#N/A</v>
      </c>
      <c r="T7" s="1362"/>
      <c r="U7" s="236"/>
      <c r="V7" s="686"/>
      <c r="W7" s="686"/>
      <c r="X7" s="1182"/>
      <c r="Y7" s="2189"/>
      <c r="Z7" s="2047" t="s">
        <v>66</v>
      </c>
      <c r="AA7" s="2189"/>
      <c r="AB7" s="2047" t="s">
        <v>66</v>
      </c>
      <c r="AC7" s="686"/>
      <c r="AD7" s="686"/>
      <c r="AE7" s="1182"/>
      <c r="AF7" s="2189"/>
      <c r="AG7" s="2047" t="s">
        <v>66</v>
      </c>
      <c r="AH7" s="2208"/>
      <c r="AI7" s="2047" t="s">
        <v>66</v>
      </c>
      <c r="AJ7" s="1363"/>
      <c r="AK7" s="2252"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7" s="446" t="e">
        <f ca="1">STRCHECKDATE(V8:AJ8)</f>
        <v>#NAME?</v>
      </c>
      <c r="AM7" s="435"/>
      <c r="AN7" s="435" t="str">
        <f t="shared" si="0"/>
        <v/>
      </c>
      <c r="AO7" s="435"/>
      <c r="AP7" s="435"/>
      <c r="AQ7" s="1080">
        <v>0</v>
      </c>
    </row>
    <row r="8" spans="1:43" ht="14.25" hidden="1" customHeight="1">
      <c r="A8" s="1288"/>
      <c r="B8" s="1288"/>
      <c r="C8" s="1288"/>
      <c r="D8" s="1288"/>
      <c r="E8" s="2187"/>
      <c r="F8" s="2187"/>
      <c r="G8" s="2187"/>
      <c r="H8" s="2187"/>
      <c r="I8" s="2207"/>
      <c r="J8" s="2207"/>
      <c r="K8" s="2184"/>
      <c r="L8" s="1289"/>
      <c r="P8" s="2185"/>
      <c r="Q8" s="2185"/>
      <c r="R8" s="292"/>
      <c r="S8" s="1415"/>
      <c r="T8" s="236"/>
      <c r="U8" s="236"/>
      <c r="V8" s="261"/>
      <c r="W8" s="261"/>
      <c r="X8" s="264" t="str">
        <f>Y7&amp;"-"&amp;AA7</f>
        <v>-</v>
      </c>
      <c r="Y8" s="2190"/>
      <c r="Z8" s="2047"/>
      <c r="AA8" s="2190"/>
      <c r="AB8" s="2047"/>
      <c r="AC8" s="261"/>
      <c r="AD8" s="261"/>
      <c r="AE8" s="264" t="str">
        <f>AF7&amp;"-"&amp;AH7</f>
        <v>-</v>
      </c>
      <c r="AF8" s="2190"/>
      <c r="AG8" s="2047"/>
      <c r="AH8" s="2209"/>
      <c r="AI8" s="2047"/>
      <c r="AJ8" s="1364"/>
      <c r="AK8" s="2252"/>
      <c r="AM8" s="435"/>
      <c r="AN8" s="435" t="str">
        <f t="shared" si="0"/>
        <v/>
      </c>
      <c r="AO8" s="435"/>
      <c r="AP8" s="435"/>
      <c r="AQ8" s="1080">
        <v>0</v>
      </c>
    </row>
    <row r="9" spans="1:43" ht="21" hidden="1" customHeight="1">
      <c r="A9" s="1288"/>
      <c r="B9" s="1288"/>
      <c r="C9" s="1288"/>
      <c r="D9" s="1288"/>
      <c r="E9" s="2187"/>
      <c r="F9" s="2187"/>
      <c r="G9" s="2187"/>
      <c r="H9" s="2187"/>
      <c r="I9" s="2207"/>
      <c r="J9" s="2184"/>
      <c r="K9" s="1288"/>
      <c r="L9" s="1289"/>
      <c r="P9" s="2185"/>
      <c r="Q9" s="2185"/>
      <c r="R9" s="291"/>
      <c r="S9" s="1203"/>
      <c r="T9" s="223" t="s">
        <v>485</v>
      </c>
      <c r="U9" s="302"/>
      <c r="V9" s="302"/>
      <c r="W9" s="302"/>
      <c r="X9" s="302"/>
      <c r="Y9" s="302"/>
      <c r="Z9" s="302"/>
      <c r="AA9" s="302"/>
      <c r="AB9" s="302"/>
      <c r="AC9" s="302"/>
      <c r="AD9" s="302"/>
      <c r="AE9" s="302"/>
      <c r="AF9" s="302"/>
      <c r="AG9" s="302"/>
      <c r="AH9" s="302"/>
      <c r="AI9" s="302"/>
      <c r="AJ9" s="302"/>
      <c r="AK9" s="1183" t="s">
        <v>486</v>
      </c>
      <c r="AM9" s="435"/>
      <c r="AN9" s="435" t="str">
        <f t="shared" si="0"/>
        <v>Добавить значение признака дифференциации</v>
      </c>
      <c r="AO9" s="435"/>
      <c r="AP9" s="435"/>
      <c r="AQ9" s="1080">
        <v>0</v>
      </c>
    </row>
    <row r="10" spans="1:43" ht="21" hidden="1" customHeight="1">
      <c r="A10" s="1288"/>
      <c r="B10" s="1288"/>
      <c r="C10" s="1288"/>
      <c r="D10" s="1288"/>
      <c r="E10" s="2187"/>
      <c r="F10" s="2187"/>
      <c r="G10" s="2187"/>
      <c r="H10" s="2187"/>
      <c r="I10" s="2184"/>
      <c r="J10" s="1288"/>
      <c r="K10" s="1288"/>
      <c r="L10" s="1289"/>
      <c r="P10" s="2185"/>
      <c r="Q10" s="1406"/>
      <c r="R10" s="291"/>
      <c r="S10" s="1203"/>
      <c r="T10" s="300" t="s">
        <v>411</v>
      </c>
      <c r="U10" s="302"/>
      <c r="V10" s="302"/>
      <c r="W10" s="302"/>
      <c r="X10" s="302"/>
      <c r="Y10" s="302"/>
      <c r="Z10" s="302"/>
      <c r="AA10" s="302"/>
      <c r="AB10" s="301"/>
      <c r="AC10" s="302"/>
      <c r="AD10" s="302"/>
      <c r="AE10" s="302"/>
      <c r="AF10" s="302"/>
      <c r="AG10" s="302"/>
      <c r="AH10" s="302"/>
      <c r="AI10" s="301"/>
      <c r="AJ10" s="302"/>
      <c r="AK10" s="1365"/>
      <c r="AM10" s="435"/>
      <c r="AN10" s="435" t="str">
        <f t="shared" si="0"/>
        <v>Добавить группу потребителей</v>
      </c>
      <c r="AO10" s="435"/>
      <c r="AP10" s="435"/>
      <c r="AQ10" s="1080">
        <v>0</v>
      </c>
    </row>
    <row r="11" spans="1:43" ht="21" hidden="1" customHeight="1">
      <c r="A11" s="1288"/>
      <c r="B11" s="1288"/>
      <c r="C11" s="1288"/>
      <c r="D11" s="1288"/>
      <c r="E11" s="2187"/>
      <c r="F11" s="2187"/>
      <c r="G11" s="2187"/>
      <c r="H11" s="2186"/>
      <c r="I11" s="1288"/>
      <c r="J11" s="1288"/>
      <c r="K11" s="1288"/>
      <c r="L11" s="1289"/>
      <c r="M11" s="1290"/>
      <c r="N11" s="1290"/>
      <c r="O11" s="472"/>
      <c r="P11" s="295"/>
      <c r="Q11" s="310"/>
      <c r="R11" s="290"/>
      <c r="S11" s="1203"/>
      <c r="T11" s="307" t="s">
        <v>487</v>
      </c>
      <c r="U11" s="302"/>
      <c r="V11" s="302"/>
      <c r="W11" s="302"/>
      <c r="X11" s="302"/>
      <c r="Y11" s="302"/>
      <c r="Z11" s="302"/>
      <c r="AA11" s="302"/>
      <c r="AB11" s="301"/>
      <c r="AC11" s="302"/>
      <c r="AD11" s="302"/>
      <c r="AE11" s="302"/>
      <c r="AF11" s="302"/>
      <c r="AG11" s="302"/>
      <c r="AH11" s="302"/>
      <c r="AI11" s="301"/>
      <c r="AJ11" s="302"/>
      <c r="AK11" s="239"/>
      <c r="AM11" s="435"/>
      <c r="AN11" s="435" t="str">
        <f t="shared" si="0"/>
        <v>Добавить наименование признака дифференциации</v>
      </c>
      <c r="AO11" s="435"/>
      <c r="AP11" s="435"/>
      <c r="AQ11" s="1080">
        <v>0</v>
      </c>
    </row>
    <row r="12" spans="1:43" s="1567" customFormat="1" ht="14.25" hidden="1" customHeight="1">
      <c r="A12" s="1268"/>
      <c r="B12" s="1268"/>
      <c r="C12" s="1239"/>
      <c r="D12" s="1239"/>
      <c r="E12" s="2187"/>
      <c r="F12" s="2186"/>
      <c r="G12" s="1239"/>
      <c r="H12" s="1239"/>
      <c r="I12" s="1239"/>
      <c r="J12" s="1239"/>
      <c r="K12" s="1239"/>
      <c r="L12" s="1419"/>
      <c r="M12" s="1246"/>
      <c r="N12" s="1246"/>
      <c r="P12" s="1241"/>
      <c r="Q12" s="1242"/>
      <c r="R12" s="1241"/>
      <c r="S12" s="1247"/>
      <c r="T12" s="1250" t="s">
        <v>414</v>
      </c>
      <c r="U12" s="1249"/>
      <c r="V12" s="1249"/>
      <c r="W12" s="1249"/>
      <c r="X12" s="1249"/>
      <c r="Y12" s="1249"/>
      <c r="Z12" s="1249"/>
      <c r="AA12" s="1249"/>
      <c r="AB12" s="1249"/>
      <c r="AC12" s="1249"/>
      <c r="AD12" s="1249"/>
      <c r="AE12" s="1249"/>
      <c r="AF12" s="1249"/>
      <c r="AG12" s="1249"/>
      <c r="AH12" s="1249"/>
      <c r="AI12" s="1249"/>
      <c r="AJ12" s="1249"/>
      <c r="AK12" s="1249"/>
      <c r="AM12" s="718"/>
      <c r="AN12" s="718" t="str">
        <f t="shared" si="0"/>
        <v>Добавить централизованную систему для дифференциации</v>
      </c>
      <c r="AO12" s="718"/>
      <c r="AP12" s="718"/>
      <c r="AQ12" s="453">
        <v>0</v>
      </c>
    </row>
    <row r="13" spans="1:43" s="1567" customFormat="1" ht="14.25" hidden="1" customHeight="1">
      <c r="A13" s="1268"/>
      <c r="B13" s="1268"/>
      <c r="C13" s="1268"/>
      <c r="D13" s="1268"/>
      <c r="E13" s="2186"/>
      <c r="F13" s="1268"/>
      <c r="G13" s="1268"/>
      <c r="H13" s="1268"/>
      <c r="I13" s="1268"/>
      <c r="J13" s="1268"/>
      <c r="K13" s="1268"/>
      <c r="L13" s="1271"/>
      <c r="M13" s="1246"/>
      <c r="N13" s="1246"/>
      <c r="O13" s="453"/>
      <c r="P13" s="315"/>
      <c r="Q13" s="1269"/>
      <c r="R13" s="315"/>
      <c r="S13" s="1247"/>
      <c r="T13" s="1250" t="s">
        <v>415</v>
      </c>
      <c r="U13" s="1249"/>
      <c r="V13" s="1249"/>
      <c r="W13" s="1249"/>
      <c r="X13" s="1249"/>
      <c r="Y13" s="1249"/>
      <c r="Z13" s="1249"/>
      <c r="AA13" s="1249"/>
      <c r="AB13" s="1249"/>
      <c r="AC13" s="1249"/>
      <c r="AD13" s="1249"/>
      <c r="AE13" s="1249"/>
      <c r="AF13" s="1249"/>
      <c r="AG13" s="1249"/>
      <c r="AH13" s="1249"/>
      <c r="AI13" s="1249"/>
      <c r="AJ13" s="1249"/>
      <c r="AK13" s="1249"/>
      <c r="AM13" s="435"/>
      <c r="AN13" s="435" t="str">
        <f t="shared" si="0"/>
        <v>Добавить территорию для дифференциации</v>
      </c>
      <c r="AO13" s="435"/>
      <c r="AP13" s="435"/>
      <c r="AQ13" s="446">
        <v>0</v>
      </c>
    </row>
    <row r="14" spans="1:43" ht="14.25" hidden="1" customHeight="1">
      <c r="AB14" s="263"/>
      <c r="AI14" s="263"/>
      <c r="AQ14" s="1080">
        <v>0</v>
      </c>
    </row>
    <row r="15" spans="1:43" ht="14.25" hidden="1" customHeight="1">
      <c r="AC15" s="1285"/>
      <c r="AD15" s="1285"/>
      <c r="AE15" s="1286"/>
      <c r="AF15" s="2191"/>
      <c r="AG15" s="2192" t="s">
        <v>66</v>
      </c>
      <c r="AH15" s="2191"/>
      <c r="AI15" s="2192" t="s">
        <v>66</v>
      </c>
      <c r="AQ15" s="1080">
        <v>0</v>
      </c>
    </row>
    <row r="16" spans="1:43" ht="14.25" hidden="1" customHeight="1">
      <c r="AC16" s="1285"/>
      <c r="AD16" s="1285"/>
      <c r="AE16" s="264" t="str">
        <f>AF15&amp;"-"&amp;AH15</f>
        <v>-</v>
      </c>
      <c r="AF16" s="2192"/>
      <c r="AG16" s="2192"/>
      <c r="AH16" s="2192"/>
      <c r="AI16" s="2192"/>
      <c r="AQ16" s="1080">
        <v>0</v>
      </c>
    </row>
    <row r="17" spans="1:43" ht="14.25" hidden="1" customHeight="1">
      <c r="AI17" s="263"/>
      <c r="AQ17" s="1080">
        <v>0</v>
      </c>
    </row>
    <row r="18" spans="1:43" s="1291" customFormat="1" ht="22.5" hidden="1" customHeight="1">
      <c r="L18" s="1403"/>
      <c r="M18" s="1287"/>
      <c r="N18" s="1287"/>
      <c r="O18" s="1292" t="s">
        <v>416</v>
      </c>
      <c r="P18" s="1287"/>
      <c r="Q18" s="1296"/>
      <c r="R18" s="1296"/>
      <c r="S18" s="664"/>
      <c r="Y18" s="1292"/>
      <c r="AA18" s="1292"/>
      <c r="AF18" s="1292"/>
      <c r="AH18" s="1292"/>
      <c r="AL18" s="446"/>
      <c r="AM18" s="446"/>
      <c r="AN18" s="446"/>
      <c r="AO18" s="446"/>
      <c r="AP18" s="446"/>
      <c r="AQ18" s="1085">
        <v>0</v>
      </c>
    </row>
    <row r="19" spans="1:43" s="1291" customFormat="1" ht="14.25" hidden="1" customHeight="1">
      <c r="L19" s="1403"/>
      <c r="M19" s="1287"/>
      <c r="N19" s="1287"/>
      <c r="O19" s="1287"/>
      <c r="P19" s="1287"/>
      <c r="Q19" s="1296"/>
      <c r="R19" s="1296"/>
      <c r="S19" s="664"/>
      <c r="AL19" s="446"/>
      <c r="AM19" s="446"/>
      <c r="AN19" s="446"/>
      <c r="AO19" s="446"/>
      <c r="AP19" s="446"/>
      <c r="AQ19" s="1085">
        <v>0</v>
      </c>
    </row>
    <row r="20" spans="1:43" s="1291" customFormat="1" ht="12" hidden="1" customHeight="1">
      <c r="L20" s="1403"/>
      <c r="M20" s="1287"/>
      <c r="N20" s="1287"/>
      <c r="O20" s="1289" t="s">
        <v>417</v>
      </c>
      <c r="P20" s="1287"/>
      <c r="Q20" s="1367"/>
      <c r="R20" s="1367"/>
      <c r="S20" s="664"/>
      <c r="T20" s="1085" t="s">
        <v>418</v>
      </c>
      <c r="Z20" s="122" t="s">
        <v>419</v>
      </c>
      <c r="AB20" s="122" t="s">
        <v>420</v>
      </c>
      <c r="AC20" s="1085" t="s">
        <v>418</v>
      </c>
      <c r="AG20" s="122" t="s">
        <v>421</v>
      </c>
      <c r="AI20" s="122" t="s">
        <v>420</v>
      </c>
      <c r="AQ20" s="1085">
        <v>0</v>
      </c>
    </row>
    <row r="21" spans="1:43" ht="14.25" hidden="1" customHeight="1">
      <c r="O21" s="1289"/>
      <c r="AQ21" s="1080">
        <v>0</v>
      </c>
    </row>
    <row r="22" spans="1:43" ht="14.25" hidden="1" customHeight="1">
      <c r="O22" s="1289"/>
      <c r="AQ22" s="1080">
        <v>0</v>
      </c>
    </row>
    <row r="23" spans="1:43" ht="14.65" customHeight="1">
      <c r="Q23" s="311"/>
      <c r="R23" s="311"/>
      <c r="S23" s="1200"/>
      <c r="T23" s="298"/>
      <c r="U23" s="298"/>
      <c r="V23" s="444"/>
      <c r="W23" s="444"/>
      <c r="X23" s="444"/>
      <c r="Y23" s="444"/>
      <c r="Z23" s="444"/>
      <c r="AA23" s="444"/>
      <c r="AB23" s="444"/>
      <c r="AC23" s="444"/>
      <c r="AD23" s="444"/>
      <c r="AE23" s="444"/>
      <c r="AF23" s="444"/>
      <c r="AG23" s="444"/>
      <c r="AH23" s="444"/>
      <c r="AI23" s="444"/>
      <c r="AQ23" s="1080">
        <v>14</v>
      </c>
    </row>
    <row r="24" spans="1:43" ht="14.65" customHeight="1">
      <c r="Q24" s="311"/>
      <c r="R24" s="311"/>
      <c r="S24" s="2170" t="str">
        <f>IF(TEMPLATE_GROUP="P",PT_P_FORM_VOTV_4_NAME_FORM,PT_R_FORM_VOTV_16_NAME_FORM)</f>
        <v>Форма 13. Информация о предложении организации водоотведения об установлении расчетной величины тарифов в сфере водоотведения на очередной период регулирования</v>
      </c>
      <c r="T24" s="2170"/>
      <c r="U24" s="2170"/>
      <c r="V24" s="2170"/>
      <c r="W24" s="2170"/>
      <c r="X24" s="2170"/>
      <c r="Y24" s="2170"/>
      <c r="Z24" s="2170"/>
      <c r="AA24" s="2170"/>
      <c r="AB24" s="2170"/>
      <c r="AC24" s="2170"/>
      <c r="AD24" s="2170"/>
      <c r="AE24" s="2170"/>
      <c r="AF24" s="2170"/>
      <c r="AG24" s="2170"/>
      <c r="AH24" s="2170"/>
      <c r="AI24" s="1168"/>
      <c r="AQ24" s="1080">
        <v>14</v>
      </c>
    </row>
    <row r="25" spans="1:43" ht="14.65" customHeight="1">
      <c r="Q25" s="311"/>
      <c r="R25" s="311"/>
      <c r="S25" s="2115" t="str">
        <f>IF(org=0,"Не определено",org)</f>
        <v>ООО "ЗЕНИТ ЭНЕРГО"</v>
      </c>
      <c r="T25" s="2115"/>
      <c r="U25" s="2115"/>
      <c r="V25" s="2115"/>
      <c r="W25" s="2115"/>
      <c r="X25" s="2115"/>
      <c r="Y25" s="2115"/>
      <c r="Z25" s="2115"/>
      <c r="AA25" s="2115"/>
      <c r="AB25" s="2115"/>
      <c r="AC25" s="2115"/>
      <c r="AD25" s="2115"/>
      <c r="AE25" s="2115"/>
      <c r="AF25" s="2115"/>
      <c r="AG25" s="2115"/>
      <c r="AH25" s="2115"/>
      <c r="AI25" s="1168"/>
      <c r="AQ25" s="1080">
        <v>14</v>
      </c>
    </row>
    <row r="26" spans="1:43" ht="14.25" hidden="1" customHeight="1">
      <c r="Q26" s="311"/>
      <c r="R26" s="311"/>
      <c r="S26" s="1200"/>
      <c r="T26" s="298"/>
      <c r="U26" s="298"/>
      <c r="V26" s="258"/>
      <c r="W26" s="258"/>
      <c r="X26" s="258"/>
      <c r="Y26" s="258"/>
      <c r="Z26" s="258"/>
      <c r="AA26" s="258"/>
      <c r="AB26" s="258"/>
      <c r="AC26" s="258"/>
      <c r="AD26" s="258"/>
      <c r="AE26" s="258"/>
      <c r="AF26" s="258"/>
      <c r="AG26" s="258"/>
      <c r="AH26" s="258"/>
      <c r="AI26" s="258"/>
      <c r="AJ26" s="444"/>
      <c r="AQ26" s="1080">
        <v>0</v>
      </c>
    </row>
    <row r="27" spans="1:43" s="1777" customFormat="1" ht="25.5" hidden="1" customHeight="1">
      <c r="A27" s="1293"/>
      <c r="B27" s="1293"/>
      <c r="C27" s="1293"/>
      <c r="D27" s="1293"/>
      <c r="E27" s="1293"/>
      <c r="F27" s="1293"/>
      <c r="G27" s="1293"/>
      <c r="H27" s="1293"/>
      <c r="I27" s="1293"/>
      <c r="J27" s="1293"/>
      <c r="K27" s="1293"/>
      <c r="L27" s="1294"/>
      <c r="M27" s="1293"/>
      <c r="N27" s="1293"/>
      <c r="O27" s="1293"/>
      <c r="S27" s="2178" t="s">
        <v>42</v>
      </c>
      <c r="T27" s="2178"/>
      <c r="U27" s="1297"/>
      <c r="V27" s="2179" t="str">
        <f>IF(TITLE_NAME_OR_PR_CHANGE="",IF(TITLE_NAME_OR_PR="","",TITLE_NAME_OR_PR),TITLE_NAME_OR_PR_CHANGE)</f>
        <v/>
      </c>
      <c r="W27" s="2179"/>
      <c r="X27" s="2179"/>
      <c r="Y27" s="2179"/>
      <c r="Z27" s="2179"/>
      <c r="AA27" s="2179"/>
      <c r="AB27" s="262"/>
      <c r="AC27" s="2179" t="str">
        <f>IF(TITLE_NAME_OR_PR_CHANGE="",IF(TITLE_NAME_OR_PR="","",TITLE_NAME_OR_PR),TITLE_NAME_OR_PR_CHANGE)</f>
        <v/>
      </c>
      <c r="AD27" s="2179"/>
      <c r="AE27" s="2179"/>
      <c r="AF27" s="2179"/>
      <c r="AG27" s="2179"/>
      <c r="AH27" s="2179"/>
      <c r="AI27" s="262"/>
      <c r="AJ27" s="262"/>
      <c r="AK27" s="216"/>
      <c r="AL27" s="303"/>
      <c r="AM27" s="303"/>
      <c r="AN27" s="303"/>
      <c r="AO27" s="303"/>
      <c r="AP27" s="303"/>
      <c r="AQ27" s="353">
        <v>0</v>
      </c>
    </row>
    <row r="28" spans="1:43" s="1777" customFormat="1" ht="18.75" hidden="1" customHeight="1">
      <c r="A28" s="1293"/>
      <c r="B28" s="1293"/>
      <c r="C28" s="1293"/>
      <c r="D28" s="1293"/>
      <c r="E28" s="1293"/>
      <c r="F28" s="1293"/>
      <c r="G28" s="1293"/>
      <c r="H28" s="1293"/>
      <c r="I28" s="1293"/>
      <c r="J28" s="1293"/>
      <c r="K28" s="1293"/>
      <c r="L28" s="1294"/>
      <c r="M28" s="1293"/>
      <c r="N28" s="1293"/>
      <c r="O28" s="1293"/>
      <c r="S28" s="2178" t="s">
        <v>422</v>
      </c>
      <c r="T28" s="2178"/>
      <c r="U28" s="1297"/>
      <c r="V28" s="2188" t="str">
        <f>IF(TITLE_DATE_PR_CHANGE="",IF(TITLE_DATE_PR="","",TITLE_DATE_PR),TITLE_DATE_PR_CHANGE)</f>
        <v/>
      </c>
      <c r="W28" s="2188"/>
      <c r="X28" s="2188"/>
      <c r="Y28" s="2188"/>
      <c r="Z28" s="2188"/>
      <c r="AA28" s="2188"/>
      <c r="AB28" s="262"/>
      <c r="AC28" s="2188" t="str">
        <f>IF(TITLE_DATE_PR_CHANGE="",IF(TITLE_DATE_PR="","",TITLE_DATE_PR),TITLE_DATE_PR_CHANGE)</f>
        <v/>
      </c>
      <c r="AD28" s="2188"/>
      <c r="AE28" s="2188"/>
      <c r="AF28" s="2188"/>
      <c r="AG28" s="2188"/>
      <c r="AH28" s="2188"/>
      <c r="AI28" s="262"/>
      <c r="AJ28" s="262"/>
      <c r="AK28" s="216"/>
      <c r="AL28" s="303"/>
      <c r="AM28" s="303"/>
      <c r="AN28" s="303"/>
      <c r="AO28" s="303"/>
      <c r="AP28" s="303"/>
      <c r="AQ28" s="353">
        <v>0</v>
      </c>
    </row>
    <row r="29" spans="1:43" s="1777" customFormat="1" ht="18.75" hidden="1" customHeight="1">
      <c r="A29" s="1293"/>
      <c r="B29" s="1293"/>
      <c r="C29" s="1293"/>
      <c r="D29" s="1293"/>
      <c r="E29" s="1293"/>
      <c r="F29" s="1293"/>
      <c r="G29" s="1293"/>
      <c r="H29" s="1293"/>
      <c r="I29" s="1293"/>
      <c r="J29" s="1293"/>
      <c r="K29" s="1293"/>
      <c r="L29" s="1294"/>
      <c r="M29" s="1293"/>
      <c r="N29" s="1293"/>
      <c r="O29" s="1293"/>
      <c r="S29" s="2178" t="s">
        <v>423</v>
      </c>
      <c r="T29" s="2178"/>
      <c r="U29" s="1297"/>
      <c r="V29" s="2179" t="str">
        <f>IF(TITLE_NUMBER_PR_CHANGE="",IF(TITLE_NUMBER_PR="","",TITLE_NUMBER_PR),TITLE_NUMBER_PR_CHANGE)</f>
        <v/>
      </c>
      <c r="W29" s="2179"/>
      <c r="X29" s="2179"/>
      <c r="Y29" s="2179"/>
      <c r="Z29" s="2179"/>
      <c r="AA29" s="2179"/>
      <c r="AB29" s="262"/>
      <c r="AC29" s="2179" t="str">
        <f>IF(TITLE_NUMBER_PR_CHANGE="",IF(TITLE_NUMBER_PR="","",TITLE_NUMBER_PR),TITLE_NUMBER_PR_CHANGE)</f>
        <v/>
      </c>
      <c r="AD29" s="2179"/>
      <c r="AE29" s="2179"/>
      <c r="AF29" s="2179"/>
      <c r="AG29" s="2179"/>
      <c r="AH29" s="2179"/>
      <c r="AI29" s="262"/>
      <c r="AJ29" s="262"/>
      <c r="AK29" s="216"/>
      <c r="AL29" s="303"/>
      <c r="AM29" s="303"/>
      <c r="AN29" s="303"/>
      <c r="AO29" s="303"/>
      <c r="AP29" s="303"/>
      <c r="AQ29" s="353">
        <v>0</v>
      </c>
    </row>
    <row r="30" spans="1:43" s="1777" customFormat="1" ht="18.75" hidden="1" customHeight="1">
      <c r="A30" s="1293"/>
      <c r="B30" s="1293"/>
      <c r="C30" s="1293"/>
      <c r="D30" s="1293"/>
      <c r="E30" s="1293"/>
      <c r="F30" s="1293"/>
      <c r="G30" s="1293"/>
      <c r="H30" s="1293"/>
      <c r="I30" s="1293"/>
      <c r="J30" s="1293"/>
      <c r="K30" s="1293"/>
      <c r="L30" s="1294"/>
      <c r="M30" s="1293"/>
      <c r="N30" s="1293"/>
      <c r="O30" s="1293"/>
      <c r="S30" s="2178" t="s">
        <v>43</v>
      </c>
      <c r="T30" s="2178"/>
      <c r="U30" s="1297"/>
      <c r="V30" s="2179" t="str">
        <f>IF(TITLE_IST_PUB_CHANGE="",IF(TITLE_IST_PUB="","",TITLE_IST_PUB),TITLE_IST_PUB_CHANGE)</f>
        <v/>
      </c>
      <c r="W30" s="2179"/>
      <c r="X30" s="2179"/>
      <c r="Y30" s="2179"/>
      <c r="Z30" s="2179"/>
      <c r="AA30" s="2179"/>
      <c r="AB30" s="262"/>
      <c r="AC30" s="2179" t="str">
        <f>IF(TITLE_IST_PUB_CHANGE="",IF(TITLE_IST_PUB="","",TITLE_IST_PUB),TITLE_IST_PUB_CHANGE)</f>
        <v/>
      </c>
      <c r="AD30" s="2179"/>
      <c r="AE30" s="2179"/>
      <c r="AF30" s="2179"/>
      <c r="AG30" s="2179"/>
      <c r="AH30" s="2179"/>
      <c r="AI30" s="262"/>
      <c r="AJ30" s="262"/>
      <c r="AK30" s="216"/>
      <c r="AL30" s="303"/>
      <c r="AM30" s="303"/>
      <c r="AN30" s="303"/>
      <c r="AO30" s="303"/>
      <c r="AP30" s="303"/>
      <c r="AQ30" s="353">
        <v>0</v>
      </c>
    </row>
    <row r="31" spans="1:43" ht="14.25" hidden="1" customHeight="1">
      <c r="Q31" s="311"/>
      <c r="R31" s="311"/>
      <c r="S31" s="1200"/>
      <c r="T31" s="298"/>
      <c r="U31" s="298"/>
      <c r="V31" s="258"/>
      <c r="W31" s="258"/>
      <c r="X31" s="258"/>
      <c r="Y31" s="258"/>
      <c r="Z31" s="258"/>
      <c r="AA31" s="258"/>
      <c r="AB31" s="258"/>
      <c r="AC31" s="258"/>
      <c r="AD31" s="258"/>
      <c r="AE31" s="258"/>
      <c r="AF31" s="258"/>
      <c r="AG31" s="258"/>
      <c r="AH31" s="258"/>
      <c r="AI31" s="258"/>
      <c r="AJ31" s="444"/>
      <c r="AQ31" s="1080">
        <v>0</v>
      </c>
    </row>
    <row r="32" spans="1:43" s="1777" customFormat="1" ht="18.75" hidden="1" customHeight="1">
      <c r="A32" s="1293"/>
      <c r="B32" s="1293"/>
      <c r="C32" s="1293"/>
      <c r="D32" s="1293"/>
      <c r="E32" s="1293"/>
      <c r="F32" s="1293"/>
      <c r="G32" s="1293"/>
      <c r="H32" s="1293"/>
      <c r="I32" s="1293"/>
      <c r="J32" s="1293"/>
      <c r="K32" s="1293"/>
      <c r="L32" s="1294"/>
      <c r="M32" s="1293"/>
      <c r="N32" s="1293"/>
      <c r="O32" s="1293"/>
      <c r="S32" s="2178" t="s">
        <v>424</v>
      </c>
      <c r="T32" s="2178"/>
      <c r="U32" s="1297"/>
      <c r="V32" s="2188" t="str">
        <f>IF(TITLE_DATE_PR_CHANGE="",IF(TITLE_DATE_PR="","",TITLE_DATE_PR),TITLE_DATE_PR_CHANGE)</f>
        <v/>
      </c>
      <c r="W32" s="2188"/>
      <c r="X32" s="2188"/>
      <c r="Y32" s="2188"/>
      <c r="Z32" s="2188"/>
      <c r="AA32" s="2188"/>
      <c r="AB32" s="262"/>
      <c r="AC32" s="2188" t="str">
        <f>IF(TITLE_DATE_PR_CHANGE="",IF(TITLE_DATE_PR="","",TITLE_DATE_PR),TITLE_DATE_PR_CHANGE)</f>
        <v/>
      </c>
      <c r="AD32" s="2188"/>
      <c r="AE32" s="2188"/>
      <c r="AF32" s="2188"/>
      <c r="AG32" s="2188"/>
      <c r="AH32" s="2188"/>
      <c r="AI32" s="262"/>
      <c r="AJ32" s="262"/>
      <c r="AK32" s="216"/>
      <c r="AL32" s="303"/>
      <c r="AM32" s="303"/>
      <c r="AN32" s="303"/>
      <c r="AO32" s="303"/>
      <c r="AP32" s="303"/>
      <c r="AQ32" s="353">
        <v>0</v>
      </c>
    </row>
    <row r="33" spans="1:43" s="1777" customFormat="1" ht="18.75" hidden="1" customHeight="1">
      <c r="A33" s="1293"/>
      <c r="B33" s="1293"/>
      <c r="C33" s="1293"/>
      <c r="D33" s="1293"/>
      <c r="E33" s="1293"/>
      <c r="F33" s="1293"/>
      <c r="G33" s="1293"/>
      <c r="H33" s="1293"/>
      <c r="I33" s="1293"/>
      <c r="J33" s="1293"/>
      <c r="K33" s="1293"/>
      <c r="L33" s="1294"/>
      <c r="M33" s="1293"/>
      <c r="N33" s="1293"/>
      <c r="O33" s="1293"/>
      <c r="S33" s="2178" t="s">
        <v>425</v>
      </c>
      <c r="T33" s="2178"/>
      <c r="U33" s="1297"/>
      <c r="V33" s="2179" t="str">
        <f>IF(TITLE_NUMBER_PR_CHANGE="",IF(TITLE_NUMBER_PR="","",TITLE_NUMBER_PR),TITLE_NUMBER_PR_CHANGE)</f>
        <v/>
      </c>
      <c r="W33" s="2179"/>
      <c r="X33" s="2179"/>
      <c r="Y33" s="2179"/>
      <c r="Z33" s="2179"/>
      <c r="AA33" s="2179"/>
      <c r="AB33" s="262"/>
      <c r="AC33" s="2179" t="str">
        <f>IF(TITLE_NUMBER_PR_CHANGE="",IF(TITLE_NUMBER_PR="","",TITLE_NUMBER_PR),TITLE_NUMBER_PR_CHANGE)</f>
        <v/>
      </c>
      <c r="AD33" s="2179"/>
      <c r="AE33" s="2179"/>
      <c r="AF33" s="2179"/>
      <c r="AG33" s="2179"/>
      <c r="AH33" s="2179"/>
      <c r="AI33" s="262"/>
      <c r="AJ33" s="262"/>
      <c r="AK33" s="216"/>
      <c r="AL33" s="303"/>
      <c r="AM33" s="303"/>
      <c r="AN33" s="303"/>
      <c r="AO33" s="303"/>
      <c r="AP33" s="303"/>
      <c r="AQ33" s="353">
        <v>0</v>
      </c>
    </row>
    <row r="34" spans="1:43" s="1777" customFormat="1" ht="1.1499999999999999" customHeight="1">
      <c r="A34" s="1293"/>
      <c r="B34" s="1293"/>
      <c r="C34" s="1293"/>
      <c r="D34" s="1293"/>
      <c r="E34" s="1293"/>
      <c r="F34" s="1293"/>
      <c r="G34" s="1293"/>
      <c r="H34" s="1293"/>
      <c r="I34" s="1293"/>
      <c r="J34" s="1293"/>
      <c r="K34" s="1293"/>
      <c r="L34" s="1294"/>
      <c r="M34" s="1293"/>
      <c r="N34" s="1293"/>
      <c r="O34" s="1293"/>
      <c r="S34" s="259"/>
      <c r="T34" s="259"/>
      <c r="U34" s="1413"/>
      <c r="V34" s="262"/>
      <c r="W34" s="262"/>
      <c r="X34" s="262"/>
      <c r="Y34" s="262"/>
      <c r="Z34" s="262"/>
      <c r="AA34" s="262"/>
      <c r="AB34" s="214" t="s">
        <v>426</v>
      </c>
      <c r="AC34" s="262"/>
      <c r="AD34" s="262"/>
      <c r="AE34" s="262"/>
      <c r="AF34" s="262"/>
      <c r="AG34" s="262"/>
      <c r="AH34" s="262"/>
      <c r="AI34" s="214" t="s">
        <v>426</v>
      </c>
      <c r="AL34" s="303"/>
      <c r="AM34" s="303"/>
      <c r="AN34" s="303"/>
      <c r="AO34" s="303"/>
      <c r="AP34" s="303"/>
      <c r="AQ34" s="353">
        <v>1</v>
      </c>
    </row>
    <row r="35" spans="1:43" ht="14.65" customHeight="1">
      <c r="Q35" s="311"/>
      <c r="R35" s="311"/>
      <c r="S35" s="1200"/>
      <c r="T35" s="298"/>
      <c r="U35" s="1169"/>
      <c r="V35" s="2180"/>
      <c r="W35" s="2180"/>
      <c r="X35" s="2180"/>
      <c r="Y35" s="2180"/>
      <c r="Z35" s="2180"/>
      <c r="AA35" s="2180"/>
      <c r="AB35" s="2180"/>
      <c r="AC35" s="2180"/>
      <c r="AD35" s="2180"/>
      <c r="AE35" s="2180"/>
      <c r="AF35" s="2180"/>
      <c r="AG35" s="2180"/>
      <c r="AH35" s="2180"/>
      <c r="AI35" s="2180"/>
      <c r="AQ35" s="1080">
        <v>14</v>
      </c>
    </row>
    <row r="36" spans="1:43" ht="14.65" customHeight="1">
      <c r="Q36" s="311"/>
      <c r="R36" s="311"/>
      <c r="S36" s="2066" t="s">
        <v>299</v>
      </c>
      <c r="T36" s="2066"/>
      <c r="U36" s="2066"/>
      <c r="V36" s="2066"/>
      <c r="W36" s="2066"/>
      <c r="X36" s="2066"/>
      <c r="Y36" s="2066"/>
      <c r="Z36" s="2066"/>
      <c r="AA36" s="2066"/>
      <c r="AB36" s="2066"/>
      <c r="AC36" s="2066"/>
      <c r="AD36" s="2066"/>
      <c r="AE36" s="2066"/>
      <c r="AF36" s="2066"/>
      <c r="AG36" s="2066"/>
      <c r="AH36" s="2066"/>
      <c r="AI36" s="2066"/>
      <c r="AJ36" s="2066"/>
      <c r="AK36" s="2066" t="s">
        <v>300</v>
      </c>
      <c r="AQ36" s="1080">
        <v>14</v>
      </c>
    </row>
    <row r="37" spans="1:43" ht="14.65" customHeight="1">
      <c r="Q37" s="311"/>
      <c r="R37" s="311"/>
      <c r="S37" s="2194" t="s">
        <v>88</v>
      </c>
      <c r="T37" s="2145" t="s">
        <v>427</v>
      </c>
      <c r="U37" s="237"/>
      <c r="V37" s="2195" t="s">
        <v>428</v>
      </c>
      <c r="W37" s="2196"/>
      <c r="X37" s="2196"/>
      <c r="Y37" s="2196"/>
      <c r="Z37" s="2196"/>
      <c r="AA37" s="2197"/>
      <c r="AB37" s="2198" t="s">
        <v>429</v>
      </c>
      <c r="AC37" s="2195" t="s">
        <v>428</v>
      </c>
      <c r="AD37" s="2196"/>
      <c r="AE37" s="2196"/>
      <c r="AF37" s="2196"/>
      <c r="AG37" s="2196"/>
      <c r="AH37" s="2197"/>
      <c r="AI37" s="2198" t="s">
        <v>430</v>
      </c>
      <c r="AJ37" s="2201" t="s">
        <v>431</v>
      </c>
      <c r="AK37" s="2066"/>
      <c r="AQ37" s="1080">
        <v>14</v>
      </c>
    </row>
    <row r="38" spans="1:43" ht="35.65" customHeight="1">
      <c r="Q38" s="311"/>
      <c r="R38" s="311"/>
      <c r="S38" s="2194"/>
      <c r="T38" s="2145"/>
      <c r="U38" s="959"/>
      <c r="V38" s="1408" t="s">
        <v>488</v>
      </c>
      <c r="W38" s="2038" t="s">
        <v>434</v>
      </c>
      <c r="X38" s="2037"/>
      <c r="Y38" s="2038" t="s">
        <v>435</v>
      </c>
      <c r="Z38" s="2043"/>
      <c r="AA38" s="2037"/>
      <c r="AB38" s="2199"/>
      <c r="AC38" s="1408" t="s">
        <v>488</v>
      </c>
      <c r="AD38" s="2038" t="s">
        <v>434</v>
      </c>
      <c r="AE38" s="2037"/>
      <c r="AF38" s="2038" t="s">
        <v>435</v>
      </c>
      <c r="AG38" s="2043"/>
      <c r="AH38" s="2037"/>
      <c r="AI38" s="2199"/>
      <c r="AJ38" s="2202"/>
      <c r="AK38" s="2066"/>
      <c r="AQ38" s="1080">
        <v>34</v>
      </c>
    </row>
    <row r="39" spans="1:43" ht="90.4" customHeight="1">
      <c r="A39" s="1295"/>
      <c r="B39" s="1295" t="s">
        <v>136</v>
      </c>
      <c r="C39" s="1295" t="s">
        <v>137</v>
      </c>
      <c r="D39" s="1295" t="s">
        <v>138</v>
      </c>
      <c r="E39" s="1289" t="s">
        <v>436</v>
      </c>
      <c r="F39" s="1289" t="s">
        <v>437</v>
      </c>
      <c r="G39" s="1289" t="s">
        <v>438</v>
      </c>
      <c r="H39" s="1289"/>
      <c r="I39" s="1289" t="s">
        <v>489</v>
      </c>
      <c r="J39" s="1289" t="s">
        <v>441</v>
      </c>
      <c r="K39" s="1289" t="s">
        <v>490</v>
      </c>
      <c r="L39" s="1289" t="s">
        <v>417</v>
      </c>
      <c r="Q39" s="311"/>
      <c r="R39" s="311"/>
      <c r="S39" s="2194"/>
      <c r="T39" s="2145"/>
      <c r="U39" s="238"/>
      <c r="V39" s="1408" t="s">
        <v>517</v>
      </c>
      <c r="W39" s="1147" t="s">
        <v>518</v>
      </c>
      <c r="X39" s="1147" t="s">
        <v>493</v>
      </c>
      <c r="Y39" s="1414" t="s">
        <v>445</v>
      </c>
      <c r="Z39" s="2154" t="s">
        <v>446</v>
      </c>
      <c r="AA39" s="2156"/>
      <c r="AB39" s="2200"/>
      <c r="AC39" s="1408" t="s">
        <v>517</v>
      </c>
      <c r="AD39" s="1147" t="s">
        <v>518</v>
      </c>
      <c r="AE39" s="1147" t="s">
        <v>493</v>
      </c>
      <c r="AF39" s="1414" t="s">
        <v>445</v>
      </c>
      <c r="AG39" s="2154" t="s">
        <v>446</v>
      </c>
      <c r="AH39" s="2156"/>
      <c r="AI39" s="2200"/>
      <c r="AJ39" s="2203"/>
      <c r="AK39" s="2066"/>
      <c r="AQ39" s="1080">
        <v>86</v>
      </c>
    </row>
    <row r="40" spans="1:43" s="1566" customFormat="1" ht="11.25" hidden="1" customHeight="1">
      <c r="A40" s="1295"/>
      <c r="B40" s="1295"/>
      <c r="C40" s="1295"/>
      <c r="D40" s="1295"/>
      <c r="E40" s="1295"/>
      <c r="F40" s="1295"/>
      <c r="G40" s="1295"/>
      <c r="H40" s="1295"/>
      <c r="I40" s="1295"/>
      <c r="J40" s="1295"/>
      <c r="K40" s="1295"/>
      <c r="L40" s="1289"/>
      <c r="M40" s="1287"/>
      <c r="N40" s="1287"/>
      <c r="O40" s="1287"/>
      <c r="P40" s="1171"/>
      <c r="Q40" s="1172"/>
      <c r="R40" s="1179">
        <v>1</v>
      </c>
      <c r="S40" s="1202" t="s">
        <v>109</v>
      </c>
      <c r="T40" s="1180" t="s">
        <v>110</v>
      </c>
      <c r="U40" s="1170" t="str">
        <f ca="1">OFFSET(U40,0,-1)</f>
        <v>2</v>
      </c>
      <c r="V40" s="1407">
        <f ca="1">OFFSET(V40,0,-1)+1</f>
        <v>3</v>
      </c>
      <c r="W40" s="1407">
        <f ca="1">OFFSET(W40,0,-1)+1</f>
        <v>4</v>
      </c>
      <c r="X40" s="1407">
        <f ca="1">OFFSET(X40,0,-1)+1</f>
        <v>5</v>
      </c>
      <c r="Y40" s="1407">
        <f ca="1">OFFSET(Y40,0,-1)+1</f>
        <v>6</v>
      </c>
      <c r="Z40" s="2193">
        <f ca="1">OFFSET(Z40,0,-1)+1</f>
        <v>7</v>
      </c>
      <c r="AA40" s="2193"/>
      <c r="AB40" s="1407">
        <f ca="1">OFFSET(AB40,0,-2)+1</f>
        <v>8</v>
      </c>
      <c r="AC40" s="1407">
        <f ca="1">OFFSET(AC40,0,-1)+1</f>
        <v>9</v>
      </c>
      <c r="AD40" s="1407">
        <f ca="1">OFFSET(AD40,0,-1)+1</f>
        <v>10</v>
      </c>
      <c r="AE40" s="1407">
        <f ca="1">OFFSET(AE40,0,-1)+1</f>
        <v>11</v>
      </c>
      <c r="AF40" s="1407">
        <f ca="1">OFFSET(AF40,0,-1)+1</f>
        <v>12</v>
      </c>
      <c r="AG40" s="2193">
        <f ca="1">OFFSET(AG40,0,-1)+1</f>
        <v>13</v>
      </c>
      <c r="AH40" s="2193"/>
      <c r="AI40" s="1407">
        <f ca="1">OFFSET(AI40,0,-2)+1</f>
        <v>14</v>
      </c>
      <c r="AJ40" s="1170">
        <f ca="1">OFFSET(AJ40,0,-1)</f>
        <v>14</v>
      </c>
      <c r="AK40" s="1407">
        <f ca="1">OFFSET(AK40,0,-1)+1</f>
        <v>15</v>
      </c>
      <c r="AL40" s="446"/>
      <c r="AM40" s="446"/>
      <c r="AN40" s="446"/>
      <c r="AO40" s="446"/>
      <c r="AP40" s="446"/>
      <c r="AQ40" s="431">
        <v>0</v>
      </c>
    </row>
    <row r="41" spans="1:43" ht="24" customHeight="1">
      <c r="A41" s="1288" t="s">
        <v>265</v>
      </c>
      <c r="B41" s="1288"/>
      <c r="C41" s="1288"/>
      <c r="D41" s="1288"/>
      <c r="E41" s="2186">
        <v>1</v>
      </c>
      <c r="F41" s="1288"/>
      <c r="G41" s="1288"/>
      <c r="H41" s="1288"/>
      <c r="I41" s="1288"/>
      <c r="J41" s="1288"/>
      <c r="K41" s="1288"/>
      <c r="L41" s="1289"/>
      <c r="M41" s="1290"/>
      <c r="N41" s="1290"/>
      <c r="O41" s="1290"/>
      <c r="P41" s="296"/>
      <c r="Q41" s="295"/>
      <c r="R41" s="290"/>
      <c r="S41" s="1418">
        <f>INDEX(PT_DIFFERENTIATION_NUM_NTAR,MATCH(A41,PT_DIFFERENTIATION_NTAR_ID,0))</f>
        <v>0</v>
      </c>
      <c r="T41" s="234" t="s">
        <v>124</v>
      </c>
      <c r="U41" s="236"/>
      <c r="V41" s="2172"/>
      <c r="W41" s="2173"/>
      <c r="X41" s="2173"/>
      <c r="Y41" s="2173"/>
      <c r="Z41" s="2173"/>
      <c r="AA41" s="2173"/>
      <c r="AB41" s="2174"/>
      <c r="AC41" s="2172" t="str">
        <f>INDEX(PT_DIFFERENTIATION_NTAR,MATCH(A41,PT_DIFFERENTIATION_NTAR_ID,0))</f>
        <v/>
      </c>
      <c r="AD41" s="2173"/>
      <c r="AE41" s="2173"/>
      <c r="AF41" s="2173"/>
      <c r="AG41" s="2173"/>
      <c r="AH41" s="2173"/>
      <c r="AI41" s="2173"/>
      <c r="AJ41" s="2174"/>
      <c r="AK41" s="1183"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41" s="435"/>
      <c r="AN41" s="435" t="str">
        <f t="shared" ref="AN41:AN53" si="1">IF(T41="","",T41)</f>
        <v>Наименование тарифа</v>
      </c>
      <c r="AO41" s="435"/>
      <c r="AP41" s="435"/>
      <c r="AQ41" s="1080">
        <v>23</v>
      </c>
    </row>
    <row r="42" spans="1:43" ht="24" customHeight="1">
      <c r="A42" s="1288" t="s">
        <v>265</v>
      </c>
      <c r="B42" s="1288" t="s">
        <v>266</v>
      </c>
      <c r="C42" s="1288"/>
      <c r="D42" s="1288"/>
      <c r="E42" s="2187"/>
      <c r="F42" s="2186">
        <v>1</v>
      </c>
      <c r="G42" s="1288"/>
      <c r="H42" s="1288"/>
      <c r="I42" s="1288"/>
      <c r="J42" s="1288"/>
      <c r="K42" s="1288"/>
      <c r="L42" s="1289"/>
      <c r="M42" s="1290"/>
      <c r="N42" s="1290"/>
      <c r="O42" s="1290"/>
      <c r="P42" s="1412"/>
      <c r="Q42" s="287"/>
      <c r="R42" s="288"/>
      <c r="S42" s="1418" t="str">
        <f>INDEX(PT_DIFFERENTIATION_NUM_TER,MATCH(B42,PT_DIFFERENTIATION_TER_ID,0))</f>
        <v>.</v>
      </c>
      <c r="T42" s="244" t="s">
        <v>396</v>
      </c>
      <c r="U42" s="236"/>
      <c r="V42" s="2172"/>
      <c r="W42" s="2173"/>
      <c r="X42" s="2173"/>
      <c r="Y42" s="2173"/>
      <c r="Z42" s="2173"/>
      <c r="AA42" s="2173"/>
      <c r="AB42" s="2174"/>
      <c r="AC42" s="2172" t="str">
        <f>INDEX(PT_DIFFERENTIATION_TER,MATCH(B42,PT_DIFFERENTIATION_TER_ID,0))</f>
        <v/>
      </c>
      <c r="AD42" s="2173"/>
      <c r="AE42" s="2173"/>
      <c r="AF42" s="2173"/>
      <c r="AG42" s="2173"/>
      <c r="AH42" s="2173"/>
      <c r="AI42" s="2173"/>
      <c r="AJ42" s="2174"/>
      <c r="AK42" s="1183" t="s">
        <v>397</v>
      </c>
      <c r="AM42" s="435"/>
      <c r="AN42" s="435" t="str">
        <f t="shared" si="1"/>
        <v>Территория действия тарифа</v>
      </c>
      <c r="AO42" s="435"/>
      <c r="AP42" s="435"/>
      <c r="AQ42" s="1080">
        <v>23</v>
      </c>
    </row>
    <row r="43" spans="1:43" ht="24" customHeight="1">
      <c r="A43" s="1288" t="s">
        <v>265</v>
      </c>
      <c r="B43" s="1288" t="s">
        <v>266</v>
      </c>
      <c r="C43" s="1288" t="s">
        <v>267</v>
      </c>
      <c r="D43" s="1288"/>
      <c r="E43" s="2187"/>
      <c r="F43" s="2187"/>
      <c r="G43" s="2186">
        <v>1</v>
      </c>
      <c r="H43" s="1288"/>
      <c r="I43" s="1288"/>
      <c r="J43" s="1288"/>
      <c r="K43" s="1288"/>
      <c r="L43" s="1289"/>
      <c r="M43" s="1290"/>
      <c r="N43" s="1290"/>
      <c r="O43" s="1290"/>
      <c r="P43" s="289"/>
      <c r="Q43" s="287"/>
      <c r="R43" s="288"/>
      <c r="S43" s="1418" t="str">
        <f>INDEX(PT_DIFFERENTIATION_NUM_CS,MATCH(C43,PT_DIFFERENTIATION_CS_ID,0))</f>
        <v>..</v>
      </c>
      <c r="T43" s="245" t="s">
        <v>515</v>
      </c>
      <c r="U43" s="236"/>
      <c r="V43" s="2172"/>
      <c r="W43" s="2173"/>
      <c r="X43" s="2173"/>
      <c r="Y43" s="2173"/>
      <c r="Z43" s="2173"/>
      <c r="AA43" s="2173"/>
      <c r="AB43" s="2174"/>
      <c r="AC43" s="2172" t="str">
        <f>INDEX(PT_DIFFERENTIATION_CS,MATCH(C43,PT_DIFFERENTIATION_CS_ID,0))</f>
        <v/>
      </c>
      <c r="AD43" s="2173"/>
      <c r="AE43" s="2173"/>
      <c r="AF43" s="2173"/>
      <c r="AG43" s="2173"/>
      <c r="AH43" s="2173"/>
      <c r="AI43" s="2173"/>
      <c r="AJ43" s="2174"/>
      <c r="AK43" s="1183" t="s">
        <v>516</v>
      </c>
      <c r="AM43" s="435"/>
      <c r="AN43" s="435" t="str">
        <f t="shared" si="1"/>
        <v>Наименование централизованной системы водоотведения</v>
      </c>
      <c r="AO43" s="435"/>
      <c r="AP43" s="435"/>
      <c r="AQ43" s="1080">
        <v>23</v>
      </c>
    </row>
    <row r="44" spans="1:43" ht="24" customHeight="1">
      <c r="A44" s="1288" t="s">
        <v>265</v>
      </c>
      <c r="B44" s="1288" t="s">
        <v>266</v>
      </c>
      <c r="C44" s="1288" t="s">
        <v>267</v>
      </c>
      <c r="D44" s="1288" t="s">
        <v>519</v>
      </c>
      <c r="E44" s="2187"/>
      <c r="F44" s="2187"/>
      <c r="G44" s="2187"/>
      <c r="H44" s="2187"/>
      <c r="I44" s="2184" t="str">
        <f>S43&amp;".1"</f>
        <v>...1</v>
      </c>
      <c r="J44" s="1288"/>
      <c r="K44" s="1288"/>
      <c r="L44" s="1289"/>
      <c r="P44" s="2185">
        <v>1</v>
      </c>
      <c r="Q44" s="1406"/>
      <c r="R44" s="291"/>
      <c r="S44" s="1418" t="str">
        <f>$I44</f>
        <v>...1</v>
      </c>
      <c r="T44" s="221" t="s">
        <v>482</v>
      </c>
      <c r="U44" s="236"/>
      <c r="V44" s="2253"/>
      <c r="W44" s="2254"/>
      <c r="X44" s="2254"/>
      <c r="Y44" s="2254"/>
      <c r="Z44" s="2254"/>
      <c r="AA44" s="2254"/>
      <c r="AB44" s="2255"/>
      <c r="AC44" s="2256"/>
      <c r="AD44" s="2257"/>
      <c r="AE44" s="2257"/>
      <c r="AF44" s="2257"/>
      <c r="AG44" s="2257"/>
      <c r="AH44" s="2257"/>
      <c r="AI44" s="2257"/>
      <c r="AJ44" s="2258"/>
      <c r="AK44" s="1183" t="s">
        <v>483</v>
      </c>
      <c r="AM44" s="435"/>
      <c r="AN44" s="435" t="str">
        <f t="shared" si="1"/>
        <v>Наименование признака дифференциации</v>
      </c>
      <c r="AO44" s="435"/>
      <c r="AP44" s="435"/>
      <c r="AQ44" s="1080">
        <v>23</v>
      </c>
    </row>
    <row r="45" spans="1:43" ht="24" customHeight="1">
      <c r="A45" s="1288" t="s">
        <v>265</v>
      </c>
      <c r="B45" s="1288" t="s">
        <v>266</v>
      </c>
      <c r="C45" s="1288" t="s">
        <v>267</v>
      </c>
      <c r="D45" s="1288" t="s">
        <v>519</v>
      </c>
      <c r="E45" s="2187"/>
      <c r="F45" s="2187"/>
      <c r="G45" s="2187"/>
      <c r="H45" s="2187"/>
      <c r="I45" s="2207"/>
      <c r="J45" s="2184" t="str">
        <f>I44&amp;".1"</f>
        <v>...1.1</v>
      </c>
      <c r="K45" s="1288"/>
      <c r="L45" s="1289" t="s">
        <v>405</v>
      </c>
      <c r="P45" s="2185"/>
      <c r="Q45" s="2185">
        <v>1</v>
      </c>
      <c r="R45" s="292"/>
      <c r="S45" s="1418" t="str">
        <f>$J45</f>
        <v>...1.1</v>
      </c>
      <c r="T45" s="222" t="s">
        <v>406</v>
      </c>
      <c r="U45" s="236"/>
      <c r="V45" s="2175"/>
      <c r="W45" s="2176"/>
      <c r="X45" s="2176"/>
      <c r="Y45" s="2176"/>
      <c r="Z45" s="2176"/>
      <c r="AA45" s="2176"/>
      <c r="AB45" s="2177"/>
      <c r="AC45" s="2175"/>
      <c r="AD45" s="2176"/>
      <c r="AE45" s="2176"/>
      <c r="AF45" s="2176"/>
      <c r="AG45" s="2176"/>
      <c r="AH45" s="2176"/>
      <c r="AI45" s="2176"/>
      <c r="AJ45" s="2177"/>
      <c r="AK45" s="1232" t="s">
        <v>484</v>
      </c>
      <c r="AM45" s="435"/>
      <c r="AN45" s="435" t="str">
        <f t="shared" si="1"/>
        <v>Группа потребителей</v>
      </c>
      <c r="AO45" s="435"/>
      <c r="AP45" s="435"/>
      <c r="AQ45" s="1080">
        <v>23</v>
      </c>
    </row>
    <row r="46" spans="1:43" ht="24" customHeight="1">
      <c r="A46" s="1288" t="s">
        <v>265</v>
      </c>
      <c r="B46" s="1288" t="s">
        <v>266</v>
      </c>
      <c r="C46" s="1288" t="s">
        <v>267</v>
      </c>
      <c r="D46" s="1288" t="s">
        <v>519</v>
      </c>
      <c r="E46" s="2187"/>
      <c r="F46" s="2187"/>
      <c r="G46" s="2187"/>
      <c r="H46" s="2187"/>
      <c r="I46" s="2207"/>
      <c r="J46" s="2207"/>
      <c r="K46" s="2184" t="str">
        <f>J45&amp;".1"</f>
        <v>...1.1.1</v>
      </c>
      <c r="L46" s="1289"/>
      <c r="P46" s="2185"/>
      <c r="Q46" s="2185"/>
      <c r="R46" s="292">
        <v>1</v>
      </c>
      <c r="S46" s="1418" t="str">
        <f>$K46</f>
        <v>...1.1.1</v>
      </c>
      <c r="T46" s="1362"/>
      <c r="U46" s="236"/>
      <c r="V46" s="1285"/>
      <c r="W46" s="1285"/>
      <c r="X46" s="1286"/>
      <c r="Y46" s="2191"/>
      <c r="Z46" s="2192" t="s">
        <v>66</v>
      </c>
      <c r="AA46" s="2191"/>
      <c r="AB46" s="2192" t="s">
        <v>66</v>
      </c>
      <c r="AC46" s="686"/>
      <c r="AD46" s="686"/>
      <c r="AE46" s="1182"/>
      <c r="AF46" s="2189"/>
      <c r="AG46" s="2047" t="s">
        <v>66</v>
      </c>
      <c r="AH46" s="2208"/>
      <c r="AI46" s="2047" t="s">
        <v>19</v>
      </c>
      <c r="AJ46" s="1363"/>
      <c r="AK46" s="2252"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46" s="446" t="e">
        <f ca="1">STRCHECKDATE(V47:AJ47)</f>
        <v>#NAME?</v>
      </c>
      <c r="AM46" s="435"/>
      <c r="AN46" s="435" t="str">
        <f t="shared" si="1"/>
        <v/>
      </c>
      <c r="AO46" s="435"/>
      <c r="AP46" s="435"/>
      <c r="AQ46" s="1080">
        <v>23</v>
      </c>
    </row>
    <row r="47" spans="1:43" ht="0" hidden="1" customHeight="1">
      <c r="A47" s="1288" t="s">
        <v>265</v>
      </c>
      <c r="B47" s="1288" t="s">
        <v>266</v>
      </c>
      <c r="C47" s="1288" t="s">
        <v>267</v>
      </c>
      <c r="D47" s="1288" t="s">
        <v>519</v>
      </c>
      <c r="E47" s="2187"/>
      <c r="F47" s="2187"/>
      <c r="G47" s="2187"/>
      <c r="H47" s="2187"/>
      <c r="I47" s="2207"/>
      <c r="J47" s="2207"/>
      <c r="K47" s="2184"/>
      <c r="L47" s="1289"/>
      <c r="P47" s="2185"/>
      <c r="Q47" s="2185"/>
      <c r="R47" s="292"/>
      <c r="S47" s="1415"/>
      <c r="T47" s="236"/>
      <c r="U47" s="236"/>
      <c r="V47" s="1285"/>
      <c r="W47" s="1285"/>
      <c r="X47" s="264" t="str">
        <f>Y46&amp;"-"&amp;AA46</f>
        <v>-</v>
      </c>
      <c r="Y47" s="2192"/>
      <c r="Z47" s="2192"/>
      <c r="AA47" s="2192"/>
      <c r="AB47" s="2192"/>
      <c r="AC47" s="261"/>
      <c r="AD47" s="261"/>
      <c r="AE47" s="264" t="str">
        <f>AF46&amp;"-"&amp;AH46</f>
        <v>-</v>
      </c>
      <c r="AF47" s="2190"/>
      <c r="AG47" s="2047"/>
      <c r="AH47" s="2209"/>
      <c r="AI47" s="2047"/>
      <c r="AJ47" s="1364"/>
      <c r="AK47" s="2252"/>
      <c r="AM47" s="435"/>
      <c r="AN47" s="435" t="str">
        <f t="shared" si="1"/>
        <v/>
      </c>
      <c r="AO47" s="435"/>
      <c r="AP47" s="435"/>
      <c r="AQ47" s="1080">
        <v>0</v>
      </c>
    </row>
    <row r="48" spans="1:43" ht="21" customHeight="1">
      <c r="A48" s="1288" t="s">
        <v>265</v>
      </c>
      <c r="B48" s="1288" t="s">
        <v>266</v>
      </c>
      <c r="C48" s="1288" t="s">
        <v>267</v>
      </c>
      <c r="D48" s="1288" t="s">
        <v>519</v>
      </c>
      <c r="E48" s="2187"/>
      <c r="F48" s="2187"/>
      <c r="G48" s="2187"/>
      <c r="H48" s="2187"/>
      <c r="I48" s="2207"/>
      <c r="J48" s="2184"/>
      <c r="K48" s="1288"/>
      <c r="L48" s="1289"/>
      <c r="P48" s="2185"/>
      <c r="Q48" s="2185"/>
      <c r="R48" s="291"/>
      <c r="S48" s="1203"/>
      <c r="T48" s="223" t="s">
        <v>485</v>
      </c>
      <c r="U48" s="302"/>
      <c r="V48" s="302"/>
      <c r="W48" s="302"/>
      <c r="X48" s="302"/>
      <c r="Y48" s="302"/>
      <c r="Z48" s="302"/>
      <c r="AA48" s="302"/>
      <c r="AB48" s="302"/>
      <c r="AC48" s="302"/>
      <c r="AD48" s="302"/>
      <c r="AE48" s="302"/>
      <c r="AF48" s="302"/>
      <c r="AG48" s="302"/>
      <c r="AH48" s="302"/>
      <c r="AI48" s="302"/>
      <c r="AJ48" s="302"/>
      <c r="AK48" s="1183" t="s">
        <v>486</v>
      </c>
      <c r="AM48" s="435"/>
      <c r="AN48" s="435" t="str">
        <f t="shared" si="1"/>
        <v>Добавить значение признака дифференциации</v>
      </c>
      <c r="AO48" s="435"/>
      <c r="AP48" s="435"/>
      <c r="AQ48" s="1080">
        <v>20</v>
      </c>
    </row>
    <row r="49" spans="1:43" ht="21.95" customHeight="1">
      <c r="A49" s="1288" t="s">
        <v>265</v>
      </c>
      <c r="B49" s="1288" t="s">
        <v>266</v>
      </c>
      <c r="C49" s="1288" t="s">
        <v>267</v>
      </c>
      <c r="D49" s="1288" t="s">
        <v>519</v>
      </c>
      <c r="E49" s="2187"/>
      <c r="F49" s="2187"/>
      <c r="G49" s="2187"/>
      <c r="H49" s="2187"/>
      <c r="I49" s="2184"/>
      <c r="J49" s="1288"/>
      <c r="K49" s="1288"/>
      <c r="L49" s="1289"/>
      <c r="P49" s="2185"/>
      <c r="Q49" s="1406"/>
      <c r="R49" s="291"/>
      <c r="S49" s="1203"/>
      <c r="T49" s="300" t="s">
        <v>411</v>
      </c>
      <c r="U49" s="302"/>
      <c r="V49" s="302"/>
      <c r="W49" s="302"/>
      <c r="X49" s="302"/>
      <c r="Y49" s="302"/>
      <c r="Z49" s="302"/>
      <c r="AA49" s="302"/>
      <c r="AB49" s="301"/>
      <c r="AC49" s="302"/>
      <c r="AD49" s="302"/>
      <c r="AE49" s="302"/>
      <c r="AF49" s="302"/>
      <c r="AG49" s="302"/>
      <c r="AH49" s="302"/>
      <c r="AI49" s="301"/>
      <c r="AJ49" s="302"/>
      <c r="AK49" s="1365"/>
      <c r="AM49" s="435"/>
      <c r="AN49" s="435" t="str">
        <f t="shared" si="1"/>
        <v>Добавить группу потребителей</v>
      </c>
      <c r="AO49" s="435"/>
      <c r="AP49" s="435"/>
      <c r="AQ49" s="1080">
        <v>21</v>
      </c>
    </row>
    <row r="50" spans="1:43" ht="21.95" customHeight="1">
      <c r="A50" s="1288" t="s">
        <v>265</v>
      </c>
      <c r="B50" s="1288" t="s">
        <v>266</v>
      </c>
      <c r="C50" s="1288" t="s">
        <v>267</v>
      </c>
      <c r="D50" s="1288" t="s">
        <v>519</v>
      </c>
      <c r="E50" s="2187"/>
      <c r="F50" s="2187"/>
      <c r="G50" s="2187"/>
      <c r="H50" s="2186"/>
      <c r="I50" s="1288"/>
      <c r="J50" s="1288"/>
      <c r="K50" s="1288"/>
      <c r="L50" s="1289"/>
      <c r="M50" s="1290"/>
      <c r="N50" s="1290"/>
      <c r="O50" s="472"/>
      <c r="P50" s="295"/>
      <c r="Q50" s="310"/>
      <c r="R50" s="290"/>
      <c r="S50" s="1203"/>
      <c r="T50" s="307" t="s">
        <v>487</v>
      </c>
      <c r="U50" s="302"/>
      <c r="V50" s="302"/>
      <c r="W50" s="302"/>
      <c r="X50" s="302"/>
      <c r="Y50" s="302"/>
      <c r="Z50" s="302"/>
      <c r="AA50" s="302"/>
      <c r="AB50" s="301"/>
      <c r="AC50" s="302"/>
      <c r="AD50" s="302"/>
      <c r="AE50" s="302"/>
      <c r="AF50" s="302"/>
      <c r="AG50" s="302"/>
      <c r="AH50" s="302"/>
      <c r="AI50" s="301"/>
      <c r="AJ50" s="302"/>
      <c r="AK50" s="239"/>
      <c r="AM50" s="435"/>
      <c r="AN50" s="435" t="str">
        <f t="shared" si="1"/>
        <v>Добавить наименование признака дифференциации</v>
      </c>
      <c r="AO50" s="435"/>
      <c r="AP50" s="435"/>
      <c r="AQ50" s="1080">
        <v>21</v>
      </c>
    </row>
    <row r="51" spans="1:43" s="1567" customFormat="1" ht="0" hidden="1" customHeight="1">
      <c r="A51" s="1268" t="s">
        <v>265</v>
      </c>
      <c r="B51" s="1268" t="s">
        <v>266</v>
      </c>
      <c r="C51" s="1239"/>
      <c r="D51" s="1239"/>
      <c r="E51" s="2187"/>
      <c r="F51" s="2186"/>
      <c r="G51" s="1239"/>
      <c r="H51" s="1239"/>
      <c r="I51" s="1239"/>
      <c r="J51" s="1239"/>
      <c r="K51" s="1239"/>
      <c r="L51" s="1419"/>
      <c r="M51" s="1246"/>
      <c r="N51" s="1246"/>
      <c r="P51" s="1241"/>
      <c r="Q51" s="1242"/>
      <c r="R51" s="1241"/>
      <c r="S51" s="1247"/>
      <c r="T51" s="1250" t="s">
        <v>414</v>
      </c>
      <c r="U51" s="1249"/>
      <c r="V51" s="1249"/>
      <c r="W51" s="1249"/>
      <c r="X51" s="1249"/>
      <c r="Y51" s="1249"/>
      <c r="Z51" s="1249"/>
      <c r="AA51" s="1249"/>
      <c r="AB51" s="1249"/>
      <c r="AC51" s="1249"/>
      <c r="AD51" s="1249"/>
      <c r="AE51" s="1249"/>
      <c r="AF51" s="1249"/>
      <c r="AG51" s="1249"/>
      <c r="AH51" s="1249"/>
      <c r="AI51" s="1249"/>
      <c r="AJ51" s="1249"/>
      <c r="AK51" s="1249"/>
      <c r="AM51" s="718"/>
      <c r="AN51" s="718" t="str">
        <f t="shared" si="1"/>
        <v>Добавить централизованную систему для дифференциации</v>
      </c>
      <c r="AO51" s="718"/>
      <c r="AP51" s="718"/>
      <c r="AQ51" s="453">
        <v>0</v>
      </c>
    </row>
    <row r="52" spans="1:43" s="1567" customFormat="1" ht="0" hidden="1" customHeight="1">
      <c r="A52" s="1268" t="s">
        <v>265</v>
      </c>
      <c r="B52" s="1268"/>
      <c r="C52" s="1268"/>
      <c r="D52" s="1268"/>
      <c r="E52" s="2186"/>
      <c r="F52" s="1268"/>
      <c r="G52" s="1268"/>
      <c r="H52" s="1268"/>
      <c r="I52" s="1268"/>
      <c r="J52" s="1268"/>
      <c r="K52" s="1268"/>
      <c r="L52" s="1271"/>
      <c r="M52" s="1246"/>
      <c r="N52" s="1246"/>
      <c r="O52" s="453"/>
      <c r="P52" s="315"/>
      <c r="Q52" s="1269"/>
      <c r="R52" s="315"/>
      <c r="S52" s="1247"/>
      <c r="T52" s="1250" t="s">
        <v>415</v>
      </c>
      <c r="U52" s="1249"/>
      <c r="V52" s="1249"/>
      <c r="W52" s="1249"/>
      <c r="X52" s="1249"/>
      <c r="Y52" s="1249"/>
      <c r="Z52" s="1249"/>
      <c r="AA52" s="1249"/>
      <c r="AB52" s="1249"/>
      <c r="AC52" s="1249"/>
      <c r="AD52" s="1249"/>
      <c r="AE52" s="1249"/>
      <c r="AF52" s="1249"/>
      <c r="AG52" s="1249"/>
      <c r="AH52" s="1249"/>
      <c r="AI52" s="1249"/>
      <c r="AJ52" s="1249"/>
      <c r="AK52" s="1249"/>
      <c r="AM52" s="435"/>
      <c r="AN52" s="435" t="str">
        <f t="shared" si="1"/>
        <v>Добавить территорию для дифференциации</v>
      </c>
      <c r="AO52" s="435"/>
      <c r="AP52" s="435"/>
      <c r="AQ52" s="446">
        <v>0</v>
      </c>
    </row>
    <row r="53" spans="1:43" s="1567" customFormat="1" ht="0" hidden="1" customHeight="1">
      <c r="A53" s="1239"/>
      <c r="B53" s="1239"/>
      <c r="C53" s="1239"/>
      <c r="D53" s="1239"/>
      <c r="E53" s="1268"/>
      <c r="F53" s="1239"/>
      <c r="G53" s="1239"/>
      <c r="H53" s="1239"/>
      <c r="I53" s="1239"/>
      <c r="J53" s="1239"/>
      <c r="K53" s="1239"/>
      <c r="L53" s="1419"/>
      <c r="M53" s="1246"/>
      <c r="N53" s="1246"/>
      <c r="P53" s="1241"/>
      <c r="Q53" s="1242"/>
      <c r="R53" s="1241"/>
      <c r="S53" s="1247"/>
      <c r="T53" s="1250" t="s">
        <v>447</v>
      </c>
      <c r="U53" s="1249"/>
      <c r="V53" s="1249"/>
      <c r="W53" s="1249"/>
      <c r="X53" s="1249"/>
      <c r="Y53" s="1249"/>
      <c r="Z53" s="1249"/>
      <c r="AA53" s="1249"/>
      <c r="AB53" s="1249"/>
      <c r="AC53" s="1249"/>
      <c r="AD53" s="1249"/>
      <c r="AE53" s="1249"/>
      <c r="AF53" s="1249"/>
      <c r="AG53" s="1249"/>
      <c r="AH53" s="1249"/>
      <c r="AI53" s="1249"/>
      <c r="AJ53" s="1249"/>
      <c r="AK53" s="1249"/>
      <c r="AM53" s="718"/>
      <c r="AN53" s="718" t="str">
        <f t="shared" si="1"/>
        <v>Добавить наименование тарифа</v>
      </c>
      <c r="AO53" s="718"/>
      <c r="AP53" s="718"/>
      <c r="AQ53" s="453">
        <v>0</v>
      </c>
    </row>
    <row r="54" spans="1:43" ht="11.45" customHeight="1">
      <c r="M54" s="1085"/>
      <c r="N54" s="1085"/>
      <c r="O54" s="472"/>
      <c r="P54" s="1080"/>
      <c r="Q54" s="1080"/>
      <c r="R54" s="1080"/>
      <c r="S54" s="1080"/>
      <c r="AL54" s="1080"/>
      <c r="AM54" s="1080"/>
      <c r="AN54" s="1080"/>
      <c r="AO54" s="1080"/>
      <c r="AP54" s="1080"/>
      <c r="AQ54" s="1080">
        <v>11</v>
      </c>
    </row>
    <row r="55" spans="1:43" ht="14.65" customHeight="1">
      <c r="O55" s="472"/>
      <c r="S55" s="1178"/>
      <c r="T55" s="2206"/>
      <c r="U55" s="2206"/>
      <c r="V55" s="2206"/>
      <c r="W55" s="2206"/>
      <c r="X55" s="2206"/>
      <c r="Y55" s="2206"/>
      <c r="Z55" s="2206"/>
      <c r="AA55" s="2206"/>
      <c r="AB55" s="2206"/>
      <c r="AC55" s="2206"/>
      <c r="AD55" s="2206"/>
      <c r="AE55" s="2206"/>
      <c r="AF55" s="2206"/>
      <c r="AG55" s="2206"/>
      <c r="AH55" s="2206"/>
      <c r="AI55" s="2206"/>
      <c r="AJ55" s="2206"/>
      <c r="AK55" s="2206"/>
      <c r="AQ55" s="1080">
        <v>14</v>
      </c>
    </row>
    <row r="56" spans="1:43" ht="14.65" customHeight="1">
      <c r="O56" s="472"/>
      <c r="AQ56" s="1080">
        <v>14</v>
      </c>
    </row>
    <row r="57" spans="1:43" ht="14.65" customHeight="1">
      <c r="O57" s="472"/>
      <c r="S57" s="1178"/>
      <c r="T57" s="2206"/>
      <c r="U57" s="2206"/>
      <c r="V57" s="2206"/>
      <c r="W57" s="2206"/>
      <c r="X57" s="2206"/>
      <c r="Y57" s="2206"/>
      <c r="Z57" s="2206"/>
      <c r="AA57" s="2206"/>
      <c r="AB57" s="2206"/>
      <c r="AC57" s="2206"/>
      <c r="AD57" s="2206"/>
      <c r="AE57" s="2206"/>
      <c r="AF57" s="2206"/>
      <c r="AG57" s="2206"/>
      <c r="AH57" s="2206"/>
      <c r="AI57" s="2206"/>
      <c r="AJ57" s="2206"/>
      <c r="AK57" s="2206"/>
      <c r="AQ57" s="1080">
        <v>14</v>
      </c>
    </row>
    <row r="58" spans="1:43" ht="22.5" hidden="1" customHeight="1">
      <c r="A58" s="1085" t="s">
        <v>82</v>
      </c>
      <c r="B58" s="1085">
        <v>0</v>
      </c>
      <c r="C58" s="1085">
        <v>0</v>
      </c>
      <c r="D58" s="1085">
        <v>0</v>
      </c>
      <c r="E58" s="1085">
        <v>0</v>
      </c>
      <c r="F58" s="1085">
        <v>0</v>
      </c>
      <c r="G58" s="1085">
        <v>0</v>
      </c>
      <c r="H58" s="1085">
        <v>0</v>
      </c>
      <c r="I58" s="1085">
        <v>0</v>
      </c>
      <c r="J58" s="1085">
        <v>0</v>
      </c>
      <c r="K58" s="1085">
        <v>0</v>
      </c>
      <c r="L58" s="1403">
        <v>0</v>
      </c>
      <c r="M58" s="1287">
        <v>0</v>
      </c>
      <c r="N58" s="1287">
        <v>0</v>
      </c>
      <c r="O58" s="1287">
        <v>0</v>
      </c>
      <c r="P58" s="1398">
        <v>3</v>
      </c>
      <c r="Q58" s="280">
        <v>3</v>
      </c>
      <c r="R58" s="280">
        <v>3</v>
      </c>
      <c r="S58" s="516">
        <v>12</v>
      </c>
      <c r="T58" s="1080">
        <v>35</v>
      </c>
      <c r="U58" s="1080">
        <v>0</v>
      </c>
      <c r="V58" s="1080">
        <v>0</v>
      </c>
      <c r="W58" s="1080">
        <v>0</v>
      </c>
      <c r="X58" s="1080">
        <v>0</v>
      </c>
      <c r="Y58" s="1080">
        <v>0</v>
      </c>
      <c r="Z58" s="1080">
        <v>0</v>
      </c>
      <c r="AA58" s="1080">
        <v>0</v>
      </c>
      <c r="AB58" s="1080">
        <v>0</v>
      </c>
      <c r="AC58" s="1080">
        <v>24</v>
      </c>
      <c r="AD58" s="1080">
        <v>24</v>
      </c>
      <c r="AE58" s="1080">
        <v>24</v>
      </c>
      <c r="AF58" s="1080">
        <v>11</v>
      </c>
      <c r="AG58" s="1080">
        <v>3</v>
      </c>
      <c r="AH58" s="1080">
        <v>11</v>
      </c>
      <c r="AI58" s="1080">
        <v>0</v>
      </c>
      <c r="AJ58" s="1080">
        <v>4</v>
      </c>
      <c r="AK58" s="1080">
        <v>115</v>
      </c>
      <c r="AL58" s="446">
        <v>10</v>
      </c>
      <c r="AM58" s="446">
        <v>10</v>
      </c>
      <c r="AN58" s="446">
        <v>10</v>
      </c>
      <c r="AO58" s="446">
        <v>10</v>
      </c>
      <c r="AP58" s="446">
        <v>10</v>
      </c>
      <c r="AQ58" s="1080">
        <v>23</v>
      </c>
    </row>
  </sheetData>
  <sheetProtection formatColumns="0" formatRows="0" insertRows="0" deleteColumns="0" deleteRows="0" sort="0" autoFilter="0"/>
  <mergeCells count="101">
    <mergeCell ref="AK46:AK47"/>
    <mergeCell ref="T55:AK55"/>
    <mergeCell ref="T57:AK57"/>
    <mergeCell ref="K46:K47"/>
    <mergeCell ref="Y46:Y47"/>
    <mergeCell ref="Z46:Z47"/>
    <mergeCell ref="AA46:AA47"/>
    <mergeCell ref="AB46:AB47"/>
    <mergeCell ref="AF46:AF47"/>
    <mergeCell ref="Z40:AA40"/>
    <mergeCell ref="AG40:AH40"/>
    <mergeCell ref="E41:E52"/>
    <mergeCell ref="V41:AB41"/>
    <mergeCell ref="AC41:AJ41"/>
    <mergeCell ref="F42:F51"/>
    <mergeCell ref="V42:AB42"/>
    <mergeCell ref="AC42:AJ42"/>
    <mergeCell ref="G43:G50"/>
    <mergeCell ref="V43:AB43"/>
    <mergeCell ref="AC43:AJ43"/>
    <mergeCell ref="H44:H50"/>
    <mergeCell ref="I44:I49"/>
    <mergeCell ref="P44:P49"/>
    <mergeCell ref="V44:AB44"/>
    <mergeCell ref="AC44:AJ44"/>
    <mergeCell ref="J45:J48"/>
    <mergeCell ref="Q45:Q48"/>
    <mergeCell ref="V45:AB45"/>
    <mergeCell ref="AC45:AJ45"/>
    <mergeCell ref="AG46:AG47"/>
    <mergeCell ref="AH46:AH47"/>
    <mergeCell ref="AI46:AI47"/>
    <mergeCell ref="AK36:AK39"/>
    <mergeCell ref="S37:S39"/>
    <mergeCell ref="T37:T39"/>
    <mergeCell ref="V37:AA37"/>
    <mergeCell ref="AB37:AB39"/>
    <mergeCell ref="AC37:AH37"/>
    <mergeCell ref="AI37:AI39"/>
    <mergeCell ref="S32:T32"/>
    <mergeCell ref="V32:AA32"/>
    <mergeCell ref="AC32:AH32"/>
    <mergeCell ref="S33:T33"/>
    <mergeCell ref="V33:AA33"/>
    <mergeCell ref="AC33:AH33"/>
    <mergeCell ref="AJ37:AJ39"/>
    <mergeCell ref="W38:X38"/>
    <mergeCell ref="Y38:AA38"/>
    <mergeCell ref="AD38:AE38"/>
    <mergeCell ref="AF38:AH38"/>
    <mergeCell ref="Z39:AA39"/>
    <mergeCell ref="AG39:AH39"/>
    <mergeCell ref="V35:AB35"/>
    <mergeCell ref="AC35:AI35"/>
    <mergeCell ref="S36:AJ36"/>
    <mergeCell ref="S29:T29"/>
    <mergeCell ref="V29:AA29"/>
    <mergeCell ref="AC29:AH29"/>
    <mergeCell ref="S30:T30"/>
    <mergeCell ref="V30:AA30"/>
    <mergeCell ref="AC30:AH30"/>
    <mergeCell ref="S24:AH24"/>
    <mergeCell ref="S25:AH25"/>
    <mergeCell ref="S27:T27"/>
    <mergeCell ref="V27:AA27"/>
    <mergeCell ref="AC27:AH27"/>
    <mergeCell ref="S28:T28"/>
    <mergeCell ref="V28:AA28"/>
    <mergeCell ref="AC28:AH28"/>
    <mergeCell ref="AK7:AK8"/>
    <mergeCell ref="AF15:AF16"/>
    <mergeCell ref="AG15:AG16"/>
    <mergeCell ref="AH15:AH16"/>
    <mergeCell ref="AI15:AI16"/>
    <mergeCell ref="Z7:Z8"/>
    <mergeCell ref="AA7:AA8"/>
    <mergeCell ref="AB7:AB8"/>
    <mergeCell ref="AF7:AF8"/>
    <mergeCell ref="AG7:AG8"/>
    <mergeCell ref="AH7:AH8"/>
    <mergeCell ref="E2:E13"/>
    <mergeCell ref="V2:AB2"/>
    <mergeCell ref="AC2:AJ2"/>
    <mergeCell ref="F3:F12"/>
    <mergeCell ref="V3:AB3"/>
    <mergeCell ref="AC3:AJ3"/>
    <mergeCell ref="G4:G11"/>
    <mergeCell ref="V4:AB4"/>
    <mergeCell ref="AC4:AJ4"/>
    <mergeCell ref="H5:H11"/>
    <mergeCell ref="I5:I10"/>
    <mergeCell ref="P5:P10"/>
    <mergeCell ref="V5:AB5"/>
    <mergeCell ref="AC5:AJ5"/>
    <mergeCell ref="J6:J9"/>
    <mergeCell ref="Q6:Q9"/>
    <mergeCell ref="V6:AB6"/>
    <mergeCell ref="AC6:AJ6"/>
    <mergeCell ref="K7:K8"/>
    <mergeCell ref="Y7:Y8"/>
    <mergeCell ref="AI7:AI8"/>
  </mergeCells>
  <dataValidations count="8">
    <dataValidation allowBlank="1" promptTitle="checkPeriodRange" sqref="X65579 X131115 X196651 X262187 X327723 X393259 X458795 X524331 X589867 X655403 X720939 X786475 X852011 X917547 X983083 AE16 AE65579 AE131115 AE196651 AE262187 AE327723 AE393259 AE458795 AE524331 AE589867 AE655403 AE720939 AE786475 AE852011 AE917547 AE983083 AE47 AE8 X8 X47"/>
    <dataValidation type="list" allowBlank="1" showInputMessage="1" showErrorMessage="1" errorTitle="Ошибка" error="Выберите значение из списка" sqref="V983080 V65576 V131112 V196648 V262184 V327720 V393256 V458792 V524328 V589864 V655400 V720936 V786472 V852008 V917544 AC983080 AC65576 AC131112 AC196648 AC262184 AC327720 AC393256 AC458792 AC524328 AC589864 AC655400 AC720936 AC786472 AC852008 AC917544">
      <formula1>kind_of_scheme_in</formula1>
    </dataValidation>
    <dataValidation type="textLength" operator="lessThanOrEqual" allowBlank="1" showInputMessage="1" showErrorMessage="1" errorTitle="Ошибка" error="Допускается ввод не более 900 символов!" sqref="AK65572:AK65579 AK131108:AK131115 AK196644:AK196651 AK262180:AK262187 AK327716:AK327723 AK393252:AK393259 AK458788:AK458795 AK524324:AK524331 AK589860:AK589867 AK655396:AK655403 AK720932:AK720939 AK786468:AK786475 AK852004:AK852011 AK917540:AK917547 AK983076:AK983083 T46 T7 AC5:AJ5 AC44:AJ44">
      <formula1>900</formula1>
    </dataValidation>
    <dataValidation type="list" allowBlank="1" showInputMessage="1" showErrorMessage="1" errorTitle="Ошибка" error="Выберите значение из списка" sqref="T65578 T131114 T196650 T262186 T327722 T393258 T458794 T524330 T589866 T655402 T720938 T786474 T852010 T917546 T983082">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Y65578 Y131114 Y196650 Y262186 Y327722 Y393258 Y458794 Y524330 Y589866 Y655402 Y720938 Y786474 Y852010 Y917546 Y983082 AA65578 AA131114 AA196650 AA262186 AA327722 AA393258 AA458794 AA524330 AA589866 AA655402 AA720938 AA786474 AA852010 AA917546 AA983082 AF15 AF65578 AF131114 AF196650 AF262186 AF327722 AF393258 AF458794 AF524330 AF589866 AF655402 AF720938 AF786474 AF852010 AF917546 AF983082 AH65578 AH131114 AH196650 AH262186 AH327722 AH393258 AH458794 AH524330 AH589866 AH655402 AH720938 AH786474 AH852010 AH917546 AH983082 AH46 AF46 AH15 AH7 AF7 Y7 AA7 Y46 AA46"/>
    <dataValidation allowBlank="1" showInputMessage="1" showErrorMessage="1" prompt="Для выбора выполните двойной щелчок левой клавиши мыши по соответствующей ячейке." sqref="Z65578 Z131114 Z196650 Z262186 Z327722 Z393258 Z458794 Z524330 Z589866 Z655402 Z720938 Z786474 Z852010 Z917546 Z983082 AB131114 AB458794 AB196650 AB262186 AB327722 AB393258 AB524330 AB589866 AB655402 AB720938 AB786474 AB852010 AB917546 AB983082 AB65578 AG65578 AG131114 AG196650 AG262186 AG327722 AG393258 AG458794 AG524330 AG589866 AG655402 AG720938 AG786474 AG852010 AG917546 AG983082 AI524330 AI196650 AI589866 AI655402 AI15 AI720938 AI786474 AI852010 AI917546 AI983082 AI65578 AI131114 AI458794 AI262186 AI7 AG46 AI327722 AG15 AG7 Z7 AB7 AI393258 AI46 Z46 AB46"/>
    <dataValidation allowBlank="1" sqref="S131116:AK131122 S196652:AK196658 S262188:AK262194 S327724:AK327730 S393260:AK393266 S458796:AK458802 S524332:AK524338 S589868:AK589874 S655404:AK655410 S720940:AK720946 S786476:AK786482 S852012:AK852018 S917548:AK917554 S983084:AK983090 S65580:AK65586"/>
    <dataValidation type="list" allowBlank="1" showInputMessage="1" errorTitle="Ошибка" error="Выберите значение из списка" prompt="Выберите значение из списка" sqref="V983081:AJ983081 V65577:AJ65577 V131113:AJ131113 V196649:AJ196649 V262185:AJ262185 V327721:AJ327721 V393257:AJ393257 V458793:AJ458793 V524329:AJ524329 V589865:AJ589865 V655401:AJ655401 V720937:AJ720937 V786473:AJ786473 V852009:AJ852009 V917545:AJ917545">
      <formula1>kind_of_cons</formula1>
    </dataValidation>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6" tint="0.39997558519241921"/>
  </sheetPr>
  <dimension ref="A1:AQ58"/>
  <sheetViews>
    <sheetView showGridLines="0" zoomScale="90" workbookViewId="0">
      <pane xSplit="28" ySplit="40" topLeftCell="AC41" activePane="bottomRight" state="frozen"/>
      <selection pane="topRight" activeCell="AC1" sqref="AC1"/>
      <selection pane="bottomLeft" activeCell="A41" sqref="A41"/>
      <selection pane="bottomRight"/>
    </sheetView>
  </sheetViews>
  <sheetFormatPr defaultColWidth="10.5703125" defaultRowHeight="14.25" customHeight="1"/>
  <cols>
    <col min="1" max="1" width="10.5703125" style="1291" hidden="1"/>
    <col min="2" max="2" width="11" style="1291" hidden="1" customWidth="1"/>
    <col min="3" max="3" width="10.5703125" style="1291" hidden="1"/>
    <col min="4" max="4" width="11.85546875" style="1291" hidden="1" customWidth="1"/>
    <col min="5" max="5" width="10" style="1291" hidden="1" customWidth="1"/>
    <col min="6" max="6" width="8.7109375" style="1291" hidden="1" customWidth="1"/>
    <col min="7" max="7" width="7.5703125" style="1291" hidden="1" customWidth="1"/>
    <col min="8" max="8" width="11.42578125" style="1291" hidden="1" customWidth="1"/>
    <col min="9" max="9" width="14.140625" style="1291" hidden="1" customWidth="1"/>
    <col min="10" max="10" width="9.85546875" style="1291" hidden="1" customWidth="1"/>
    <col min="11" max="11" width="14.7109375" style="1291" hidden="1" customWidth="1"/>
    <col min="12" max="12" width="19.140625" style="2002" hidden="1" customWidth="1"/>
    <col min="13" max="14" width="12.28515625" style="1701" hidden="1" customWidth="1"/>
    <col min="15" max="15" width="23.42578125" style="1701" hidden="1" customWidth="1"/>
    <col min="16" max="16" width="3" style="2000" customWidth="1"/>
    <col min="17" max="18" width="3" style="280" customWidth="1"/>
    <col min="19" max="19" width="12" style="2001" customWidth="1"/>
    <col min="20" max="20" width="35" style="1560" customWidth="1"/>
    <col min="21" max="21" width="0.140625" style="1560" customWidth="1"/>
    <col min="22" max="24" width="24.7109375" style="1560" hidden="1" customWidth="1"/>
    <col min="25" max="25" width="11.7109375" style="1560" hidden="1" customWidth="1"/>
    <col min="26" max="26" width="3.7109375" style="1560" hidden="1" customWidth="1"/>
    <col min="27" max="27" width="11.7109375" style="1560" hidden="1" customWidth="1"/>
    <col min="28" max="28" width="8.5703125" style="1560" hidden="1" customWidth="1"/>
    <col min="29" max="29" width="24.7109375" style="1560" customWidth="1"/>
    <col min="30" max="31" width="24" style="1560" customWidth="1"/>
    <col min="32" max="32" width="11" style="1560" customWidth="1"/>
    <col min="33" max="33" width="3.7109375" style="1560" customWidth="1"/>
    <col min="34" max="34" width="11" style="1560" customWidth="1"/>
    <col min="35" max="35" width="8.5703125" style="1560" hidden="1" customWidth="1"/>
    <col min="36" max="36" width="4" style="1560" customWidth="1"/>
    <col min="37" max="37" width="115" style="1560" customWidth="1"/>
    <col min="38" max="42" width="10" style="1567" customWidth="1"/>
    <col min="43" max="43" width="10.5703125" style="1560" hidden="1"/>
  </cols>
  <sheetData>
    <row r="1" spans="1:43" ht="22.5" hidden="1" customHeight="1">
      <c r="X1" s="263"/>
      <c r="Y1" s="263"/>
      <c r="AE1" s="263"/>
      <c r="AF1" s="263"/>
      <c r="AQ1" s="1080" t="s">
        <v>14</v>
      </c>
    </row>
    <row r="2" spans="1:43" ht="23.25" hidden="1" customHeight="1">
      <c r="A2" s="1288"/>
      <c r="B2" s="1288"/>
      <c r="C2" s="1288"/>
      <c r="D2" s="1288"/>
      <c r="E2" s="2186">
        <v>1</v>
      </c>
      <c r="F2" s="1288"/>
      <c r="G2" s="1288"/>
      <c r="H2" s="1288"/>
      <c r="I2" s="1288"/>
      <c r="J2" s="1288"/>
      <c r="K2" s="1288"/>
      <c r="L2" s="1289"/>
      <c r="M2" s="1290"/>
      <c r="N2" s="1290"/>
      <c r="O2" s="1290"/>
      <c r="P2" s="296"/>
      <c r="Q2" s="295"/>
      <c r="R2" s="290"/>
      <c r="S2" s="1418" t="e">
        <f>INDEX(PT_DIFFERENTIATION_NUM_NTAR,MATCH(A2,PT_DIFFERENTIATION_NTAR_ID,0))</f>
        <v>#N/A</v>
      </c>
      <c r="T2" s="234" t="s">
        <v>124</v>
      </c>
      <c r="U2" s="236"/>
      <c r="V2" s="2172"/>
      <c r="W2" s="2173"/>
      <c r="X2" s="2173"/>
      <c r="Y2" s="2173"/>
      <c r="Z2" s="2173"/>
      <c r="AA2" s="2173"/>
      <c r="AB2" s="2174"/>
      <c r="AC2" s="2172" t="e">
        <f>INDEX(PT_DIFFERENTIATION_NTAR,MATCH(A2,PT_DIFFERENTIATION_NTAR_ID,0))</f>
        <v>#N/A</v>
      </c>
      <c r="AD2" s="2173"/>
      <c r="AE2" s="2173"/>
      <c r="AF2" s="2173"/>
      <c r="AG2" s="2173"/>
      <c r="AH2" s="2173"/>
      <c r="AI2" s="2173"/>
      <c r="AJ2" s="2174"/>
      <c r="AK2" s="1183"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2" s="435"/>
      <c r="AN2" s="435" t="str">
        <f t="shared" ref="AN2:AN13" si="0">IF(T2="","",T2)</f>
        <v>Наименование тарифа</v>
      </c>
      <c r="AO2" s="435"/>
      <c r="AP2" s="435"/>
      <c r="AQ2" s="1080">
        <v>0</v>
      </c>
    </row>
    <row r="3" spans="1:43" ht="23.25" hidden="1" customHeight="1">
      <c r="A3" s="1288"/>
      <c r="B3" s="1288"/>
      <c r="C3" s="1288"/>
      <c r="D3" s="1288"/>
      <c r="E3" s="2187"/>
      <c r="F3" s="2186">
        <v>1</v>
      </c>
      <c r="G3" s="1288"/>
      <c r="H3" s="1288"/>
      <c r="I3" s="1288"/>
      <c r="J3" s="1288"/>
      <c r="K3" s="1288"/>
      <c r="L3" s="1289"/>
      <c r="M3" s="1290"/>
      <c r="N3" s="1290"/>
      <c r="O3" s="1290"/>
      <c r="P3" s="1412"/>
      <c r="Q3" s="287"/>
      <c r="R3" s="288"/>
      <c r="S3" s="1418" t="e">
        <f>INDEX(PT_DIFFERENTIATION_NUM_TER,MATCH(B3,PT_DIFFERENTIATION_TER_ID,0))</f>
        <v>#N/A</v>
      </c>
      <c r="T3" s="244" t="s">
        <v>396</v>
      </c>
      <c r="U3" s="236"/>
      <c r="V3" s="2172"/>
      <c r="W3" s="2173"/>
      <c r="X3" s="2173"/>
      <c r="Y3" s="2173"/>
      <c r="Z3" s="2173"/>
      <c r="AA3" s="2173"/>
      <c r="AB3" s="2174"/>
      <c r="AC3" s="2172" t="e">
        <f>INDEX(PT_DIFFERENTIATION_TER,MATCH(B3,PT_DIFFERENTIATION_TER_ID,0))</f>
        <v>#N/A</v>
      </c>
      <c r="AD3" s="2173"/>
      <c r="AE3" s="2173"/>
      <c r="AF3" s="2173"/>
      <c r="AG3" s="2173"/>
      <c r="AH3" s="2173"/>
      <c r="AI3" s="2173"/>
      <c r="AJ3" s="2174"/>
      <c r="AK3" s="1183" t="s">
        <v>397</v>
      </c>
      <c r="AM3" s="435"/>
      <c r="AN3" s="435" t="str">
        <f t="shared" si="0"/>
        <v>Территория действия тарифа</v>
      </c>
      <c r="AO3" s="435"/>
      <c r="AP3" s="435"/>
      <c r="AQ3" s="1080">
        <v>0</v>
      </c>
    </row>
    <row r="4" spans="1:43" ht="23.25" hidden="1" customHeight="1">
      <c r="A4" s="1288"/>
      <c r="B4" s="1288"/>
      <c r="C4" s="1288"/>
      <c r="D4" s="1288"/>
      <c r="E4" s="2187"/>
      <c r="F4" s="2187"/>
      <c r="G4" s="2186">
        <v>1</v>
      </c>
      <c r="H4" s="1288"/>
      <c r="I4" s="1288"/>
      <c r="J4" s="1288"/>
      <c r="K4" s="1288"/>
      <c r="L4" s="1289"/>
      <c r="M4" s="1290"/>
      <c r="N4" s="1290"/>
      <c r="O4" s="1290"/>
      <c r="P4" s="289"/>
      <c r="Q4" s="287"/>
      <c r="R4" s="288"/>
      <c r="S4" s="1418" t="e">
        <f>INDEX(PT_DIFFERENTIATION_NUM_CS,MATCH(C4,PT_DIFFERENTIATION_CS_ID,0))</f>
        <v>#N/A</v>
      </c>
      <c r="T4" s="245" t="s">
        <v>515</v>
      </c>
      <c r="U4" s="236"/>
      <c r="V4" s="2172"/>
      <c r="W4" s="2173"/>
      <c r="X4" s="2173"/>
      <c r="Y4" s="2173"/>
      <c r="Z4" s="2173"/>
      <c r="AA4" s="2173"/>
      <c r="AB4" s="2174"/>
      <c r="AC4" s="2172" t="e">
        <f>INDEX(PT_DIFFERENTIATION_CS,MATCH(C4,PT_DIFFERENTIATION_CS_ID,0))</f>
        <v>#N/A</v>
      </c>
      <c r="AD4" s="2173"/>
      <c r="AE4" s="2173"/>
      <c r="AF4" s="2173"/>
      <c r="AG4" s="2173"/>
      <c r="AH4" s="2173"/>
      <c r="AI4" s="2173"/>
      <c r="AJ4" s="2174"/>
      <c r="AK4" s="1183" t="s">
        <v>516</v>
      </c>
      <c r="AM4" s="435"/>
      <c r="AN4" s="435" t="str">
        <f t="shared" si="0"/>
        <v>Наименование централизованной системы водоотведения</v>
      </c>
      <c r="AO4" s="435"/>
      <c r="AP4" s="435"/>
      <c r="AQ4" s="1080">
        <v>0</v>
      </c>
    </row>
    <row r="5" spans="1:43" ht="23.25" hidden="1" customHeight="1">
      <c r="A5" s="1288"/>
      <c r="B5" s="1288"/>
      <c r="C5" s="1288"/>
      <c r="D5" s="1288"/>
      <c r="E5" s="2187"/>
      <c r="F5" s="2187"/>
      <c r="G5" s="2187"/>
      <c r="H5" s="2187"/>
      <c r="I5" s="2184" t="e">
        <f>S4&amp;".1"</f>
        <v>#N/A</v>
      </c>
      <c r="J5" s="1288"/>
      <c r="K5" s="1288"/>
      <c r="L5" s="1289"/>
      <c r="P5" s="2185">
        <v>1</v>
      </c>
      <c r="Q5" s="1406"/>
      <c r="R5" s="291"/>
      <c r="S5" s="1418" t="e">
        <f>$I5</f>
        <v>#N/A</v>
      </c>
      <c r="T5" s="221" t="s">
        <v>482</v>
      </c>
      <c r="U5" s="236"/>
      <c r="V5" s="2253"/>
      <c r="W5" s="2254"/>
      <c r="X5" s="2254"/>
      <c r="Y5" s="2254"/>
      <c r="Z5" s="2254"/>
      <c r="AA5" s="2254"/>
      <c r="AB5" s="2255"/>
      <c r="AC5" s="2256"/>
      <c r="AD5" s="2257"/>
      <c r="AE5" s="2257"/>
      <c r="AF5" s="2257"/>
      <c r="AG5" s="2257"/>
      <c r="AH5" s="2257"/>
      <c r="AI5" s="2257"/>
      <c r="AJ5" s="2258"/>
      <c r="AK5" s="1183" t="s">
        <v>483</v>
      </c>
      <c r="AM5" s="435"/>
      <c r="AN5" s="435" t="str">
        <f t="shared" si="0"/>
        <v>Наименование признака дифференциации</v>
      </c>
      <c r="AO5" s="435"/>
      <c r="AP5" s="435"/>
      <c r="AQ5" s="1080">
        <v>0</v>
      </c>
    </row>
    <row r="6" spans="1:43" ht="23.25" hidden="1" customHeight="1">
      <c r="A6" s="1288"/>
      <c r="B6" s="1288"/>
      <c r="C6" s="1288"/>
      <c r="D6" s="1288"/>
      <c r="E6" s="2187"/>
      <c r="F6" s="2187"/>
      <c r="G6" s="2187"/>
      <c r="H6" s="2187"/>
      <c r="I6" s="2207"/>
      <c r="J6" s="2184" t="e">
        <f>I5&amp;".1"</f>
        <v>#N/A</v>
      </c>
      <c r="K6" s="1288"/>
      <c r="L6" s="1289" t="s">
        <v>405</v>
      </c>
      <c r="P6" s="2185"/>
      <c r="Q6" s="2185">
        <v>1</v>
      </c>
      <c r="R6" s="292"/>
      <c r="S6" s="1418" t="e">
        <f>$J6</f>
        <v>#N/A</v>
      </c>
      <c r="T6" s="222" t="s">
        <v>406</v>
      </c>
      <c r="U6" s="236"/>
      <c r="V6" s="2175"/>
      <c r="W6" s="2176"/>
      <c r="X6" s="2176"/>
      <c r="Y6" s="2176"/>
      <c r="Z6" s="2176"/>
      <c r="AA6" s="2176"/>
      <c r="AB6" s="2177"/>
      <c r="AC6" s="2175"/>
      <c r="AD6" s="2176"/>
      <c r="AE6" s="2176"/>
      <c r="AF6" s="2176"/>
      <c r="AG6" s="2176"/>
      <c r="AH6" s="2176"/>
      <c r="AI6" s="2176"/>
      <c r="AJ6" s="2177"/>
      <c r="AK6" s="1232" t="s">
        <v>484</v>
      </c>
      <c r="AM6" s="435"/>
      <c r="AN6" s="435" t="str">
        <f t="shared" si="0"/>
        <v>Группа потребителей</v>
      </c>
      <c r="AO6" s="435"/>
      <c r="AP6" s="435"/>
      <c r="AQ6" s="1080">
        <v>0</v>
      </c>
    </row>
    <row r="7" spans="1:43" ht="23.25" hidden="1" customHeight="1">
      <c r="A7" s="1288"/>
      <c r="B7" s="1288"/>
      <c r="C7" s="1288"/>
      <c r="D7" s="1288"/>
      <c r="E7" s="2187"/>
      <c r="F7" s="2187"/>
      <c r="G7" s="2187"/>
      <c r="H7" s="2187"/>
      <c r="I7" s="2207"/>
      <c r="J7" s="2207"/>
      <c r="K7" s="2184" t="e">
        <f>J6&amp;".1"</f>
        <v>#N/A</v>
      </c>
      <c r="L7" s="1289"/>
      <c r="P7" s="2185"/>
      <c r="Q7" s="2185"/>
      <c r="R7" s="292">
        <v>1</v>
      </c>
      <c r="S7" s="1418" t="e">
        <f>$K7</f>
        <v>#N/A</v>
      </c>
      <c r="T7" s="1362"/>
      <c r="U7" s="236"/>
      <c r="V7" s="686"/>
      <c r="W7" s="686"/>
      <c r="X7" s="1182"/>
      <c r="Y7" s="2189"/>
      <c r="Z7" s="2047" t="s">
        <v>66</v>
      </c>
      <c r="AA7" s="2189"/>
      <c r="AB7" s="2047" t="s">
        <v>66</v>
      </c>
      <c r="AC7" s="686"/>
      <c r="AD7" s="686"/>
      <c r="AE7" s="1182"/>
      <c r="AF7" s="2189"/>
      <c r="AG7" s="2047" t="s">
        <v>66</v>
      </c>
      <c r="AH7" s="2208"/>
      <c r="AI7" s="2047" t="s">
        <v>66</v>
      </c>
      <c r="AJ7" s="1363"/>
      <c r="AK7" s="2252"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7" s="446" t="e">
        <f ca="1">STRCHECKDATE(V8:AJ8)</f>
        <v>#NAME?</v>
      </c>
      <c r="AM7" s="435"/>
      <c r="AN7" s="435" t="str">
        <f t="shared" si="0"/>
        <v/>
      </c>
      <c r="AO7" s="435"/>
      <c r="AP7" s="435"/>
      <c r="AQ7" s="1080">
        <v>0</v>
      </c>
    </row>
    <row r="8" spans="1:43" ht="14.25" hidden="1" customHeight="1">
      <c r="A8" s="1288"/>
      <c r="B8" s="1288"/>
      <c r="C8" s="1288"/>
      <c r="D8" s="1288"/>
      <c r="E8" s="2187"/>
      <c r="F8" s="2187"/>
      <c r="G8" s="2187"/>
      <c r="H8" s="2187"/>
      <c r="I8" s="2207"/>
      <c r="J8" s="2207"/>
      <c r="K8" s="2184"/>
      <c r="L8" s="1289"/>
      <c r="P8" s="2185"/>
      <c r="Q8" s="2185"/>
      <c r="R8" s="292"/>
      <c r="S8" s="1415"/>
      <c r="T8" s="236"/>
      <c r="U8" s="236"/>
      <c r="V8" s="261"/>
      <c r="W8" s="261"/>
      <c r="X8" s="264" t="str">
        <f>Y7&amp;"-"&amp;AA7</f>
        <v>-</v>
      </c>
      <c r="Y8" s="2190"/>
      <c r="Z8" s="2047"/>
      <c r="AA8" s="2190"/>
      <c r="AB8" s="2047"/>
      <c r="AC8" s="261"/>
      <c r="AD8" s="261"/>
      <c r="AE8" s="264" t="str">
        <f>AF7&amp;"-"&amp;AH7</f>
        <v>-</v>
      </c>
      <c r="AF8" s="2190"/>
      <c r="AG8" s="2047"/>
      <c r="AH8" s="2209"/>
      <c r="AI8" s="2047"/>
      <c r="AJ8" s="1364"/>
      <c r="AK8" s="2252"/>
      <c r="AM8" s="435"/>
      <c r="AN8" s="435" t="str">
        <f t="shared" si="0"/>
        <v/>
      </c>
      <c r="AO8" s="435"/>
      <c r="AP8" s="435"/>
      <c r="AQ8" s="1080">
        <v>0</v>
      </c>
    </row>
    <row r="9" spans="1:43" ht="21" hidden="1" customHeight="1">
      <c r="A9" s="1288"/>
      <c r="B9" s="1288"/>
      <c r="C9" s="1288"/>
      <c r="D9" s="1288"/>
      <c r="E9" s="2187"/>
      <c r="F9" s="2187"/>
      <c r="G9" s="2187"/>
      <c r="H9" s="2187"/>
      <c r="I9" s="2207"/>
      <c r="J9" s="2184"/>
      <c r="K9" s="1288"/>
      <c r="L9" s="1289"/>
      <c r="P9" s="2185"/>
      <c r="Q9" s="2185"/>
      <c r="R9" s="291"/>
      <c r="S9" s="1203"/>
      <c r="T9" s="223" t="s">
        <v>485</v>
      </c>
      <c r="U9" s="302"/>
      <c r="V9" s="302"/>
      <c r="W9" s="302"/>
      <c r="X9" s="302"/>
      <c r="Y9" s="302"/>
      <c r="Z9" s="302"/>
      <c r="AA9" s="302"/>
      <c r="AB9" s="302"/>
      <c r="AC9" s="302"/>
      <c r="AD9" s="302"/>
      <c r="AE9" s="302"/>
      <c r="AF9" s="302"/>
      <c r="AG9" s="302"/>
      <c r="AH9" s="302"/>
      <c r="AI9" s="302"/>
      <c r="AJ9" s="302"/>
      <c r="AK9" s="1183" t="s">
        <v>486</v>
      </c>
      <c r="AM9" s="435"/>
      <c r="AN9" s="435" t="str">
        <f t="shared" si="0"/>
        <v>Добавить значение признака дифференциации</v>
      </c>
      <c r="AO9" s="435"/>
      <c r="AP9" s="435"/>
      <c r="AQ9" s="1080">
        <v>0</v>
      </c>
    </row>
    <row r="10" spans="1:43" ht="21" hidden="1" customHeight="1">
      <c r="A10" s="1288"/>
      <c r="B10" s="1288"/>
      <c r="C10" s="1288"/>
      <c r="D10" s="1288"/>
      <c r="E10" s="2187"/>
      <c r="F10" s="2187"/>
      <c r="G10" s="2187"/>
      <c r="H10" s="2187"/>
      <c r="I10" s="2184"/>
      <c r="J10" s="1288"/>
      <c r="K10" s="1288"/>
      <c r="L10" s="1289"/>
      <c r="P10" s="2185"/>
      <c r="Q10" s="1406"/>
      <c r="R10" s="291"/>
      <c r="S10" s="1203"/>
      <c r="T10" s="300" t="s">
        <v>411</v>
      </c>
      <c r="U10" s="302"/>
      <c r="V10" s="302"/>
      <c r="W10" s="302"/>
      <c r="X10" s="302"/>
      <c r="Y10" s="302"/>
      <c r="Z10" s="302"/>
      <c r="AA10" s="302"/>
      <c r="AB10" s="301"/>
      <c r="AC10" s="302"/>
      <c r="AD10" s="302"/>
      <c r="AE10" s="302"/>
      <c r="AF10" s="302"/>
      <c r="AG10" s="302"/>
      <c r="AH10" s="302"/>
      <c r="AI10" s="301"/>
      <c r="AJ10" s="302"/>
      <c r="AK10" s="1365"/>
      <c r="AM10" s="435"/>
      <c r="AN10" s="435" t="str">
        <f t="shared" si="0"/>
        <v>Добавить группу потребителей</v>
      </c>
      <c r="AO10" s="435"/>
      <c r="AP10" s="435"/>
      <c r="AQ10" s="1080">
        <v>0</v>
      </c>
    </row>
    <row r="11" spans="1:43" ht="21" hidden="1" customHeight="1">
      <c r="A11" s="1288"/>
      <c r="B11" s="1288"/>
      <c r="C11" s="1288"/>
      <c r="D11" s="1288"/>
      <c r="E11" s="2187"/>
      <c r="F11" s="2187"/>
      <c r="G11" s="2187"/>
      <c r="H11" s="2186"/>
      <c r="I11" s="1288"/>
      <c r="J11" s="1288"/>
      <c r="K11" s="1288"/>
      <c r="L11" s="1289"/>
      <c r="M11" s="1290"/>
      <c r="N11" s="1290"/>
      <c r="O11" s="472"/>
      <c r="P11" s="295"/>
      <c r="Q11" s="310"/>
      <c r="R11" s="290"/>
      <c r="S11" s="1203"/>
      <c r="T11" s="307" t="s">
        <v>487</v>
      </c>
      <c r="U11" s="302"/>
      <c r="V11" s="302"/>
      <c r="W11" s="302"/>
      <c r="X11" s="302"/>
      <c r="Y11" s="302"/>
      <c r="Z11" s="302"/>
      <c r="AA11" s="302"/>
      <c r="AB11" s="301"/>
      <c r="AC11" s="302"/>
      <c r="AD11" s="302"/>
      <c r="AE11" s="302"/>
      <c r="AF11" s="302"/>
      <c r="AG11" s="302"/>
      <c r="AH11" s="302"/>
      <c r="AI11" s="301"/>
      <c r="AJ11" s="302"/>
      <c r="AK11" s="239"/>
      <c r="AM11" s="435"/>
      <c r="AN11" s="435" t="str">
        <f t="shared" si="0"/>
        <v>Добавить наименование признака дифференциации</v>
      </c>
      <c r="AO11" s="435"/>
      <c r="AP11" s="435"/>
      <c r="AQ11" s="1080">
        <v>0</v>
      </c>
    </row>
    <row r="12" spans="1:43" s="1567" customFormat="1" ht="14.25" hidden="1" customHeight="1">
      <c r="A12" s="1268"/>
      <c r="B12" s="1268"/>
      <c r="C12" s="1239"/>
      <c r="D12" s="1239"/>
      <c r="E12" s="2187"/>
      <c r="F12" s="2186"/>
      <c r="G12" s="1239"/>
      <c r="H12" s="1239"/>
      <c r="I12" s="1239"/>
      <c r="J12" s="1239"/>
      <c r="K12" s="1239"/>
      <c r="L12" s="1419"/>
      <c r="M12" s="1246"/>
      <c r="N12" s="1246"/>
      <c r="P12" s="1241"/>
      <c r="Q12" s="1242"/>
      <c r="R12" s="1241"/>
      <c r="S12" s="1247"/>
      <c r="T12" s="1250" t="s">
        <v>414</v>
      </c>
      <c r="U12" s="1249"/>
      <c r="V12" s="1249"/>
      <c r="W12" s="1249"/>
      <c r="X12" s="1249"/>
      <c r="Y12" s="1249"/>
      <c r="Z12" s="1249"/>
      <c r="AA12" s="1249"/>
      <c r="AB12" s="1249"/>
      <c r="AC12" s="1249"/>
      <c r="AD12" s="1249"/>
      <c r="AE12" s="1249"/>
      <c r="AF12" s="1249"/>
      <c r="AG12" s="1249"/>
      <c r="AH12" s="1249"/>
      <c r="AI12" s="1249"/>
      <c r="AJ12" s="1249"/>
      <c r="AK12" s="1249"/>
      <c r="AM12" s="718"/>
      <c r="AN12" s="718" t="str">
        <f t="shared" si="0"/>
        <v>Добавить централизованную систему для дифференциации</v>
      </c>
      <c r="AO12" s="718"/>
      <c r="AP12" s="718"/>
      <c r="AQ12" s="453">
        <v>0</v>
      </c>
    </row>
    <row r="13" spans="1:43" s="1567" customFormat="1" ht="14.25" hidden="1" customHeight="1">
      <c r="A13" s="1268"/>
      <c r="B13" s="1268"/>
      <c r="C13" s="1268"/>
      <c r="D13" s="1268"/>
      <c r="E13" s="2186"/>
      <c r="F13" s="1268"/>
      <c r="G13" s="1268"/>
      <c r="H13" s="1268"/>
      <c r="I13" s="1268"/>
      <c r="J13" s="1268"/>
      <c r="K13" s="1268"/>
      <c r="L13" s="1271"/>
      <c r="M13" s="1246"/>
      <c r="N13" s="1246"/>
      <c r="O13" s="453"/>
      <c r="P13" s="315"/>
      <c r="Q13" s="1269"/>
      <c r="R13" s="315"/>
      <c r="S13" s="1247"/>
      <c r="T13" s="1250" t="s">
        <v>415</v>
      </c>
      <c r="U13" s="1249"/>
      <c r="V13" s="1249"/>
      <c r="W13" s="1249"/>
      <c r="X13" s="1249"/>
      <c r="Y13" s="1249"/>
      <c r="Z13" s="1249"/>
      <c r="AA13" s="1249"/>
      <c r="AB13" s="1249"/>
      <c r="AC13" s="1249"/>
      <c r="AD13" s="1249"/>
      <c r="AE13" s="1249"/>
      <c r="AF13" s="1249"/>
      <c r="AG13" s="1249"/>
      <c r="AH13" s="1249"/>
      <c r="AI13" s="1249"/>
      <c r="AJ13" s="1249"/>
      <c r="AK13" s="1249"/>
      <c r="AM13" s="435"/>
      <c r="AN13" s="435" t="str">
        <f t="shared" si="0"/>
        <v>Добавить территорию для дифференциации</v>
      </c>
      <c r="AO13" s="435"/>
      <c r="AP13" s="435"/>
      <c r="AQ13" s="446">
        <v>0</v>
      </c>
    </row>
    <row r="14" spans="1:43" ht="14.25" hidden="1" customHeight="1">
      <c r="AB14" s="263"/>
      <c r="AI14" s="263"/>
      <c r="AQ14" s="1080">
        <v>0</v>
      </c>
    </row>
    <row r="15" spans="1:43" ht="14.25" hidden="1" customHeight="1">
      <c r="AC15" s="1285"/>
      <c r="AD15" s="1285"/>
      <c r="AE15" s="1286"/>
      <c r="AF15" s="2191"/>
      <c r="AG15" s="2192" t="s">
        <v>66</v>
      </c>
      <c r="AH15" s="2191"/>
      <c r="AI15" s="2192" t="s">
        <v>66</v>
      </c>
      <c r="AQ15" s="1080">
        <v>0</v>
      </c>
    </row>
    <row r="16" spans="1:43" ht="14.25" hidden="1" customHeight="1">
      <c r="AC16" s="1285"/>
      <c r="AD16" s="1285"/>
      <c r="AE16" s="264" t="str">
        <f>AF15&amp;"-"&amp;AH15</f>
        <v>-</v>
      </c>
      <c r="AF16" s="2192"/>
      <c r="AG16" s="2192"/>
      <c r="AH16" s="2192"/>
      <c r="AI16" s="2192"/>
      <c r="AQ16" s="1080">
        <v>0</v>
      </c>
    </row>
    <row r="17" spans="1:43" ht="14.25" hidden="1" customHeight="1">
      <c r="AI17" s="263"/>
      <c r="AQ17" s="1080">
        <v>0</v>
      </c>
    </row>
    <row r="18" spans="1:43" s="1291" customFormat="1" ht="22.5" hidden="1" customHeight="1">
      <c r="L18" s="1403"/>
      <c r="M18" s="1287"/>
      <c r="N18" s="1287"/>
      <c r="O18" s="1292" t="s">
        <v>416</v>
      </c>
      <c r="P18" s="1287"/>
      <c r="Q18" s="1296"/>
      <c r="R18" s="1296"/>
      <c r="S18" s="664"/>
      <c r="Y18" s="1292"/>
      <c r="AA18" s="1292"/>
      <c r="AF18" s="1292"/>
      <c r="AH18" s="1292"/>
      <c r="AL18" s="446"/>
      <c r="AM18" s="446"/>
      <c r="AN18" s="446"/>
      <c r="AO18" s="446"/>
      <c r="AP18" s="446"/>
      <c r="AQ18" s="1085">
        <v>0</v>
      </c>
    </row>
    <row r="19" spans="1:43" s="1291" customFormat="1" ht="14.25" hidden="1" customHeight="1">
      <c r="L19" s="1403"/>
      <c r="M19" s="1287"/>
      <c r="N19" s="1287"/>
      <c r="O19" s="1287"/>
      <c r="P19" s="1287"/>
      <c r="Q19" s="1296"/>
      <c r="R19" s="1296"/>
      <c r="S19" s="664"/>
      <c r="AL19" s="446"/>
      <c r="AM19" s="446"/>
      <c r="AN19" s="446"/>
      <c r="AO19" s="446"/>
      <c r="AP19" s="446"/>
      <c r="AQ19" s="1085">
        <v>0</v>
      </c>
    </row>
    <row r="20" spans="1:43" s="1291" customFormat="1" ht="12" hidden="1" customHeight="1">
      <c r="L20" s="1403"/>
      <c r="M20" s="1287"/>
      <c r="N20" s="1287"/>
      <c r="O20" s="1289" t="s">
        <v>417</v>
      </c>
      <c r="P20" s="1287"/>
      <c r="Q20" s="1367"/>
      <c r="R20" s="1367"/>
      <c r="S20" s="664"/>
      <c r="T20" s="1085" t="s">
        <v>418</v>
      </c>
      <c r="Z20" s="122" t="s">
        <v>419</v>
      </c>
      <c r="AB20" s="122" t="s">
        <v>420</v>
      </c>
      <c r="AC20" s="1085" t="s">
        <v>418</v>
      </c>
      <c r="AG20" s="122" t="s">
        <v>421</v>
      </c>
      <c r="AI20" s="122" t="s">
        <v>420</v>
      </c>
      <c r="AQ20" s="1085">
        <v>0</v>
      </c>
    </row>
    <row r="21" spans="1:43" ht="14.25" hidden="1" customHeight="1">
      <c r="O21" s="1289"/>
      <c r="AQ21" s="1080">
        <v>0</v>
      </c>
    </row>
    <row r="22" spans="1:43" ht="14.25" hidden="1" customHeight="1">
      <c r="O22" s="1289"/>
      <c r="AQ22" s="1080">
        <v>0</v>
      </c>
    </row>
    <row r="23" spans="1:43" ht="14.65" customHeight="1">
      <c r="Q23" s="311"/>
      <c r="R23" s="311"/>
      <c r="S23" s="1200"/>
      <c r="T23" s="298"/>
      <c r="U23" s="298"/>
      <c r="V23" s="444"/>
      <c r="W23" s="444"/>
      <c r="X23" s="444"/>
      <c r="Y23" s="444"/>
      <c r="Z23" s="444"/>
      <c r="AA23" s="444"/>
      <c r="AB23" s="444"/>
      <c r="AC23" s="444"/>
      <c r="AD23" s="444"/>
      <c r="AE23" s="444"/>
      <c r="AF23" s="444"/>
      <c r="AG23" s="444"/>
      <c r="AH23" s="444"/>
      <c r="AI23" s="444"/>
      <c r="AQ23" s="1080">
        <v>14</v>
      </c>
    </row>
    <row r="24" spans="1:43" ht="14.65" customHeight="1">
      <c r="Q24" s="311"/>
      <c r="R24" s="311"/>
      <c r="S24" s="2170" t="str">
        <f>IF(TEMPLATE_GROUP="P",PT_P_FORM_VOTV_4_NAME_FORM,PT_R_FORM_VOTV_16_NAME_FORM)</f>
        <v>Форма 13. Информация о предложении организации водоотведения об установлении расчетной величины тарифов в сфере водоотведения на очередной период регулирования</v>
      </c>
      <c r="T24" s="2170"/>
      <c r="U24" s="2170"/>
      <c r="V24" s="2170"/>
      <c r="W24" s="2170"/>
      <c r="X24" s="2170"/>
      <c r="Y24" s="2170"/>
      <c r="Z24" s="2170"/>
      <c r="AA24" s="2170"/>
      <c r="AB24" s="2170"/>
      <c r="AC24" s="2170"/>
      <c r="AD24" s="2170"/>
      <c r="AE24" s="2170"/>
      <c r="AF24" s="2170"/>
      <c r="AG24" s="2170"/>
      <c r="AH24" s="2170"/>
      <c r="AI24" s="1168"/>
      <c r="AQ24" s="1080">
        <v>14</v>
      </c>
    </row>
    <row r="25" spans="1:43" ht="14.65" customHeight="1">
      <c r="Q25" s="311"/>
      <c r="R25" s="311"/>
      <c r="S25" s="2115" t="str">
        <f>IF(org=0,"Не определено",org)</f>
        <v>ООО "ЗЕНИТ ЭНЕРГО"</v>
      </c>
      <c r="T25" s="2115"/>
      <c r="U25" s="2115"/>
      <c r="V25" s="2115"/>
      <c r="W25" s="2115"/>
      <c r="X25" s="2115"/>
      <c r="Y25" s="2115"/>
      <c r="Z25" s="2115"/>
      <c r="AA25" s="2115"/>
      <c r="AB25" s="2115"/>
      <c r="AC25" s="2115"/>
      <c r="AD25" s="2115"/>
      <c r="AE25" s="2115"/>
      <c r="AF25" s="2115"/>
      <c r="AG25" s="2115"/>
      <c r="AH25" s="2115"/>
      <c r="AI25" s="1168"/>
      <c r="AQ25" s="1080">
        <v>14</v>
      </c>
    </row>
    <row r="26" spans="1:43" ht="14.25" hidden="1" customHeight="1">
      <c r="Q26" s="311"/>
      <c r="R26" s="311"/>
      <c r="S26" s="1200"/>
      <c r="T26" s="298"/>
      <c r="U26" s="298"/>
      <c r="V26" s="258"/>
      <c r="W26" s="258"/>
      <c r="X26" s="258"/>
      <c r="Y26" s="258"/>
      <c r="Z26" s="258"/>
      <c r="AA26" s="258"/>
      <c r="AB26" s="258"/>
      <c r="AC26" s="258"/>
      <c r="AD26" s="258"/>
      <c r="AE26" s="258"/>
      <c r="AF26" s="258"/>
      <c r="AG26" s="258"/>
      <c r="AH26" s="258"/>
      <c r="AI26" s="258"/>
      <c r="AJ26" s="444"/>
      <c r="AQ26" s="1080">
        <v>0</v>
      </c>
    </row>
    <row r="27" spans="1:43" s="1777" customFormat="1" ht="25.5" hidden="1" customHeight="1">
      <c r="A27" s="1293"/>
      <c r="B27" s="1293"/>
      <c r="C27" s="1293"/>
      <c r="D27" s="1293"/>
      <c r="E27" s="1293"/>
      <c r="F27" s="1293"/>
      <c r="G27" s="1293"/>
      <c r="H27" s="1293"/>
      <c r="I27" s="1293"/>
      <c r="J27" s="1293"/>
      <c r="K27" s="1293"/>
      <c r="L27" s="1294"/>
      <c r="M27" s="1293"/>
      <c r="N27" s="1293"/>
      <c r="O27" s="1293"/>
      <c r="S27" s="2178" t="s">
        <v>42</v>
      </c>
      <c r="T27" s="2178"/>
      <c r="U27" s="1297"/>
      <c r="V27" s="2179" t="str">
        <f>IF(TITLE_NAME_OR_PR_CHANGE="",IF(TITLE_NAME_OR_PR="","",TITLE_NAME_OR_PR),TITLE_NAME_OR_PR_CHANGE)</f>
        <v/>
      </c>
      <c r="W27" s="2179"/>
      <c r="X27" s="2179"/>
      <c r="Y27" s="2179"/>
      <c r="Z27" s="2179"/>
      <c r="AA27" s="2179"/>
      <c r="AB27" s="262"/>
      <c r="AC27" s="2179" t="str">
        <f>IF(TITLE_NAME_OR_PR_CHANGE="",IF(TITLE_NAME_OR_PR="","",TITLE_NAME_OR_PR),TITLE_NAME_OR_PR_CHANGE)</f>
        <v/>
      </c>
      <c r="AD27" s="2179"/>
      <c r="AE27" s="2179"/>
      <c r="AF27" s="2179"/>
      <c r="AG27" s="2179"/>
      <c r="AH27" s="2179"/>
      <c r="AI27" s="262"/>
      <c r="AJ27" s="262"/>
      <c r="AK27" s="216"/>
      <c r="AL27" s="303"/>
      <c r="AM27" s="303"/>
      <c r="AN27" s="303"/>
      <c r="AO27" s="303"/>
      <c r="AP27" s="303"/>
      <c r="AQ27" s="353">
        <v>0</v>
      </c>
    </row>
    <row r="28" spans="1:43" s="1777" customFormat="1" ht="18.75" hidden="1" customHeight="1">
      <c r="A28" s="1293"/>
      <c r="B28" s="1293"/>
      <c r="C28" s="1293"/>
      <c r="D28" s="1293"/>
      <c r="E28" s="1293"/>
      <c r="F28" s="1293"/>
      <c r="G28" s="1293"/>
      <c r="H28" s="1293"/>
      <c r="I28" s="1293"/>
      <c r="J28" s="1293"/>
      <c r="K28" s="1293"/>
      <c r="L28" s="1294"/>
      <c r="M28" s="1293"/>
      <c r="N28" s="1293"/>
      <c r="O28" s="1293"/>
      <c r="S28" s="2178" t="s">
        <v>422</v>
      </c>
      <c r="T28" s="2178"/>
      <c r="U28" s="1297"/>
      <c r="V28" s="2188" t="str">
        <f>IF(TITLE_DATE_PR_CHANGE="",IF(TITLE_DATE_PR="","",TITLE_DATE_PR),TITLE_DATE_PR_CHANGE)</f>
        <v/>
      </c>
      <c r="W28" s="2188"/>
      <c r="X28" s="2188"/>
      <c r="Y28" s="2188"/>
      <c r="Z28" s="2188"/>
      <c r="AA28" s="2188"/>
      <c r="AB28" s="262"/>
      <c r="AC28" s="2188" t="str">
        <f>IF(TITLE_DATE_PR_CHANGE="",IF(TITLE_DATE_PR="","",TITLE_DATE_PR),TITLE_DATE_PR_CHANGE)</f>
        <v/>
      </c>
      <c r="AD28" s="2188"/>
      <c r="AE28" s="2188"/>
      <c r="AF28" s="2188"/>
      <c r="AG28" s="2188"/>
      <c r="AH28" s="2188"/>
      <c r="AI28" s="262"/>
      <c r="AJ28" s="262"/>
      <c r="AK28" s="216"/>
      <c r="AL28" s="303"/>
      <c r="AM28" s="303"/>
      <c r="AN28" s="303"/>
      <c r="AO28" s="303"/>
      <c r="AP28" s="303"/>
      <c r="AQ28" s="353">
        <v>0</v>
      </c>
    </row>
    <row r="29" spans="1:43" s="1777" customFormat="1" ht="18.75" hidden="1" customHeight="1">
      <c r="A29" s="1293"/>
      <c r="B29" s="1293"/>
      <c r="C29" s="1293"/>
      <c r="D29" s="1293"/>
      <c r="E29" s="1293"/>
      <c r="F29" s="1293"/>
      <c r="G29" s="1293"/>
      <c r="H29" s="1293"/>
      <c r="I29" s="1293"/>
      <c r="J29" s="1293"/>
      <c r="K29" s="1293"/>
      <c r="L29" s="1294"/>
      <c r="M29" s="1293"/>
      <c r="N29" s="1293"/>
      <c r="O29" s="1293"/>
      <c r="S29" s="2178" t="s">
        <v>423</v>
      </c>
      <c r="T29" s="2178"/>
      <c r="U29" s="1297"/>
      <c r="V29" s="2179" t="str">
        <f>IF(TITLE_NUMBER_PR_CHANGE="",IF(TITLE_NUMBER_PR="","",TITLE_NUMBER_PR),TITLE_NUMBER_PR_CHANGE)</f>
        <v/>
      </c>
      <c r="W29" s="2179"/>
      <c r="X29" s="2179"/>
      <c r="Y29" s="2179"/>
      <c r="Z29" s="2179"/>
      <c r="AA29" s="2179"/>
      <c r="AB29" s="262"/>
      <c r="AC29" s="2179" t="str">
        <f>IF(TITLE_NUMBER_PR_CHANGE="",IF(TITLE_NUMBER_PR="","",TITLE_NUMBER_PR),TITLE_NUMBER_PR_CHANGE)</f>
        <v/>
      </c>
      <c r="AD29" s="2179"/>
      <c r="AE29" s="2179"/>
      <c r="AF29" s="2179"/>
      <c r="AG29" s="2179"/>
      <c r="AH29" s="2179"/>
      <c r="AI29" s="262"/>
      <c r="AJ29" s="262"/>
      <c r="AK29" s="216"/>
      <c r="AL29" s="303"/>
      <c r="AM29" s="303"/>
      <c r="AN29" s="303"/>
      <c r="AO29" s="303"/>
      <c r="AP29" s="303"/>
      <c r="AQ29" s="353">
        <v>0</v>
      </c>
    </row>
    <row r="30" spans="1:43" s="1777" customFormat="1" ht="18.75" hidden="1" customHeight="1">
      <c r="A30" s="1293"/>
      <c r="B30" s="1293"/>
      <c r="C30" s="1293"/>
      <c r="D30" s="1293"/>
      <c r="E30" s="1293"/>
      <c r="F30" s="1293"/>
      <c r="G30" s="1293"/>
      <c r="H30" s="1293"/>
      <c r="I30" s="1293"/>
      <c r="J30" s="1293"/>
      <c r="K30" s="1293"/>
      <c r="L30" s="1294"/>
      <c r="M30" s="1293"/>
      <c r="N30" s="1293"/>
      <c r="O30" s="1293"/>
      <c r="S30" s="2178" t="s">
        <v>43</v>
      </c>
      <c r="T30" s="2178"/>
      <c r="U30" s="1297"/>
      <c r="V30" s="2179" t="str">
        <f>IF(TITLE_IST_PUB_CHANGE="",IF(TITLE_IST_PUB="","",TITLE_IST_PUB),TITLE_IST_PUB_CHANGE)</f>
        <v/>
      </c>
      <c r="W30" s="2179"/>
      <c r="X30" s="2179"/>
      <c r="Y30" s="2179"/>
      <c r="Z30" s="2179"/>
      <c r="AA30" s="2179"/>
      <c r="AB30" s="262"/>
      <c r="AC30" s="2179" t="str">
        <f>IF(TITLE_IST_PUB_CHANGE="",IF(TITLE_IST_PUB="","",TITLE_IST_PUB),TITLE_IST_PUB_CHANGE)</f>
        <v/>
      </c>
      <c r="AD30" s="2179"/>
      <c r="AE30" s="2179"/>
      <c r="AF30" s="2179"/>
      <c r="AG30" s="2179"/>
      <c r="AH30" s="2179"/>
      <c r="AI30" s="262"/>
      <c r="AJ30" s="262"/>
      <c r="AK30" s="216"/>
      <c r="AL30" s="303"/>
      <c r="AM30" s="303"/>
      <c r="AN30" s="303"/>
      <c r="AO30" s="303"/>
      <c r="AP30" s="303"/>
      <c r="AQ30" s="353">
        <v>0</v>
      </c>
    </row>
    <row r="31" spans="1:43" ht="14.25" hidden="1" customHeight="1">
      <c r="Q31" s="311"/>
      <c r="R31" s="311"/>
      <c r="S31" s="1200"/>
      <c r="T31" s="298"/>
      <c r="U31" s="298"/>
      <c r="V31" s="258"/>
      <c r="W31" s="258"/>
      <c r="X31" s="258"/>
      <c r="Y31" s="258"/>
      <c r="Z31" s="258"/>
      <c r="AA31" s="258"/>
      <c r="AB31" s="258"/>
      <c r="AC31" s="258"/>
      <c r="AD31" s="258"/>
      <c r="AE31" s="258"/>
      <c r="AF31" s="258"/>
      <c r="AG31" s="258"/>
      <c r="AH31" s="258"/>
      <c r="AI31" s="258"/>
      <c r="AJ31" s="444"/>
      <c r="AQ31" s="1080">
        <v>0</v>
      </c>
    </row>
    <row r="32" spans="1:43" s="1777" customFormat="1" ht="18.75" hidden="1" customHeight="1">
      <c r="A32" s="1293"/>
      <c r="B32" s="1293"/>
      <c r="C32" s="1293"/>
      <c r="D32" s="1293"/>
      <c r="E32" s="1293"/>
      <c r="F32" s="1293"/>
      <c r="G32" s="1293"/>
      <c r="H32" s="1293"/>
      <c r="I32" s="1293"/>
      <c r="J32" s="1293"/>
      <c r="K32" s="1293"/>
      <c r="L32" s="1294"/>
      <c r="M32" s="1293"/>
      <c r="N32" s="1293"/>
      <c r="O32" s="1293"/>
      <c r="S32" s="2178" t="s">
        <v>424</v>
      </c>
      <c r="T32" s="2178"/>
      <c r="U32" s="1297"/>
      <c r="V32" s="2188" t="str">
        <f>IF(TITLE_DATE_PR_CHANGE="",IF(TITLE_DATE_PR="","",TITLE_DATE_PR),TITLE_DATE_PR_CHANGE)</f>
        <v/>
      </c>
      <c r="W32" s="2188"/>
      <c r="X32" s="2188"/>
      <c r="Y32" s="2188"/>
      <c r="Z32" s="2188"/>
      <c r="AA32" s="2188"/>
      <c r="AB32" s="262"/>
      <c r="AC32" s="2188" t="str">
        <f>IF(TITLE_DATE_PR_CHANGE="",IF(TITLE_DATE_PR="","",TITLE_DATE_PR),TITLE_DATE_PR_CHANGE)</f>
        <v/>
      </c>
      <c r="AD32" s="2188"/>
      <c r="AE32" s="2188"/>
      <c r="AF32" s="2188"/>
      <c r="AG32" s="2188"/>
      <c r="AH32" s="2188"/>
      <c r="AI32" s="262"/>
      <c r="AJ32" s="262"/>
      <c r="AK32" s="216"/>
      <c r="AL32" s="303"/>
      <c r="AM32" s="303"/>
      <c r="AN32" s="303"/>
      <c r="AO32" s="303"/>
      <c r="AP32" s="303"/>
      <c r="AQ32" s="353">
        <v>0</v>
      </c>
    </row>
    <row r="33" spans="1:43" s="1777" customFormat="1" ht="18.75" hidden="1" customHeight="1">
      <c r="A33" s="1293"/>
      <c r="B33" s="1293"/>
      <c r="C33" s="1293"/>
      <c r="D33" s="1293"/>
      <c r="E33" s="1293"/>
      <c r="F33" s="1293"/>
      <c r="G33" s="1293"/>
      <c r="H33" s="1293"/>
      <c r="I33" s="1293"/>
      <c r="J33" s="1293"/>
      <c r="K33" s="1293"/>
      <c r="L33" s="1294"/>
      <c r="M33" s="1293"/>
      <c r="N33" s="1293"/>
      <c r="O33" s="1293"/>
      <c r="S33" s="2178" t="s">
        <v>425</v>
      </c>
      <c r="T33" s="2178"/>
      <c r="U33" s="1297"/>
      <c r="V33" s="2179" t="str">
        <f>IF(TITLE_NUMBER_PR_CHANGE="",IF(TITLE_NUMBER_PR="","",TITLE_NUMBER_PR),TITLE_NUMBER_PR_CHANGE)</f>
        <v/>
      </c>
      <c r="W33" s="2179"/>
      <c r="X33" s="2179"/>
      <c r="Y33" s="2179"/>
      <c r="Z33" s="2179"/>
      <c r="AA33" s="2179"/>
      <c r="AB33" s="262"/>
      <c r="AC33" s="2179" t="str">
        <f>IF(TITLE_NUMBER_PR_CHANGE="",IF(TITLE_NUMBER_PR="","",TITLE_NUMBER_PR),TITLE_NUMBER_PR_CHANGE)</f>
        <v/>
      </c>
      <c r="AD33" s="2179"/>
      <c r="AE33" s="2179"/>
      <c r="AF33" s="2179"/>
      <c r="AG33" s="2179"/>
      <c r="AH33" s="2179"/>
      <c r="AI33" s="262"/>
      <c r="AJ33" s="262"/>
      <c r="AK33" s="216"/>
      <c r="AL33" s="303"/>
      <c r="AM33" s="303"/>
      <c r="AN33" s="303"/>
      <c r="AO33" s="303"/>
      <c r="AP33" s="303"/>
      <c r="AQ33" s="353">
        <v>0</v>
      </c>
    </row>
    <row r="34" spans="1:43" s="1777" customFormat="1" ht="1.1499999999999999" customHeight="1">
      <c r="A34" s="1293"/>
      <c r="B34" s="1293"/>
      <c r="C34" s="1293"/>
      <c r="D34" s="1293"/>
      <c r="E34" s="1293"/>
      <c r="F34" s="1293"/>
      <c r="G34" s="1293"/>
      <c r="H34" s="1293"/>
      <c r="I34" s="1293"/>
      <c r="J34" s="1293"/>
      <c r="K34" s="1293"/>
      <c r="L34" s="1294"/>
      <c r="M34" s="1293"/>
      <c r="N34" s="1293"/>
      <c r="O34" s="1293"/>
      <c r="S34" s="259"/>
      <c r="T34" s="259"/>
      <c r="U34" s="1413"/>
      <c r="V34" s="262"/>
      <c r="W34" s="262"/>
      <c r="X34" s="262"/>
      <c r="Y34" s="262"/>
      <c r="Z34" s="262"/>
      <c r="AA34" s="262"/>
      <c r="AB34" s="214" t="s">
        <v>426</v>
      </c>
      <c r="AC34" s="262"/>
      <c r="AD34" s="262"/>
      <c r="AE34" s="262"/>
      <c r="AF34" s="262"/>
      <c r="AG34" s="262"/>
      <c r="AH34" s="262"/>
      <c r="AI34" s="214" t="s">
        <v>426</v>
      </c>
      <c r="AL34" s="303"/>
      <c r="AM34" s="303"/>
      <c r="AN34" s="303"/>
      <c r="AO34" s="303"/>
      <c r="AP34" s="303"/>
      <c r="AQ34" s="353">
        <v>1</v>
      </c>
    </row>
    <row r="35" spans="1:43" ht="14.65" customHeight="1">
      <c r="Q35" s="311"/>
      <c r="R35" s="311"/>
      <c r="S35" s="1200"/>
      <c r="T35" s="298"/>
      <c r="U35" s="1169"/>
      <c r="V35" s="2180"/>
      <c r="W35" s="2180"/>
      <c r="X35" s="2180"/>
      <c r="Y35" s="2180"/>
      <c r="Z35" s="2180"/>
      <c r="AA35" s="2180"/>
      <c r="AB35" s="2180"/>
      <c r="AC35" s="2180"/>
      <c r="AD35" s="2180"/>
      <c r="AE35" s="2180"/>
      <c r="AF35" s="2180"/>
      <c r="AG35" s="2180"/>
      <c r="AH35" s="2180"/>
      <c r="AI35" s="2180"/>
      <c r="AQ35" s="1080">
        <v>14</v>
      </c>
    </row>
    <row r="36" spans="1:43" ht="14.65" customHeight="1">
      <c r="Q36" s="311"/>
      <c r="R36" s="311"/>
      <c r="S36" s="2066" t="s">
        <v>299</v>
      </c>
      <c r="T36" s="2066"/>
      <c r="U36" s="2066"/>
      <c r="V36" s="2066"/>
      <c r="W36" s="2066"/>
      <c r="X36" s="2066"/>
      <c r="Y36" s="2066"/>
      <c r="Z36" s="2066"/>
      <c r="AA36" s="2066"/>
      <c r="AB36" s="2066"/>
      <c r="AC36" s="2066"/>
      <c r="AD36" s="2066"/>
      <c r="AE36" s="2066"/>
      <c r="AF36" s="2066"/>
      <c r="AG36" s="2066"/>
      <c r="AH36" s="2066"/>
      <c r="AI36" s="2066"/>
      <c r="AJ36" s="2066"/>
      <c r="AK36" s="2066" t="s">
        <v>300</v>
      </c>
      <c r="AQ36" s="1080">
        <v>14</v>
      </c>
    </row>
    <row r="37" spans="1:43" ht="14.65" customHeight="1">
      <c r="Q37" s="311"/>
      <c r="R37" s="311"/>
      <c r="S37" s="2194" t="s">
        <v>88</v>
      </c>
      <c r="T37" s="2145" t="s">
        <v>427</v>
      </c>
      <c r="U37" s="237"/>
      <c r="V37" s="2195" t="s">
        <v>428</v>
      </c>
      <c r="W37" s="2196"/>
      <c r="X37" s="2196"/>
      <c r="Y37" s="2196"/>
      <c r="Z37" s="2196"/>
      <c r="AA37" s="2197"/>
      <c r="AB37" s="2198" t="s">
        <v>429</v>
      </c>
      <c r="AC37" s="2195" t="s">
        <v>428</v>
      </c>
      <c r="AD37" s="2196"/>
      <c r="AE37" s="2196"/>
      <c r="AF37" s="2196"/>
      <c r="AG37" s="2196"/>
      <c r="AH37" s="2197"/>
      <c r="AI37" s="2198" t="s">
        <v>430</v>
      </c>
      <c r="AJ37" s="2201" t="s">
        <v>431</v>
      </c>
      <c r="AK37" s="2066"/>
      <c r="AQ37" s="1080">
        <v>14</v>
      </c>
    </row>
    <row r="38" spans="1:43" ht="35.65" customHeight="1">
      <c r="Q38" s="311"/>
      <c r="R38" s="311"/>
      <c r="S38" s="2194"/>
      <c r="T38" s="2145"/>
      <c r="U38" s="959"/>
      <c r="V38" s="1408" t="s">
        <v>488</v>
      </c>
      <c r="W38" s="2038" t="s">
        <v>434</v>
      </c>
      <c r="X38" s="2037"/>
      <c r="Y38" s="2038" t="s">
        <v>435</v>
      </c>
      <c r="Z38" s="2043"/>
      <c r="AA38" s="2037"/>
      <c r="AB38" s="2199"/>
      <c r="AC38" s="1408" t="s">
        <v>488</v>
      </c>
      <c r="AD38" s="2038" t="s">
        <v>434</v>
      </c>
      <c r="AE38" s="2037"/>
      <c r="AF38" s="2038" t="s">
        <v>435</v>
      </c>
      <c r="AG38" s="2043"/>
      <c r="AH38" s="2037"/>
      <c r="AI38" s="2199"/>
      <c r="AJ38" s="2202"/>
      <c r="AK38" s="2066"/>
      <c r="AQ38" s="1080">
        <v>34</v>
      </c>
    </row>
    <row r="39" spans="1:43" ht="90.4" customHeight="1">
      <c r="A39" s="1295"/>
      <c r="B39" s="1295" t="s">
        <v>136</v>
      </c>
      <c r="C39" s="1295" t="s">
        <v>137</v>
      </c>
      <c r="D39" s="1295" t="s">
        <v>138</v>
      </c>
      <c r="E39" s="1289" t="s">
        <v>436</v>
      </c>
      <c r="F39" s="1289" t="s">
        <v>437</v>
      </c>
      <c r="G39" s="1289" t="s">
        <v>438</v>
      </c>
      <c r="H39" s="1289"/>
      <c r="I39" s="1289" t="s">
        <v>489</v>
      </c>
      <c r="J39" s="1289" t="s">
        <v>441</v>
      </c>
      <c r="K39" s="1289" t="s">
        <v>490</v>
      </c>
      <c r="L39" s="1289" t="s">
        <v>417</v>
      </c>
      <c r="Q39" s="311"/>
      <c r="R39" s="311"/>
      <c r="S39" s="2194"/>
      <c r="T39" s="2145"/>
      <c r="U39" s="238"/>
      <c r="V39" s="1408" t="s">
        <v>517</v>
      </c>
      <c r="W39" s="1147" t="s">
        <v>518</v>
      </c>
      <c r="X39" s="1147" t="s">
        <v>493</v>
      </c>
      <c r="Y39" s="1414" t="s">
        <v>445</v>
      </c>
      <c r="Z39" s="2154" t="s">
        <v>446</v>
      </c>
      <c r="AA39" s="2156"/>
      <c r="AB39" s="2200"/>
      <c r="AC39" s="1408" t="s">
        <v>517</v>
      </c>
      <c r="AD39" s="1147" t="s">
        <v>518</v>
      </c>
      <c r="AE39" s="1147" t="s">
        <v>493</v>
      </c>
      <c r="AF39" s="1414" t="s">
        <v>445</v>
      </c>
      <c r="AG39" s="2154" t="s">
        <v>446</v>
      </c>
      <c r="AH39" s="2156"/>
      <c r="AI39" s="2200"/>
      <c r="AJ39" s="2203"/>
      <c r="AK39" s="2066"/>
      <c r="AQ39" s="1080">
        <v>86</v>
      </c>
    </row>
    <row r="40" spans="1:43" s="1566" customFormat="1" ht="0" hidden="1" customHeight="1">
      <c r="A40" s="1295"/>
      <c r="B40" s="1295"/>
      <c r="C40" s="1295"/>
      <c r="D40" s="1295"/>
      <c r="E40" s="1295"/>
      <c r="F40" s="1295"/>
      <c r="G40" s="1295"/>
      <c r="H40" s="1295"/>
      <c r="I40" s="1295"/>
      <c r="J40" s="1295"/>
      <c r="K40" s="1295"/>
      <c r="L40" s="1289"/>
      <c r="M40" s="1287"/>
      <c r="N40" s="1287"/>
      <c r="O40" s="1287"/>
      <c r="P40" s="1171"/>
      <c r="Q40" s="1172"/>
      <c r="R40" s="1179">
        <v>1</v>
      </c>
      <c r="S40" s="1202" t="s">
        <v>109</v>
      </c>
      <c r="T40" s="1180" t="s">
        <v>110</v>
      </c>
      <c r="U40" s="1170" t="str">
        <f ca="1">OFFSET(U40,0,-1)</f>
        <v>2</v>
      </c>
      <c r="V40" s="1407">
        <f ca="1">OFFSET(V40,0,-1)+1</f>
        <v>3</v>
      </c>
      <c r="W40" s="1407">
        <f ca="1">OFFSET(W40,0,-1)+1</f>
        <v>4</v>
      </c>
      <c r="X40" s="1407">
        <f ca="1">OFFSET(X40,0,-1)+1</f>
        <v>5</v>
      </c>
      <c r="Y40" s="1407">
        <f ca="1">OFFSET(Y40,0,-1)+1</f>
        <v>6</v>
      </c>
      <c r="Z40" s="2193">
        <f ca="1">OFFSET(Z40,0,-1)+1</f>
        <v>7</v>
      </c>
      <c r="AA40" s="2193"/>
      <c r="AB40" s="1407">
        <f ca="1">OFFSET(AB40,0,-2)+1</f>
        <v>8</v>
      </c>
      <c r="AC40" s="1407">
        <f ca="1">OFFSET(AC40,0,-1)+1</f>
        <v>9</v>
      </c>
      <c r="AD40" s="1407">
        <f ca="1">OFFSET(AD40,0,-1)+1</f>
        <v>10</v>
      </c>
      <c r="AE40" s="1407">
        <f ca="1">OFFSET(AE40,0,-1)+1</f>
        <v>11</v>
      </c>
      <c r="AF40" s="1407">
        <f ca="1">OFFSET(AF40,0,-1)+1</f>
        <v>12</v>
      </c>
      <c r="AG40" s="2193">
        <f ca="1">OFFSET(AG40,0,-1)+1</f>
        <v>13</v>
      </c>
      <c r="AH40" s="2193"/>
      <c r="AI40" s="1407">
        <f ca="1">OFFSET(AI40,0,-2)+1</f>
        <v>14</v>
      </c>
      <c r="AJ40" s="1170">
        <f ca="1">OFFSET(AJ40,0,-1)</f>
        <v>14</v>
      </c>
      <c r="AK40" s="1407">
        <f ca="1">OFFSET(AK40,0,-1)+1</f>
        <v>15</v>
      </c>
      <c r="AL40" s="446"/>
      <c r="AM40" s="446"/>
      <c r="AN40" s="446"/>
      <c r="AO40" s="446"/>
      <c r="AP40" s="446"/>
      <c r="AQ40" s="431">
        <v>0</v>
      </c>
    </row>
    <row r="41" spans="1:43" ht="24" customHeight="1">
      <c r="A41" s="1288" t="s">
        <v>270</v>
      </c>
      <c r="B41" s="1288"/>
      <c r="C41" s="1288"/>
      <c r="D41" s="1288"/>
      <c r="E41" s="2186">
        <v>1</v>
      </c>
      <c r="F41" s="1288"/>
      <c r="G41" s="1288"/>
      <c r="H41" s="1288"/>
      <c r="I41" s="1288"/>
      <c r="J41" s="1288"/>
      <c r="K41" s="1288"/>
      <c r="L41" s="1289"/>
      <c r="M41" s="1290"/>
      <c r="N41" s="1290"/>
      <c r="O41" s="1290"/>
      <c r="P41" s="296"/>
      <c r="Q41" s="295"/>
      <c r="R41" s="290"/>
      <c r="S41" s="1418">
        <f>INDEX(PT_DIFFERENTIATION_NUM_NTAR,MATCH(A41,PT_DIFFERENTIATION_NTAR_ID,0))</f>
        <v>0</v>
      </c>
      <c r="T41" s="234" t="s">
        <v>124</v>
      </c>
      <c r="U41" s="236"/>
      <c r="V41" s="2172"/>
      <c r="W41" s="2173"/>
      <c r="X41" s="2173"/>
      <c r="Y41" s="2173"/>
      <c r="Z41" s="2173"/>
      <c r="AA41" s="2173"/>
      <c r="AB41" s="2174"/>
      <c r="AC41" s="2172" t="str">
        <f>INDEX(PT_DIFFERENTIATION_NTAR,MATCH(A41,PT_DIFFERENTIATION_NTAR_ID,0))</f>
        <v/>
      </c>
      <c r="AD41" s="2173"/>
      <c r="AE41" s="2173"/>
      <c r="AF41" s="2173"/>
      <c r="AG41" s="2173"/>
      <c r="AH41" s="2173"/>
      <c r="AI41" s="2173"/>
      <c r="AJ41" s="2174"/>
      <c r="AK41" s="1183"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41" s="435"/>
      <c r="AN41" s="435" t="str">
        <f t="shared" ref="AN41:AN53" si="1">IF(T41="","",T41)</f>
        <v>Наименование тарифа</v>
      </c>
      <c r="AO41" s="435"/>
      <c r="AP41" s="435"/>
      <c r="AQ41" s="1080">
        <v>23</v>
      </c>
    </row>
    <row r="42" spans="1:43" ht="24" customHeight="1">
      <c r="A42" s="1288" t="s">
        <v>270</v>
      </c>
      <c r="B42" s="1288" t="s">
        <v>271</v>
      </c>
      <c r="C42" s="1288"/>
      <c r="D42" s="1288"/>
      <c r="E42" s="2187"/>
      <c r="F42" s="2186">
        <v>1</v>
      </c>
      <c r="G42" s="1288"/>
      <c r="H42" s="1288"/>
      <c r="I42" s="1288"/>
      <c r="J42" s="1288"/>
      <c r="K42" s="1288"/>
      <c r="L42" s="1289"/>
      <c r="M42" s="1290"/>
      <c r="N42" s="1290"/>
      <c r="O42" s="1290"/>
      <c r="P42" s="1412"/>
      <c r="Q42" s="287"/>
      <c r="R42" s="288"/>
      <c r="S42" s="1418" t="str">
        <f>INDEX(PT_DIFFERENTIATION_NUM_TER,MATCH(B42,PT_DIFFERENTIATION_TER_ID,0))</f>
        <v>.</v>
      </c>
      <c r="T42" s="244" t="s">
        <v>396</v>
      </c>
      <c r="U42" s="236"/>
      <c r="V42" s="2172"/>
      <c r="W42" s="2173"/>
      <c r="X42" s="2173"/>
      <c r="Y42" s="2173"/>
      <c r="Z42" s="2173"/>
      <c r="AA42" s="2173"/>
      <c r="AB42" s="2174"/>
      <c r="AC42" s="2172" t="str">
        <f>INDEX(PT_DIFFERENTIATION_TER,MATCH(B42,PT_DIFFERENTIATION_TER_ID,0))</f>
        <v/>
      </c>
      <c r="AD42" s="2173"/>
      <c r="AE42" s="2173"/>
      <c r="AF42" s="2173"/>
      <c r="AG42" s="2173"/>
      <c r="AH42" s="2173"/>
      <c r="AI42" s="2173"/>
      <c r="AJ42" s="2174"/>
      <c r="AK42" s="1183" t="s">
        <v>397</v>
      </c>
      <c r="AM42" s="435"/>
      <c r="AN42" s="435" t="str">
        <f t="shared" si="1"/>
        <v>Территория действия тарифа</v>
      </c>
      <c r="AO42" s="435"/>
      <c r="AP42" s="435"/>
      <c r="AQ42" s="1080">
        <v>23</v>
      </c>
    </row>
    <row r="43" spans="1:43" ht="24" customHeight="1">
      <c r="A43" s="1288" t="s">
        <v>270</v>
      </c>
      <c r="B43" s="1288" t="s">
        <v>271</v>
      </c>
      <c r="C43" s="1288" t="s">
        <v>272</v>
      </c>
      <c r="D43" s="1288"/>
      <c r="E43" s="2187"/>
      <c r="F43" s="2187"/>
      <c r="G43" s="2186">
        <v>1</v>
      </c>
      <c r="H43" s="1288"/>
      <c r="I43" s="1288"/>
      <c r="J43" s="1288"/>
      <c r="K43" s="1288"/>
      <c r="L43" s="1289"/>
      <c r="M43" s="1290"/>
      <c r="N43" s="1290"/>
      <c r="O43" s="1290"/>
      <c r="P43" s="289"/>
      <c r="Q43" s="287"/>
      <c r="R43" s="288"/>
      <c r="S43" s="1418" t="str">
        <f>INDEX(PT_DIFFERENTIATION_NUM_CS,MATCH(C43,PT_DIFFERENTIATION_CS_ID,0))</f>
        <v>..</v>
      </c>
      <c r="T43" s="245" t="s">
        <v>515</v>
      </c>
      <c r="U43" s="236"/>
      <c r="V43" s="2172"/>
      <c r="W43" s="2173"/>
      <c r="X43" s="2173"/>
      <c r="Y43" s="2173"/>
      <c r="Z43" s="2173"/>
      <c r="AA43" s="2173"/>
      <c r="AB43" s="2174"/>
      <c r="AC43" s="2172" t="str">
        <f>INDEX(PT_DIFFERENTIATION_CS,MATCH(C43,PT_DIFFERENTIATION_CS_ID,0))</f>
        <v/>
      </c>
      <c r="AD43" s="2173"/>
      <c r="AE43" s="2173"/>
      <c r="AF43" s="2173"/>
      <c r="AG43" s="2173"/>
      <c r="AH43" s="2173"/>
      <c r="AI43" s="2173"/>
      <c r="AJ43" s="2174"/>
      <c r="AK43" s="1183" t="s">
        <v>516</v>
      </c>
      <c r="AM43" s="435"/>
      <c r="AN43" s="435" t="str">
        <f t="shared" si="1"/>
        <v>Наименование централизованной системы водоотведения</v>
      </c>
      <c r="AO43" s="435"/>
      <c r="AP43" s="435"/>
      <c r="AQ43" s="1080">
        <v>23</v>
      </c>
    </row>
    <row r="44" spans="1:43" ht="24" customHeight="1">
      <c r="A44" s="1288" t="s">
        <v>270</v>
      </c>
      <c r="B44" s="1288" t="s">
        <v>271</v>
      </c>
      <c r="C44" s="1288" t="s">
        <v>272</v>
      </c>
      <c r="D44" s="1288" t="s">
        <v>520</v>
      </c>
      <c r="E44" s="2187"/>
      <c r="F44" s="2187"/>
      <c r="G44" s="2187"/>
      <c r="H44" s="2187"/>
      <c r="I44" s="2184" t="str">
        <f>S43&amp;".1"</f>
        <v>...1</v>
      </c>
      <c r="J44" s="1288"/>
      <c r="K44" s="1288"/>
      <c r="L44" s="1289"/>
      <c r="P44" s="2185">
        <v>1</v>
      </c>
      <c r="Q44" s="1406"/>
      <c r="R44" s="291"/>
      <c r="S44" s="1418" t="str">
        <f>$I44</f>
        <v>...1</v>
      </c>
      <c r="T44" s="221" t="s">
        <v>482</v>
      </c>
      <c r="U44" s="236"/>
      <c r="V44" s="2253"/>
      <c r="W44" s="2254"/>
      <c r="X44" s="2254"/>
      <c r="Y44" s="2254"/>
      <c r="Z44" s="2254"/>
      <c r="AA44" s="2254"/>
      <c r="AB44" s="2255"/>
      <c r="AC44" s="2256"/>
      <c r="AD44" s="2257"/>
      <c r="AE44" s="2257"/>
      <c r="AF44" s="2257"/>
      <c r="AG44" s="2257"/>
      <c r="AH44" s="2257"/>
      <c r="AI44" s="2257"/>
      <c r="AJ44" s="2258"/>
      <c r="AK44" s="1183" t="s">
        <v>483</v>
      </c>
      <c r="AM44" s="435"/>
      <c r="AN44" s="435" t="str">
        <f t="shared" si="1"/>
        <v>Наименование признака дифференциации</v>
      </c>
      <c r="AO44" s="435"/>
      <c r="AP44" s="435"/>
      <c r="AQ44" s="1080">
        <v>23</v>
      </c>
    </row>
    <row r="45" spans="1:43" ht="24" customHeight="1">
      <c r="A45" s="1288" t="s">
        <v>270</v>
      </c>
      <c r="B45" s="1288" t="s">
        <v>271</v>
      </c>
      <c r="C45" s="1288" t="s">
        <v>272</v>
      </c>
      <c r="D45" s="1288" t="s">
        <v>520</v>
      </c>
      <c r="E45" s="2187"/>
      <c r="F45" s="2187"/>
      <c r="G45" s="2187"/>
      <c r="H45" s="2187"/>
      <c r="I45" s="2207"/>
      <c r="J45" s="2184" t="str">
        <f>I44&amp;".1"</f>
        <v>...1.1</v>
      </c>
      <c r="K45" s="1288"/>
      <c r="L45" s="1289" t="s">
        <v>405</v>
      </c>
      <c r="P45" s="2185"/>
      <c r="Q45" s="2185">
        <v>1</v>
      </c>
      <c r="R45" s="292"/>
      <c r="S45" s="1418" t="str">
        <f>$J45</f>
        <v>...1.1</v>
      </c>
      <c r="T45" s="222" t="s">
        <v>406</v>
      </c>
      <c r="U45" s="236"/>
      <c r="V45" s="2175"/>
      <c r="W45" s="2176"/>
      <c r="X45" s="2176"/>
      <c r="Y45" s="2176"/>
      <c r="Z45" s="2176"/>
      <c r="AA45" s="2176"/>
      <c r="AB45" s="2177"/>
      <c r="AC45" s="2175"/>
      <c r="AD45" s="2176"/>
      <c r="AE45" s="2176"/>
      <c r="AF45" s="2176"/>
      <c r="AG45" s="2176"/>
      <c r="AH45" s="2176"/>
      <c r="AI45" s="2176"/>
      <c r="AJ45" s="2177"/>
      <c r="AK45" s="1232" t="s">
        <v>484</v>
      </c>
      <c r="AM45" s="435"/>
      <c r="AN45" s="435" t="str">
        <f t="shared" si="1"/>
        <v>Группа потребителей</v>
      </c>
      <c r="AO45" s="435"/>
      <c r="AP45" s="435"/>
      <c r="AQ45" s="1080">
        <v>23</v>
      </c>
    </row>
    <row r="46" spans="1:43" ht="24" customHeight="1">
      <c r="A46" s="1288" t="s">
        <v>270</v>
      </c>
      <c r="B46" s="1288" t="s">
        <v>271</v>
      </c>
      <c r="C46" s="1288" t="s">
        <v>272</v>
      </c>
      <c r="D46" s="1288" t="s">
        <v>520</v>
      </c>
      <c r="E46" s="2187"/>
      <c r="F46" s="2187"/>
      <c r="G46" s="2187"/>
      <c r="H46" s="2187"/>
      <c r="I46" s="2207"/>
      <c r="J46" s="2207"/>
      <c r="K46" s="2184" t="str">
        <f>J45&amp;".1"</f>
        <v>...1.1.1</v>
      </c>
      <c r="L46" s="1289"/>
      <c r="P46" s="2185"/>
      <c r="Q46" s="2185"/>
      <c r="R46" s="292">
        <v>1</v>
      </c>
      <c r="S46" s="1418" t="str">
        <f>$K46</f>
        <v>...1.1.1</v>
      </c>
      <c r="T46" s="1362"/>
      <c r="U46" s="236"/>
      <c r="V46" s="1285"/>
      <c r="W46" s="1285"/>
      <c r="X46" s="1286"/>
      <c r="Y46" s="2191"/>
      <c r="Z46" s="2192" t="s">
        <v>66</v>
      </c>
      <c r="AA46" s="2191"/>
      <c r="AB46" s="2192" t="s">
        <v>66</v>
      </c>
      <c r="AC46" s="686"/>
      <c r="AD46" s="686"/>
      <c r="AE46" s="1182"/>
      <c r="AF46" s="2189"/>
      <c r="AG46" s="2047" t="s">
        <v>66</v>
      </c>
      <c r="AH46" s="2208"/>
      <c r="AI46" s="2047" t="s">
        <v>19</v>
      </c>
      <c r="AJ46" s="1363"/>
      <c r="AK46" s="2252"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46" s="446" t="e">
        <f ca="1">STRCHECKDATE(V47:AJ47)</f>
        <v>#NAME?</v>
      </c>
      <c r="AM46" s="435"/>
      <c r="AN46" s="435" t="str">
        <f t="shared" si="1"/>
        <v/>
      </c>
      <c r="AO46" s="435"/>
      <c r="AP46" s="435"/>
      <c r="AQ46" s="1080">
        <v>23</v>
      </c>
    </row>
    <row r="47" spans="1:43" ht="0" hidden="1" customHeight="1">
      <c r="A47" s="1288" t="s">
        <v>270</v>
      </c>
      <c r="B47" s="1288" t="s">
        <v>271</v>
      </c>
      <c r="C47" s="1288" t="s">
        <v>272</v>
      </c>
      <c r="D47" s="1288" t="s">
        <v>520</v>
      </c>
      <c r="E47" s="2187"/>
      <c r="F47" s="2187"/>
      <c r="G47" s="2187"/>
      <c r="H47" s="2187"/>
      <c r="I47" s="2207"/>
      <c r="J47" s="2207"/>
      <c r="K47" s="2184"/>
      <c r="L47" s="1289"/>
      <c r="P47" s="2185"/>
      <c r="Q47" s="2185"/>
      <c r="R47" s="292"/>
      <c r="S47" s="1415"/>
      <c r="T47" s="236"/>
      <c r="U47" s="236"/>
      <c r="V47" s="1285"/>
      <c r="W47" s="1285"/>
      <c r="X47" s="264" t="str">
        <f>Y46&amp;"-"&amp;AA46</f>
        <v>-</v>
      </c>
      <c r="Y47" s="2192"/>
      <c r="Z47" s="2192"/>
      <c r="AA47" s="2192"/>
      <c r="AB47" s="2192"/>
      <c r="AC47" s="261"/>
      <c r="AD47" s="261"/>
      <c r="AE47" s="264" t="str">
        <f>AF46&amp;"-"&amp;AH46</f>
        <v>-</v>
      </c>
      <c r="AF47" s="2190"/>
      <c r="AG47" s="2047"/>
      <c r="AH47" s="2209"/>
      <c r="AI47" s="2047"/>
      <c r="AJ47" s="1364"/>
      <c r="AK47" s="2252"/>
      <c r="AM47" s="435"/>
      <c r="AN47" s="435" t="str">
        <f t="shared" si="1"/>
        <v/>
      </c>
      <c r="AO47" s="435"/>
      <c r="AP47" s="435"/>
      <c r="AQ47" s="1080">
        <v>0</v>
      </c>
    </row>
    <row r="48" spans="1:43" ht="21" customHeight="1">
      <c r="A48" s="1288" t="s">
        <v>270</v>
      </c>
      <c r="B48" s="1288" t="s">
        <v>271</v>
      </c>
      <c r="C48" s="1288" t="s">
        <v>272</v>
      </c>
      <c r="D48" s="1288" t="s">
        <v>520</v>
      </c>
      <c r="E48" s="2187"/>
      <c r="F48" s="2187"/>
      <c r="G48" s="2187"/>
      <c r="H48" s="2187"/>
      <c r="I48" s="2207"/>
      <c r="J48" s="2184"/>
      <c r="K48" s="1288"/>
      <c r="L48" s="1289"/>
      <c r="P48" s="2185"/>
      <c r="Q48" s="2185"/>
      <c r="R48" s="291"/>
      <c r="S48" s="1203"/>
      <c r="T48" s="223" t="s">
        <v>485</v>
      </c>
      <c r="U48" s="302"/>
      <c r="V48" s="302"/>
      <c r="W48" s="302"/>
      <c r="X48" s="302"/>
      <c r="Y48" s="302"/>
      <c r="Z48" s="302"/>
      <c r="AA48" s="302"/>
      <c r="AB48" s="302"/>
      <c r="AC48" s="302"/>
      <c r="AD48" s="302"/>
      <c r="AE48" s="302"/>
      <c r="AF48" s="302"/>
      <c r="AG48" s="302"/>
      <c r="AH48" s="302"/>
      <c r="AI48" s="302"/>
      <c r="AJ48" s="302"/>
      <c r="AK48" s="1183" t="s">
        <v>486</v>
      </c>
      <c r="AM48" s="435"/>
      <c r="AN48" s="435" t="str">
        <f t="shared" si="1"/>
        <v>Добавить значение признака дифференциации</v>
      </c>
      <c r="AO48" s="435"/>
      <c r="AP48" s="435"/>
      <c r="AQ48" s="1080">
        <v>20</v>
      </c>
    </row>
    <row r="49" spans="1:43" ht="21.95" customHeight="1">
      <c r="A49" s="1288" t="s">
        <v>270</v>
      </c>
      <c r="B49" s="1288" t="s">
        <v>271</v>
      </c>
      <c r="C49" s="1288" t="s">
        <v>272</v>
      </c>
      <c r="D49" s="1288" t="s">
        <v>520</v>
      </c>
      <c r="E49" s="2187"/>
      <c r="F49" s="2187"/>
      <c r="G49" s="2187"/>
      <c r="H49" s="2187"/>
      <c r="I49" s="2184"/>
      <c r="J49" s="1288"/>
      <c r="K49" s="1288"/>
      <c r="L49" s="1289"/>
      <c r="P49" s="2185"/>
      <c r="Q49" s="1406"/>
      <c r="R49" s="291"/>
      <c r="S49" s="1203"/>
      <c r="T49" s="300" t="s">
        <v>411</v>
      </c>
      <c r="U49" s="302"/>
      <c r="V49" s="302"/>
      <c r="W49" s="302"/>
      <c r="X49" s="302"/>
      <c r="Y49" s="302"/>
      <c r="Z49" s="302"/>
      <c r="AA49" s="302"/>
      <c r="AB49" s="301"/>
      <c r="AC49" s="302"/>
      <c r="AD49" s="302"/>
      <c r="AE49" s="302"/>
      <c r="AF49" s="302"/>
      <c r="AG49" s="302"/>
      <c r="AH49" s="302"/>
      <c r="AI49" s="301"/>
      <c r="AJ49" s="302"/>
      <c r="AK49" s="1365"/>
      <c r="AM49" s="435"/>
      <c r="AN49" s="435" t="str">
        <f t="shared" si="1"/>
        <v>Добавить группу потребителей</v>
      </c>
      <c r="AO49" s="435"/>
      <c r="AP49" s="435"/>
      <c r="AQ49" s="1080">
        <v>21</v>
      </c>
    </row>
    <row r="50" spans="1:43" ht="21.95" customHeight="1">
      <c r="A50" s="1288" t="s">
        <v>270</v>
      </c>
      <c r="B50" s="1288" t="s">
        <v>271</v>
      </c>
      <c r="C50" s="1288" t="s">
        <v>272</v>
      </c>
      <c r="D50" s="1288" t="s">
        <v>520</v>
      </c>
      <c r="E50" s="2187"/>
      <c r="F50" s="2187"/>
      <c r="G50" s="2187"/>
      <c r="H50" s="2186"/>
      <c r="I50" s="1288"/>
      <c r="J50" s="1288"/>
      <c r="K50" s="1288"/>
      <c r="L50" s="1289"/>
      <c r="M50" s="1290"/>
      <c r="N50" s="1290"/>
      <c r="O50" s="472"/>
      <c r="P50" s="295"/>
      <c r="Q50" s="310"/>
      <c r="R50" s="290"/>
      <c r="S50" s="1203"/>
      <c r="T50" s="307" t="s">
        <v>487</v>
      </c>
      <c r="U50" s="302"/>
      <c r="V50" s="302"/>
      <c r="W50" s="302"/>
      <c r="X50" s="302"/>
      <c r="Y50" s="302"/>
      <c r="Z50" s="302"/>
      <c r="AA50" s="302"/>
      <c r="AB50" s="301"/>
      <c r="AC50" s="302"/>
      <c r="AD50" s="302"/>
      <c r="AE50" s="302"/>
      <c r="AF50" s="302"/>
      <c r="AG50" s="302"/>
      <c r="AH50" s="302"/>
      <c r="AI50" s="301"/>
      <c r="AJ50" s="302"/>
      <c r="AK50" s="239"/>
      <c r="AM50" s="435"/>
      <c r="AN50" s="435" t="str">
        <f t="shared" si="1"/>
        <v>Добавить наименование признака дифференциации</v>
      </c>
      <c r="AO50" s="435"/>
      <c r="AP50" s="435"/>
      <c r="AQ50" s="1080">
        <v>21</v>
      </c>
    </row>
    <row r="51" spans="1:43" s="1567" customFormat="1" ht="0" hidden="1" customHeight="1">
      <c r="A51" s="1268" t="s">
        <v>270</v>
      </c>
      <c r="B51" s="1268" t="s">
        <v>271</v>
      </c>
      <c r="C51" s="1239"/>
      <c r="D51" s="1239"/>
      <c r="E51" s="2187"/>
      <c r="F51" s="2186"/>
      <c r="G51" s="1239"/>
      <c r="H51" s="1239"/>
      <c r="I51" s="1239"/>
      <c r="J51" s="1239"/>
      <c r="K51" s="1239"/>
      <c r="L51" s="1419"/>
      <c r="M51" s="1246"/>
      <c r="N51" s="1246"/>
      <c r="P51" s="1241"/>
      <c r="Q51" s="1242"/>
      <c r="R51" s="1241"/>
      <c r="S51" s="1247"/>
      <c r="T51" s="1250" t="s">
        <v>414</v>
      </c>
      <c r="U51" s="1249"/>
      <c r="V51" s="1249"/>
      <c r="W51" s="1249"/>
      <c r="X51" s="1249"/>
      <c r="Y51" s="1249"/>
      <c r="Z51" s="1249"/>
      <c r="AA51" s="1249"/>
      <c r="AB51" s="1249"/>
      <c r="AC51" s="1249"/>
      <c r="AD51" s="1249"/>
      <c r="AE51" s="1249"/>
      <c r="AF51" s="1249"/>
      <c r="AG51" s="1249"/>
      <c r="AH51" s="1249"/>
      <c r="AI51" s="1249"/>
      <c r="AJ51" s="1249"/>
      <c r="AK51" s="1249"/>
      <c r="AM51" s="718"/>
      <c r="AN51" s="718" t="str">
        <f t="shared" si="1"/>
        <v>Добавить централизованную систему для дифференциации</v>
      </c>
      <c r="AO51" s="718"/>
      <c r="AP51" s="718"/>
      <c r="AQ51" s="453">
        <v>0</v>
      </c>
    </row>
    <row r="52" spans="1:43" s="1567" customFormat="1" ht="0" hidden="1" customHeight="1">
      <c r="A52" s="1268" t="s">
        <v>270</v>
      </c>
      <c r="B52" s="1268"/>
      <c r="C52" s="1268"/>
      <c r="D52" s="1268"/>
      <c r="E52" s="2186"/>
      <c r="F52" s="1268"/>
      <c r="G52" s="1268"/>
      <c r="H52" s="1268"/>
      <c r="I52" s="1268"/>
      <c r="J52" s="1268"/>
      <c r="K52" s="1268"/>
      <c r="L52" s="1271"/>
      <c r="M52" s="1246"/>
      <c r="N52" s="1246"/>
      <c r="O52" s="453"/>
      <c r="P52" s="315"/>
      <c r="Q52" s="1269"/>
      <c r="R52" s="315"/>
      <c r="S52" s="1247"/>
      <c r="T52" s="1250" t="s">
        <v>415</v>
      </c>
      <c r="U52" s="1249"/>
      <c r="V52" s="1249"/>
      <c r="W52" s="1249"/>
      <c r="X52" s="1249"/>
      <c r="Y52" s="1249"/>
      <c r="Z52" s="1249"/>
      <c r="AA52" s="1249"/>
      <c r="AB52" s="1249"/>
      <c r="AC52" s="1249"/>
      <c r="AD52" s="1249"/>
      <c r="AE52" s="1249"/>
      <c r="AF52" s="1249"/>
      <c r="AG52" s="1249"/>
      <c r="AH52" s="1249"/>
      <c r="AI52" s="1249"/>
      <c r="AJ52" s="1249"/>
      <c r="AK52" s="1249"/>
      <c r="AM52" s="435"/>
      <c r="AN52" s="435" t="str">
        <f t="shared" si="1"/>
        <v>Добавить территорию для дифференциации</v>
      </c>
      <c r="AO52" s="435"/>
      <c r="AP52" s="435"/>
      <c r="AQ52" s="446">
        <v>0</v>
      </c>
    </row>
    <row r="53" spans="1:43" s="1567" customFormat="1" ht="0" hidden="1" customHeight="1">
      <c r="A53" s="1239"/>
      <c r="B53" s="1239"/>
      <c r="C53" s="1239"/>
      <c r="D53" s="1239"/>
      <c r="E53" s="1268"/>
      <c r="F53" s="1239"/>
      <c r="G53" s="1239"/>
      <c r="H53" s="1239"/>
      <c r="I53" s="1239"/>
      <c r="J53" s="1239"/>
      <c r="K53" s="1239"/>
      <c r="L53" s="1419"/>
      <c r="M53" s="1246"/>
      <c r="N53" s="1246"/>
      <c r="P53" s="1241"/>
      <c r="Q53" s="1242"/>
      <c r="R53" s="1241"/>
      <c r="S53" s="1247"/>
      <c r="T53" s="1250" t="s">
        <v>447</v>
      </c>
      <c r="U53" s="1249"/>
      <c r="V53" s="1249"/>
      <c r="W53" s="1249"/>
      <c r="X53" s="1249"/>
      <c r="Y53" s="1249"/>
      <c r="Z53" s="1249"/>
      <c r="AA53" s="1249"/>
      <c r="AB53" s="1249"/>
      <c r="AC53" s="1249"/>
      <c r="AD53" s="1249"/>
      <c r="AE53" s="1249"/>
      <c r="AF53" s="1249"/>
      <c r="AG53" s="1249"/>
      <c r="AH53" s="1249"/>
      <c r="AI53" s="1249"/>
      <c r="AJ53" s="1249"/>
      <c r="AK53" s="1249"/>
      <c r="AM53" s="718"/>
      <c r="AN53" s="718" t="str">
        <f t="shared" si="1"/>
        <v>Добавить наименование тарифа</v>
      </c>
      <c r="AO53" s="718"/>
      <c r="AP53" s="718"/>
      <c r="AQ53" s="453">
        <v>0</v>
      </c>
    </row>
    <row r="54" spans="1:43" ht="11.45" customHeight="1">
      <c r="M54" s="1085"/>
      <c r="N54" s="1085"/>
      <c r="O54" s="472"/>
      <c r="P54" s="1080"/>
      <c r="Q54" s="1080"/>
      <c r="R54" s="1080"/>
      <c r="S54" s="1080"/>
      <c r="AL54" s="1080"/>
      <c r="AM54" s="1080"/>
      <c r="AN54" s="1080"/>
      <c r="AO54" s="1080"/>
      <c r="AP54" s="1080"/>
      <c r="AQ54" s="1080">
        <v>11</v>
      </c>
    </row>
    <row r="55" spans="1:43" ht="14.65" customHeight="1">
      <c r="O55" s="472"/>
      <c r="S55" s="1178"/>
      <c r="T55" s="2206"/>
      <c r="U55" s="2206"/>
      <c r="V55" s="2206"/>
      <c r="W55" s="2206"/>
      <c r="X55" s="2206"/>
      <c r="Y55" s="2206"/>
      <c r="Z55" s="2206"/>
      <c r="AA55" s="2206"/>
      <c r="AB55" s="2206"/>
      <c r="AC55" s="2206"/>
      <c r="AD55" s="2206"/>
      <c r="AE55" s="2206"/>
      <c r="AF55" s="2206"/>
      <c r="AG55" s="2206"/>
      <c r="AH55" s="2206"/>
      <c r="AI55" s="2206"/>
      <c r="AJ55" s="2206"/>
      <c r="AK55" s="2206"/>
      <c r="AQ55" s="1080">
        <v>14</v>
      </c>
    </row>
    <row r="56" spans="1:43" ht="14.65" customHeight="1">
      <c r="O56" s="472"/>
      <c r="AQ56" s="1080">
        <v>14</v>
      </c>
    </row>
    <row r="57" spans="1:43" ht="14.65" customHeight="1">
      <c r="O57" s="472"/>
      <c r="S57" s="1178"/>
      <c r="T57" s="2206"/>
      <c r="U57" s="2206"/>
      <c r="V57" s="2206"/>
      <c r="W57" s="2206"/>
      <c r="X57" s="2206"/>
      <c r="Y57" s="2206"/>
      <c r="Z57" s="2206"/>
      <c r="AA57" s="2206"/>
      <c r="AB57" s="2206"/>
      <c r="AC57" s="2206"/>
      <c r="AD57" s="2206"/>
      <c r="AE57" s="2206"/>
      <c r="AF57" s="2206"/>
      <c r="AG57" s="2206"/>
      <c r="AH57" s="2206"/>
      <c r="AI57" s="2206"/>
      <c r="AJ57" s="2206"/>
      <c r="AK57" s="2206"/>
      <c r="AQ57" s="1080">
        <v>14</v>
      </c>
    </row>
    <row r="58" spans="1:43" ht="22.5" hidden="1" customHeight="1">
      <c r="A58" s="1085" t="s">
        <v>82</v>
      </c>
      <c r="B58" s="1085">
        <v>0</v>
      </c>
      <c r="C58" s="1085">
        <v>0</v>
      </c>
      <c r="D58" s="1085">
        <v>0</v>
      </c>
      <c r="E58" s="1085">
        <v>0</v>
      </c>
      <c r="F58" s="1085">
        <v>0</v>
      </c>
      <c r="G58" s="1085">
        <v>0</v>
      </c>
      <c r="H58" s="1085">
        <v>0</v>
      </c>
      <c r="I58" s="1085">
        <v>0</v>
      </c>
      <c r="J58" s="1085">
        <v>0</v>
      </c>
      <c r="K58" s="1085">
        <v>0</v>
      </c>
      <c r="L58" s="1403">
        <v>0</v>
      </c>
      <c r="M58" s="1287">
        <v>0</v>
      </c>
      <c r="N58" s="1287">
        <v>0</v>
      </c>
      <c r="O58" s="1287">
        <v>0</v>
      </c>
      <c r="P58" s="1398">
        <v>3</v>
      </c>
      <c r="Q58" s="280">
        <v>3</v>
      </c>
      <c r="R58" s="280">
        <v>3</v>
      </c>
      <c r="S58" s="516">
        <v>12</v>
      </c>
      <c r="T58" s="1080">
        <v>35</v>
      </c>
      <c r="U58" s="1080">
        <v>0</v>
      </c>
      <c r="V58" s="1080">
        <v>0</v>
      </c>
      <c r="W58" s="1080">
        <v>0</v>
      </c>
      <c r="X58" s="1080">
        <v>0</v>
      </c>
      <c r="Y58" s="1080">
        <v>0</v>
      </c>
      <c r="Z58" s="1080">
        <v>0</v>
      </c>
      <c r="AA58" s="1080">
        <v>0</v>
      </c>
      <c r="AB58" s="1080">
        <v>0</v>
      </c>
      <c r="AC58" s="1080">
        <v>24</v>
      </c>
      <c r="AD58" s="1080">
        <v>24</v>
      </c>
      <c r="AE58" s="1080">
        <v>24</v>
      </c>
      <c r="AF58" s="1080">
        <v>11</v>
      </c>
      <c r="AG58" s="1080">
        <v>3</v>
      </c>
      <c r="AH58" s="1080">
        <v>11</v>
      </c>
      <c r="AI58" s="1080">
        <v>0</v>
      </c>
      <c r="AJ58" s="1080">
        <v>4</v>
      </c>
      <c r="AK58" s="1080">
        <v>115</v>
      </c>
      <c r="AL58" s="446">
        <v>10</v>
      </c>
      <c r="AM58" s="446">
        <v>10</v>
      </c>
      <c r="AN58" s="446">
        <v>10</v>
      </c>
      <c r="AO58" s="446">
        <v>10</v>
      </c>
      <c r="AP58" s="446">
        <v>10</v>
      </c>
      <c r="AQ58" s="1080">
        <v>23</v>
      </c>
    </row>
  </sheetData>
  <sheetProtection formatColumns="0" formatRows="0" insertRows="0" deleteColumns="0" deleteRows="0" sort="0" autoFilter="0"/>
  <mergeCells count="101">
    <mergeCell ref="AK46:AK47"/>
    <mergeCell ref="T55:AK55"/>
    <mergeCell ref="T57:AK57"/>
    <mergeCell ref="K46:K47"/>
    <mergeCell ref="Y46:Y47"/>
    <mergeCell ref="Z46:Z47"/>
    <mergeCell ref="AA46:AA47"/>
    <mergeCell ref="AB46:AB47"/>
    <mergeCell ref="AF46:AF47"/>
    <mergeCell ref="Z40:AA40"/>
    <mergeCell ref="AG40:AH40"/>
    <mergeCell ref="E41:E52"/>
    <mergeCell ref="V41:AB41"/>
    <mergeCell ref="AC41:AJ41"/>
    <mergeCell ref="F42:F51"/>
    <mergeCell ref="V42:AB42"/>
    <mergeCell ref="AC42:AJ42"/>
    <mergeCell ref="G43:G50"/>
    <mergeCell ref="V43:AB43"/>
    <mergeCell ref="AC43:AJ43"/>
    <mergeCell ref="H44:H50"/>
    <mergeCell ref="I44:I49"/>
    <mergeCell ref="P44:P49"/>
    <mergeCell ref="V44:AB44"/>
    <mergeCell ref="AC44:AJ44"/>
    <mergeCell ref="J45:J48"/>
    <mergeCell ref="Q45:Q48"/>
    <mergeCell ref="V45:AB45"/>
    <mergeCell ref="AC45:AJ45"/>
    <mergeCell ref="AG46:AG47"/>
    <mergeCell ref="AH46:AH47"/>
    <mergeCell ref="AI46:AI47"/>
    <mergeCell ref="AK36:AK39"/>
    <mergeCell ref="S37:S39"/>
    <mergeCell ref="T37:T39"/>
    <mergeCell ref="V37:AA37"/>
    <mergeCell ref="AB37:AB39"/>
    <mergeCell ref="AC37:AH37"/>
    <mergeCell ref="AI37:AI39"/>
    <mergeCell ref="S32:T32"/>
    <mergeCell ref="V32:AA32"/>
    <mergeCell ref="AC32:AH32"/>
    <mergeCell ref="S33:T33"/>
    <mergeCell ref="V33:AA33"/>
    <mergeCell ref="AC33:AH33"/>
    <mergeCell ref="AJ37:AJ39"/>
    <mergeCell ref="W38:X38"/>
    <mergeCell ref="Y38:AA38"/>
    <mergeCell ref="AD38:AE38"/>
    <mergeCell ref="AF38:AH38"/>
    <mergeCell ref="Z39:AA39"/>
    <mergeCell ref="AG39:AH39"/>
    <mergeCell ref="V35:AB35"/>
    <mergeCell ref="AC35:AI35"/>
    <mergeCell ref="S36:AJ36"/>
    <mergeCell ref="S29:T29"/>
    <mergeCell ref="V29:AA29"/>
    <mergeCell ref="AC29:AH29"/>
    <mergeCell ref="S30:T30"/>
    <mergeCell ref="V30:AA30"/>
    <mergeCell ref="AC30:AH30"/>
    <mergeCell ref="S24:AH24"/>
    <mergeCell ref="S25:AH25"/>
    <mergeCell ref="S27:T27"/>
    <mergeCell ref="V27:AA27"/>
    <mergeCell ref="AC27:AH27"/>
    <mergeCell ref="S28:T28"/>
    <mergeCell ref="V28:AA28"/>
    <mergeCell ref="AC28:AH28"/>
    <mergeCell ref="AK7:AK8"/>
    <mergeCell ref="AF15:AF16"/>
    <mergeCell ref="AG15:AG16"/>
    <mergeCell ref="AH15:AH16"/>
    <mergeCell ref="AI15:AI16"/>
    <mergeCell ref="Z7:Z8"/>
    <mergeCell ref="AA7:AA8"/>
    <mergeCell ref="AB7:AB8"/>
    <mergeCell ref="AF7:AF8"/>
    <mergeCell ref="AG7:AG8"/>
    <mergeCell ref="AH7:AH8"/>
    <mergeCell ref="E2:E13"/>
    <mergeCell ref="V2:AB2"/>
    <mergeCell ref="AC2:AJ2"/>
    <mergeCell ref="F3:F12"/>
    <mergeCell ref="V3:AB3"/>
    <mergeCell ref="AC3:AJ3"/>
    <mergeCell ref="G4:G11"/>
    <mergeCell ref="V4:AB4"/>
    <mergeCell ref="AC4:AJ4"/>
    <mergeCell ref="H5:H11"/>
    <mergeCell ref="I5:I10"/>
    <mergeCell ref="P5:P10"/>
    <mergeCell ref="V5:AB5"/>
    <mergeCell ref="AC5:AJ5"/>
    <mergeCell ref="J6:J9"/>
    <mergeCell ref="Q6:Q9"/>
    <mergeCell ref="V6:AB6"/>
    <mergeCell ref="AC6:AJ6"/>
    <mergeCell ref="K7:K8"/>
    <mergeCell ref="Y7:Y8"/>
    <mergeCell ref="AI7:AI8"/>
  </mergeCells>
  <dataValidations count="8">
    <dataValidation type="list" allowBlank="1" showInputMessage="1" errorTitle="Ошибка" error="Выберите значение из списка" prompt="Выберите значение из списка" sqref="V983081:AJ983081 V65577:AJ65577 V131113:AJ131113 V196649:AJ196649 V262185:AJ262185 V327721:AJ327721 V393257:AJ393257 V458793:AJ458793 V524329:AJ524329 V589865:AJ589865 V655401:AJ655401 V720937:AJ720937 V786473:AJ786473 V852009:AJ852009 V917545:AJ917545">
      <formula1>kind_of_cons</formula1>
    </dataValidation>
    <dataValidation allowBlank="1" sqref="S131116:AK131122 S196652:AK196658 S262188:AK262194 S327724:AK327730 S393260:AK393266 S458796:AK458802 S524332:AK524338 S589868:AK589874 S655404:AK655410 S720940:AK720946 S786476:AK786482 S852012:AK852018 S917548:AK917554 S983084:AK983090 S65580:AK65586"/>
    <dataValidation allowBlank="1" showInputMessage="1" showErrorMessage="1" prompt="Для выбора выполните двойной щелчок левой клавиши мыши по соответствующей ячейке." sqref="Z65578 Z131114 Z196650 Z262186 Z327722 Z393258 Z458794 Z524330 Z589866 Z655402 Z720938 Z786474 Z852010 Z917546 Z983082 AB131114 AB458794 AB196650 AB262186 AB327722 AB393258 AB524330 AB589866 AB655402 AB720938 AB786474 AB852010 AB917546 AB983082 AB65578 AG65578 AG131114 AG196650 AG262186 AG327722 AG393258 AG458794 AG524330 AG589866 AG655402 AG720938 AG786474 AG852010 AG917546 AG983082 AI524330 AI196650 AI589866 AI655402 AI15 AI720938 AI786474 AI852010 AI917546 AI983082 AI65578 AI131114 AI458794 AI262186 AI7 AG46 AI327722 AG15 AG7 Z7 AB7 AI393258 AI46 Z46 AB46"/>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Y65578 Y131114 Y196650 Y262186 Y327722 Y393258 Y458794 Y524330 Y589866 Y655402 Y720938 Y786474 Y852010 Y917546 Y983082 AA65578 AA131114 AA196650 AA262186 AA327722 AA393258 AA458794 AA524330 AA589866 AA655402 AA720938 AA786474 AA852010 AA917546 AA983082 AF15 AF65578 AF131114 AF196650 AF262186 AF327722 AF393258 AF458794 AF524330 AF589866 AF655402 AF720938 AF786474 AF852010 AF917546 AF983082 AH65578 AH131114 AH196650 AH262186 AH327722 AH393258 AH458794 AH524330 AH589866 AH655402 AH720938 AH786474 AH852010 AH917546 AH983082 AH46 AF46 AH15 AH7 AF7 Y7 AA7 Y46 AA46"/>
    <dataValidation type="list" allowBlank="1" showInputMessage="1" showErrorMessage="1" errorTitle="Ошибка" error="Выберите значение из списка" sqref="T65578 T131114 T196650 T262186 T327722 T393258 T458794 T524330 T589866 T655402 T720938 T786474 T852010 T917546 T983082">
      <formula1>kind_of_heat_transfer</formula1>
    </dataValidation>
    <dataValidation type="textLength" operator="lessThanOrEqual" allowBlank="1" showInputMessage="1" showErrorMessage="1" errorTitle="Ошибка" error="Допускается ввод не более 900 символов!" sqref="AK65572:AK65579 AK131108:AK131115 AK196644:AK196651 AK262180:AK262187 AK327716:AK327723 AK393252:AK393259 AK458788:AK458795 AK524324:AK524331 AK589860:AK589867 AK655396:AK655403 AK720932:AK720939 AK786468:AK786475 AK852004:AK852011 AK917540:AK917547 AK983076:AK983083 T46 T7 AC5:AJ5 AC44:AJ44">
      <formula1>900</formula1>
    </dataValidation>
    <dataValidation type="list" allowBlank="1" showInputMessage="1" showErrorMessage="1" errorTitle="Ошибка" error="Выберите значение из списка" sqref="V983080 V65576 V131112 V196648 V262184 V327720 V393256 V458792 V524328 V589864 V655400 V720936 V786472 V852008 V917544 AC983080 AC65576 AC131112 AC196648 AC262184 AC327720 AC393256 AC458792 AC524328 AC589864 AC655400 AC720936 AC786472 AC852008 AC917544">
      <formula1>kind_of_scheme_in</formula1>
    </dataValidation>
    <dataValidation allowBlank="1" promptTitle="checkPeriodRange" sqref="X65579 X131115 X196651 X262187 X327723 X393259 X458795 X524331 X589867 X655403 X720939 X786475 X852011 X917547 X983083 AE16 AE65579 AE131115 AE196651 AE262187 AE327723 AE393259 AE458795 AE524331 AE589867 AE655403 AE720939 AE786475 AE852011 AE917547 AE983083 AE47 AE8 X8 X47"/>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6" tint="0.39997558519241921"/>
  </sheetPr>
  <dimension ref="A1:BI69"/>
  <sheetViews>
    <sheetView showGridLines="0" zoomScale="90" workbookViewId="0">
      <pane xSplit="29" ySplit="45" topLeftCell="AD46" activePane="bottomRight" state="frozen"/>
      <selection pane="topRight" activeCell="AD1" sqref="AD1"/>
      <selection pane="bottomLeft" activeCell="A46" sqref="A46"/>
      <selection pane="bottomRight"/>
    </sheetView>
  </sheetViews>
  <sheetFormatPr defaultColWidth="10.5703125" defaultRowHeight="14.25" customHeight="1"/>
  <cols>
    <col min="1" max="1" width="11.5703125" style="1291" hidden="1" customWidth="1"/>
    <col min="2" max="2" width="11" style="1291" hidden="1" customWidth="1"/>
    <col min="3" max="3" width="10.5703125" style="1291" hidden="1"/>
    <col min="4" max="4" width="12.85546875" style="1291" hidden="1" customWidth="1"/>
    <col min="5" max="5" width="10" style="1291" hidden="1" customWidth="1"/>
    <col min="6" max="6" width="8.7109375" style="1291" hidden="1" customWidth="1"/>
    <col min="7" max="7" width="7.5703125" style="1291" hidden="1" customWidth="1"/>
    <col min="8" max="8" width="11.42578125" style="1291" hidden="1" customWidth="1"/>
    <col min="9" max="9" width="12" style="1291" hidden="1" customWidth="1"/>
    <col min="10" max="10" width="9.85546875" style="1291" hidden="1" customWidth="1"/>
    <col min="11" max="11" width="11.42578125" style="1291" hidden="1" customWidth="1"/>
    <col min="12" max="12" width="19.140625" style="2002" hidden="1" customWidth="1"/>
    <col min="13" max="14" width="12.28515625" style="1701" hidden="1" customWidth="1"/>
    <col min="15" max="15" width="23.42578125" style="1701" hidden="1" customWidth="1"/>
    <col min="16" max="16" width="3.7109375" style="1701" hidden="1" customWidth="1"/>
    <col min="17" max="17" width="3.7109375" style="1296" hidden="1" customWidth="1"/>
    <col min="18" max="18" width="3" style="280" customWidth="1"/>
    <col min="19" max="19" width="12" style="2001" customWidth="1"/>
    <col min="20" max="20" width="31" style="1560" customWidth="1"/>
    <col min="21" max="21" width="0.140625" style="1560" customWidth="1"/>
    <col min="22" max="25" width="21.7109375" style="1560" hidden="1" customWidth="1"/>
    <col min="26" max="26" width="11.7109375" style="1560" hidden="1" customWidth="1"/>
    <col min="27" max="27" width="3.7109375" style="1560" hidden="1" customWidth="1"/>
    <col min="28" max="28" width="11.7109375" style="1560" hidden="1" customWidth="1"/>
    <col min="29" max="29" width="8.5703125" style="1560" hidden="1" customWidth="1"/>
    <col min="30" max="30" width="3.7109375" style="1560" customWidth="1"/>
    <col min="31" max="32" width="3" style="1560" customWidth="1"/>
    <col min="33" max="33" width="24" style="1560" customWidth="1"/>
    <col min="34" max="34" width="3.7109375" style="1560" customWidth="1"/>
    <col min="35" max="36" width="3" style="1560" customWidth="1"/>
    <col min="37" max="37" width="24" style="1560" customWidth="1"/>
    <col min="38" max="38" width="3.7109375" style="1560" customWidth="1"/>
    <col min="39" max="40" width="3" style="1560" customWidth="1"/>
    <col min="41" max="41" width="18" style="1560" customWidth="1"/>
    <col min="42" max="42" width="3.7109375" style="1560" customWidth="1"/>
    <col min="43" max="44" width="3" style="1560" customWidth="1"/>
    <col min="45" max="45" width="18" style="1560" customWidth="1"/>
    <col min="46" max="49" width="21" style="1560" customWidth="1"/>
    <col min="50" max="50" width="11" style="1560" customWidth="1"/>
    <col min="51" max="51" width="3.7109375" style="1560" customWidth="1"/>
    <col min="52" max="52" width="11" style="1560" customWidth="1"/>
    <col min="53" max="53" width="8.5703125" style="1560" hidden="1" customWidth="1"/>
    <col min="54" max="54" width="4" style="1560" customWidth="1"/>
    <col min="55" max="55" width="115" style="1560" customWidth="1"/>
    <col min="56" max="60" width="10" style="1567" customWidth="1"/>
    <col min="61" max="61" width="10.5703125" style="1560" hidden="1"/>
  </cols>
  <sheetData>
    <row r="1" spans="1:61" ht="22.5" hidden="1" customHeight="1">
      <c r="W1" s="263"/>
      <c r="Y1" s="263"/>
      <c r="Z1" s="263"/>
      <c r="AW1" s="263"/>
      <c r="AX1" s="263"/>
      <c r="BI1" s="1080" t="s">
        <v>14</v>
      </c>
    </row>
    <row r="2" spans="1:61" ht="21" hidden="1" customHeight="1">
      <c r="A2" s="1288"/>
      <c r="B2" s="1288"/>
      <c r="C2" s="1288"/>
      <c r="D2" s="1288"/>
      <c r="E2" s="2186">
        <v>1</v>
      </c>
      <c r="F2" s="1288"/>
      <c r="G2" s="1288"/>
      <c r="H2" s="1288"/>
      <c r="I2" s="1288"/>
      <c r="J2" s="1288"/>
      <c r="K2" s="1288"/>
      <c r="L2" s="1289"/>
      <c r="M2" s="1290"/>
      <c r="N2" s="1290"/>
      <c r="O2" s="1290"/>
      <c r="P2" s="1334"/>
      <c r="Q2" s="802"/>
      <c r="R2" s="290"/>
      <c r="S2" s="1418" t="e">
        <f>INDEX(PT_DIFFERENTIATION_NUM_NTAR,MATCH(A2,PT_DIFFERENTIATION_NTAR_ID,0))</f>
        <v>#N/A</v>
      </c>
      <c r="T2" s="234" t="s">
        <v>124</v>
      </c>
      <c r="U2" s="236"/>
      <c r="V2" s="2173"/>
      <c r="W2" s="2173"/>
      <c r="X2" s="2173"/>
      <c r="Y2" s="2173"/>
      <c r="Z2" s="2173"/>
      <c r="AA2" s="2173"/>
      <c r="AB2" s="2173"/>
      <c r="AC2" s="2174"/>
      <c r="AD2" s="2172" t="e">
        <f>INDEX(PT_DIFFERENTIATION_NTAR,MATCH(A2,PT_DIFFERENTIATION_NTAR_ID,0))</f>
        <v>#N/A</v>
      </c>
      <c r="AE2" s="2173"/>
      <c r="AF2" s="2173"/>
      <c r="AG2" s="2173"/>
      <c r="AH2" s="2173"/>
      <c r="AI2" s="2173"/>
      <c r="AJ2" s="2173"/>
      <c r="AK2" s="2173"/>
      <c r="AL2" s="2173"/>
      <c r="AM2" s="2173"/>
      <c r="AN2" s="2173"/>
      <c r="AO2" s="2173"/>
      <c r="AP2" s="2173"/>
      <c r="AQ2" s="2173"/>
      <c r="AR2" s="2173"/>
      <c r="AS2" s="2173"/>
      <c r="AT2" s="2173"/>
      <c r="AU2" s="2173"/>
      <c r="AV2" s="2173"/>
      <c r="AW2" s="2173"/>
      <c r="AX2" s="2173"/>
      <c r="AY2" s="2173"/>
      <c r="AZ2" s="2173"/>
      <c r="BA2" s="2173"/>
      <c r="BB2" s="2174"/>
      <c r="BC2" s="1183"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BE2" s="435"/>
      <c r="BF2" s="435" t="str">
        <f t="shared" ref="BF2:BF8" si="0">IF(T2="","",T2)</f>
        <v>Наименование тарифа</v>
      </c>
      <c r="BG2" s="435"/>
      <c r="BH2" s="435"/>
      <c r="BI2" s="1080">
        <v>0</v>
      </c>
    </row>
    <row r="3" spans="1:61" ht="21" hidden="1" customHeight="1">
      <c r="A3" s="1288"/>
      <c r="B3" s="1288"/>
      <c r="C3" s="1288"/>
      <c r="D3" s="1288"/>
      <c r="E3" s="2187"/>
      <c r="F3" s="2186">
        <v>1</v>
      </c>
      <c r="G3" s="1288"/>
      <c r="H3" s="1288"/>
      <c r="I3" s="1288"/>
      <c r="J3" s="1288"/>
      <c r="K3" s="1288"/>
      <c r="L3" s="1289"/>
      <c r="M3" s="1290"/>
      <c r="N3" s="1290"/>
      <c r="O3" s="1290"/>
      <c r="P3" s="1335"/>
      <c r="Q3" s="1336"/>
      <c r="R3" s="288"/>
      <c r="S3" s="1418" t="e">
        <f>INDEX(PT_DIFFERENTIATION_NUM_TER,MATCH(B3,PT_DIFFERENTIATION_TER_ID,0))</f>
        <v>#N/A</v>
      </c>
      <c r="T3" s="244" t="s">
        <v>396</v>
      </c>
      <c r="U3" s="236"/>
      <c r="V3" s="2173"/>
      <c r="W3" s="2173"/>
      <c r="X3" s="2173"/>
      <c r="Y3" s="2173"/>
      <c r="Z3" s="2173"/>
      <c r="AA3" s="2173"/>
      <c r="AB3" s="2173"/>
      <c r="AC3" s="2174"/>
      <c r="AD3" s="2172" t="e">
        <f>INDEX(PT_DIFFERENTIATION_TER,MATCH(B3,PT_DIFFERENTIATION_TER_ID,0))</f>
        <v>#N/A</v>
      </c>
      <c r="AE3" s="2173"/>
      <c r="AF3" s="2173"/>
      <c r="AG3" s="2173"/>
      <c r="AH3" s="2173"/>
      <c r="AI3" s="2173"/>
      <c r="AJ3" s="2173"/>
      <c r="AK3" s="2173"/>
      <c r="AL3" s="2173"/>
      <c r="AM3" s="2173"/>
      <c r="AN3" s="2173"/>
      <c r="AO3" s="2173"/>
      <c r="AP3" s="2173"/>
      <c r="AQ3" s="2173"/>
      <c r="AR3" s="2173"/>
      <c r="AS3" s="2173"/>
      <c r="AT3" s="2173"/>
      <c r="AU3" s="2173"/>
      <c r="AV3" s="2173"/>
      <c r="AW3" s="2173"/>
      <c r="AX3" s="2173"/>
      <c r="AY3" s="2173"/>
      <c r="AZ3" s="2173"/>
      <c r="BA3" s="2173"/>
      <c r="BB3" s="2174"/>
      <c r="BC3" s="1183" t="s">
        <v>397</v>
      </c>
      <c r="BE3" s="435"/>
      <c r="BF3" s="435" t="str">
        <f t="shared" si="0"/>
        <v>Территория действия тарифа</v>
      </c>
      <c r="BG3" s="435"/>
      <c r="BH3" s="435"/>
      <c r="BI3" s="1080">
        <v>0</v>
      </c>
    </row>
    <row r="4" spans="1:61" ht="33.75" hidden="1" customHeight="1">
      <c r="A4" s="1288"/>
      <c r="B4" s="1288"/>
      <c r="C4" s="1288"/>
      <c r="D4" s="1288"/>
      <c r="E4" s="2187"/>
      <c r="F4" s="2187"/>
      <c r="G4" s="2186">
        <v>1</v>
      </c>
      <c r="H4" s="1288"/>
      <c r="I4" s="1288"/>
      <c r="J4" s="1288"/>
      <c r="K4" s="1288"/>
      <c r="L4" s="1289"/>
      <c r="M4" s="1290"/>
      <c r="N4" s="1290"/>
      <c r="O4" s="1290"/>
      <c r="P4" s="1337"/>
      <c r="Q4" s="1336"/>
      <c r="R4" s="288"/>
      <c r="S4" s="1418" t="e">
        <f>INDEX(PT_DIFFERENTIATION_NUM_CS,MATCH(C4,PT_DIFFERENTIATION_CS_ID,0))</f>
        <v>#N/A</v>
      </c>
      <c r="T4" s="245" t="s">
        <v>515</v>
      </c>
      <c r="U4" s="236"/>
      <c r="V4" s="2173"/>
      <c r="W4" s="2173"/>
      <c r="X4" s="2173"/>
      <c r="Y4" s="2173"/>
      <c r="Z4" s="2173"/>
      <c r="AA4" s="2173"/>
      <c r="AB4" s="2173"/>
      <c r="AC4" s="2174"/>
      <c r="AD4" s="2172" t="e">
        <f>INDEX(PT_DIFFERENTIATION_CS,MATCH(C4,PT_DIFFERENTIATION_CS_ID,0))</f>
        <v>#N/A</v>
      </c>
      <c r="AE4" s="2173"/>
      <c r="AF4" s="2173"/>
      <c r="AG4" s="2173"/>
      <c r="AH4" s="2173"/>
      <c r="AI4" s="2173"/>
      <c r="AJ4" s="2173"/>
      <c r="AK4" s="2173"/>
      <c r="AL4" s="2173"/>
      <c r="AM4" s="2173"/>
      <c r="AN4" s="2173"/>
      <c r="AO4" s="2173"/>
      <c r="AP4" s="2173"/>
      <c r="AQ4" s="2173"/>
      <c r="AR4" s="2173"/>
      <c r="AS4" s="2173"/>
      <c r="AT4" s="2173"/>
      <c r="AU4" s="2173"/>
      <c r="AV4" s="2173"/>
      <c r="AW4" s="2173"/>
      <c r="AX4" s="2173"/>
      <c r="AY4" s="2173"/>
      <c r="AZ4" s="2173"/>
      <c r="BA4" s="2173"/>
      <c r="BB4" s="2174"/>
      <c r="BC4" s="1183" t="s">
        <v>516</v>
      </c>
      <c r="BE4" s="435"/>
      <c r="BF4" s="435" t="str">
        <f t="shared" si="0"/>
        <v>Наименование централизованной системы водоотведения</v>
      </c>
      <c r="BG4" s="435"/>
      <c r="BH4" s="435"/>
      <c r="BI4" s="1080">
        <v>0</v>
      </c>
    </row>
    <row r="5" spans="1:61" s="1567" customFormat="1" ht="14.25" hidden="1" customHeight="1">
      <c r="A5" s="1268"/>
      <c r="B5" s="1268"/>
      <c r="C5" s="1268"/>
      <c r="D5" s="1268"/>
      <c r="E5" s="2187"/>
      <c r="F5" s="2187"/>
      <c r="G5" s="2187"/>
      <c r="H5" s="2186">
        <v>1</v>
      </c>
      <c r="I5" s="1268"/>
      <c r="J5" s="1268"/>
      <c r="K5" s="1268"/>
      <c r="L5" s="1271"/>
      <c r="M5" s="1240"/>
      <c r="N5" s="1240"/>
      <c r="O5" s="1240"/>
      <c r="P5" s="1422"/>
      <c r="Q5" s="1423"/>
      <c r="R5" s="292"/>
      <c r="S5" s="970"/>
      <c r="T5" s="1424"/>
      <c r="U5" s="1309"/>
      <c r="V5" s="2216"/>
      <c r="W5" s="2216"/>
      <c r="X5" s="2216"/>
      <c r="Y5" s="2216"/>
      <c r="Z5" s="2216"/>
      <c r="AA5" s="2216"/>
      <c r="AB5" s="2216"/>
      <c r="AC5" s="2217"/>
      <c r="AD5" s="2215"/>
      <c r="AE5" s="2216"/>
      <c r="AF5" s="2216"/>
      <c r="AG5" s="2216"/>
      <c r="AH5" s="2216"/>
      <c r="AI5" s="2216"/>
      <c r="AJ5" s="2216"/>
      <c r="AK5" s="2216"/>
      <c r="AL5" s="2216"/>
      <c r="AM5" s="2216"/>
      <c r="AN5" s="2216"/>
      <c r="AO5" s="2216"/>
      <c r="AP5" s="2216"/>
      <c r="AQ5" s="2216"/>
      <c r="AR5" s="2216"/>
      <c r="AS5" s="2216"/>
      <c r="AT5" s="2216"/>
      <c r="AU5" s="2216"/>
      <c r="AV5" s="2216"/>
      <c r="AW5" s="2216"/>
      <c r="AX5" s="2216"/>
      <c r="AY5" s="2216"/>
      <c r="AZ5" s="2216"/>
      <c r="BA5" s="2216"/>
      <c r="BB5" s="2217"/>
      <c r="BC5" s="1310" t="s">
        <v>401</v>
      </c>
      <c r="BE5" s="435"/>
      <c r="BF5" s="435" t="str">
        <f t="shared" si="0"/>
        <v/>
      </c>
      <c r="BG5" s="435"/>
      <c r="BH5" s="435"/>
      <c r="BI5" s="446">
        <v>0</v>
      </c>
    </row>
    <row r="6" spans="1:61" s="1567" customFormat="1" ht="14.25" hidden="1" customHeight="1">
      <c r="A6" s="1268"/>
      <c r="B6" s="1268"/>
      <c r="C6" s="1268"/>
      <c r="D6" s="1268"/>
      <c r="E6" s="2187"/>
      <c r="F6" s="2187"/>
      <c r="G6" s="2187"/>
      <c r="H6" s="2187"/>
      <c r="I6" s="2184" t="str">
        <f>S5&amp;".1"</f>
        <v>.1</v>
      </c>
      <c r="J6" s="1268"/>
      <c r="K6" s="1268"/>
      <c r="L6" s="1271" t="s">
        <v>402</v>
      </c>
      <c r="M6" s="445"/>
      <c r="N6" s="445"/>
      <c r="O6" s="445"/>
      <c r="P6" s="2185">
        <v>1</v>
      </c>
      <c r="Q6" s="1406"/>
      <c r="R6" s="291"/>
      <c r="S6" s="970"/>
      <c r="T6" s="1308"/>
      <c r="U6" s="1309"/>
      <c r="V6" s="2216"/>
      <c r="W6" s="2216"/>
      <c r="X6" s="2216"/>
      <c r="Y6" s="2216"/>
      <c r="Z6" s="2216"/>
      <c r="AA6" s="2216"/>
      <c r="AB6" s="2216"/>
      <c r="AC6" s="2217"/>
      <c r="AD6" s="2215"/>
      <c r="AE6" s="2216"/>
      <c r="AF6" s="2216"/>
      <c r="AG6" s="2216"/>
      <c r="AH6" s="2216"/>
      <c r="AI6" s="2216"/>
      <c r="AJ6" s="2216"/>
      <c r="AK6" s="2216"/>
      <c r="AL6" s="2216"/>
      <c r="AM6" s="2216"/>
      <c r="AN6" s="2216"/>
      <c r="AO6" s="2216"/>
      <c r="AP6" s="2216"/>
      <c r="AQ6" s="2216"/>
      <c r="AR6" s="2216"/>
      <c r="AS6" s="2216"/>
      <c r="AT6" s="2216"/>
      <c r="AU6" s="2216"/>
      <c r="AV6" s="2216"/>
      <c r="AW6" s="2216"/>
      <c r="AX6" s="2216"/>
      <c r="AY6" s="2216"/>
      <c r="AZ6" s="2216"/>
      <c r="BA6" s="2216"/>
      <c r="BB6" s="2217"/>
      <c r="BC6" s="1310"/>
      <c r="BE6" s="435"/>
      <c r="BF6" s="435" t="str">
        <f t="shared" si="0"/>
        <v/>
      </c>
      <c r="BG6" s="435"/>
      <c r="BH6" s="435"/>
      <c r="BI6" s="446">
        <v>0</v>
      </c>
    </row>
    <row r="7" spans="1:61" s="1567" customFormat="1" ht="14.25" hidden="1" customHeight="1">
      <c r="A7" s="1268"/>
      <c r="B7" s="1268"/>
      <c r="C7" s="1268"/>
      <c r="D7" s="1268"/>
      <c r="E7" s="2187"/>
      <c r="F7" s="2187"/>
      <c r="G7" s="2187"/>
      <c r="H7" s="2187"/>
      <c r="I7" s="2207"/>
      <c r="J7" s="2184" t="str">
        <f>S5&amp;".1"</f>
        <v>.1</v>
      </c>
      <c r="K7" s="1268"/>
      <c r="L7" s="1271"/>
      <c r="M7" s="445"/>
      <c r="N7" s="445"/>
      <c r="O7" s="445"/>
      <c r="P7" s="2185"/>
      <c r="Q7" s="2185">
        <v>1</v>
      </c>
      <c r="R7" s="292"/>
      <c r="S7" s="970"/>
      <c r="T7" s="1324"/>
      <c r="U7" s="1309"/>
      <c r="V7" s="2216"/>
      <c r="W7" s="2216"/>
      <c r="X7" s="2216"/>
      <c r="Y7" s="2216"/>
      <c r="Z7" s="2216"/>
      <c r="AA7" s="2216"/>
      <c r="AB7" s="2216"/>
      <c r="AC7" s="2217"/>
      <c r="AD7" s="2215"/>
      <c r="AE7" s="2216"/>
      <c r="AF7" s="2216"/>
      <c r="AG7" s="2216"/>
      <c r="AH7" s="2216"/>
      <c r="AI7" s="2216"/>
      <c r="AJ7" s="2216"/>
      <c r="AK7" s="2216"/>
      <c r="AL7" s="2216"/>
      <c r="AM7" s="2216"/>
      <c r="AN7" s="2216"/>
      <c r="AO7" s="2216"/>
      <c r="AP7" s="2216"/>
      <c r="AQ7" s="2216"/>
      <c r="AR7" s="2216"/>
      <c r="AS7" s="2216"/>
      <c r="AT7" s="2216"/>
      <c r="AU7" s="2216"/>
      <c r="AV7" s="2216"/>
      <c r="AW7" s="2216"/>
      <c r="AX7" s="2216"/>
      <c r="AY7" s="2216"/>
      <c r="AZ7" s="2216"/>
      <c r="BA7" s="2216"/>
      <c r="BB7" s="2217"/>
      <c r="BC7" s="1310"/>
      <c r="BE7" s="435"/>
      <c r="BF7" s="435" t="str">
        <f t="shared" si="0"/>
        <v/>
      </c>
      <c r="BG7" s="435"/>
      <c r="BH7" s="435"/>
      <c r="BI7" s="446">
        <v>0</v>
      </c>
    </row>
    <row r="8" spans="1:61" ht="11.25" hidden="1" customHeight="1">
      <c r="A8" s="1288"/>
      <c r="B8" s="1288"/>
      <c r="C8" s="1288"/>
      <c r="D8" s="1288"/>
      <c r="E8" s="2187"/>
      <c r="F8" s="2187"/>
      <c r="G8" s="2187"/>
      <c r="H8" s="2187"/>
      <c r="I8" s="2207"/>
      <c r="J8" s="2207"/>
      <c r="K8" s="2184" t="e">
        <f>S4&amp;".1"</f>
        <v>#N/A</v>
      </c>
      <c r="L8" s="1289"/>
      <c r="P8" s="2185"/>
      <c r="Q8" s="2185"/>
      <c r="R8" s="2250">
        <v>1</v>
      </c>
      <c r="S8" s="2244" t="e">
        <f>$K8</f>
        <v>#N/A</v>
      </c>
      <c r="T8" s="2263"/>
      <c r="U8" s="236"/>
      <c r="V8" s="686"/>
      <c r="W8" s="1182"/>
      <c r="X8" s="686"/>
      <c r="Y8" s="1182"/>
      <c r="Z8" s="1659"/>
      <c r="AA8" s="1394" t="s">
        <v>66</v>
      </c>
      <c r="AB8" s="1659"/>
      <c r="AC8" s="1394" t="s">
        <v>66</v>
      </c>
      <c r="AD8" s="2124" t="s">
        <v>66</v>
      </c>
      <c r="AE8" s="2229"/>
      <c r="AF8" s="2141">
        <v>1</v>
      </c>
      <c r="AG8" s="2266"/>
      <c r="AH8" s="2047" t="s">
        <v>66</v>
      </c>
      <c r="AI8" s="2229"/>
      <c r="AJ8" s="2141">
        <v>1</v>
      </c>
      <c r="AK8" s="2230" t="s">
        <v>22</v>
      </c>
      <c r="AL8" s="2047" t="s">
        <v>66</v>
      </c>
      <c r="AM8" s="2131"/>
      <c r="AN8" s="2141">
        <v>1</v>
      </c>
      <c r="AO8" s="2260"/>
      <c r="AP8" s="2261" t="s">
        <v>66</v>
      </c>
      <c r="AQ8" s="247"/>
      <c r="AR8" s="1411">
        <v>1</v>
      </c>
      <c r="AS8" s="1417" t="s">
        <v>22</v>
      </c>
      <c r="AT8" s="686"/>
      <c r="AU8" s="1182"/>
      <c r="AV8" s="686"/>
      <c r="AW8" s="1182"/>
      <c r="AX8" s="1659"/>
      <c r="AY8" s="1394" t="s">
        <v>66</v>
      </c>
      <c r="AZ8" s="1659"/>
      <c r="BA8" s="1394" t="s">
        <v>66</v>
      </c>
      <c r="BB8" s="1273"/>
      <c r="BC8" s="2181" t="s">
        <v>500</v>
      </c>
      <c r="BE8" s="435"/>
      <c r="BF8" s="435" t="str">
        <f t="shared" si="0"/>
        <v/>
      </c>
      <c r="BG8" s="435"/>
      <c r="BH8" s="435"/>
      <c r="BI8" s="1080">
        <v>0</v>
      </c>
    </row>
    <row r="9" spans="1:61" ht="11.25" hidden="1" customHeight="1">
      <c r="A9" s="1288"/>
      <c r="B9" s="1288"/>
      <c r="C9" s="1288"/>
      <c r="D9" s="1288"/>
      <c r="E9" s="2187"/>
      <c r="F9" s="2187"/>
      <c r="G9" s="2187"/>
      <c r="H9" s="2187"/>
      <c r="I9" s="2207"/>
      <c r="J9" s="2207"/>
      <c r="K9" s="2184"/>
      <c r="L9" s="1289"/>
      <c r="P9" s="2185"/>
      <c r="Q9" s="2185"/>
      <c r="R9" s="2250"/>
      <c r="S9" s="2245"/>
      <c r="T9" s="2264"/>
      <c r="U9" s="236"/>
      <c r="V9" s="1318"/>
      <c r="W9" s="1421"/>
      <c r="X9" s="1318"/>
      <c r="Y9" s="1421"/>
      <c r="Z9" s="1318"/>
      <c r="AA9" s="1318"/>
      <c r="AB9" s="1318"/>
      <c r="AC9" s="1318"/>
      <c r="AD9" s="2125"/>
      <c r="AE9" s="2229"/>
      <c r="AF9" s="2141"/>
      <c r="AG9" s="2266"/>
      <c r="AH9" s="2047"/>
      <c r="AI9" s="2229"/>
      <c r="AJ9" s="2141"/>
      <c r="AK9" s="2230"/>
      <c r="AL9" s="2047"/>
      <c r="AM9" s="2136"/>
      <c r="AN9" s="2141"/>
      <c r="AO9" s="2260"/>
      <c r="AP9" s="2262"/>
      <c r="AQ9" s="252"/>
      <c r="AR9" s="351"/>
      <c r="AS9" s="351" t="s">
        <v>501</v>
      </c>
      <c r="AT9" s="1318"/>
      <c r="AU9" s="1421"/>
      <c r="AV9" s="1318"/>
      <c r="AW9" s="1421"/>
      <c r="AX9" s="1318"/>
      <c r="AY9" s="1318"/>
      <c r="AZ9" s="1318"/>
      <c r="BA9" s="1318"/>
      <c r="BB9" s="1322"/>
      <c r="BC9" s="2182"/>
      <c r="BE9" s="435"/>
      <c r="BF9" s="435"/>
      <c r="BG9" s="435"/>
      <c r="BH9" s="435"/>
      <c r="BI9" s="1080">
        <v>0</v>
      </c>
    </row>
    <row r="10" spans="1:61" ht="11.25" hidden="1" customHeight="1">
      <c r="A10" s="1288"/>
      <c r="B10" s="1288"/>
      <c r="C10" s="1288"/>
      <c r="D10" s="1288"/>
      <c r="E10" s="2187"/>
      <c r="F10" s="2187"/>
      <c r="G10" s="2187"/>
      <c r="H10" s="2187"/>
      <c r="I10" s="2207"/>
      <c r="J10" s="2207"/>
      <c r="K10" s="2184"/>
      <c r="L10" s="1289"/>
      <c r="P10" s="2185"/>
      <c r="Q10" s="2185"/>
      <c r="R10" s="2250"/>
      <c r="S10" s="2245"/>
      <c r="T10" s="2264"/>
      <c r="U10" s="236"/>
      <c r="V10" s="1318"/>
      <c r="W10" s="1421"/>
      <c r="X10" s="1318"/>
      <c r="Y10" s="1421"/>
      <c r="Z10" s="1318"/>
      <c r="AA10" s="1318"/>
      <c r="AB10" s="1318"/>
      <c r="AC10" s="1318"/>
      <c r="AD10" s="2125"/>
      <c r="AE10" s="2229"/>
      <c r="AF10" s="2141"/>
      <c r="AG10" s="2266"/>
      <c r="AH10" s="2047"/>
      <c r="AI10" s="2229"/>
      <c r="AJ10" s="2141"/>
      <c r="AK10" s="2230"/>
      <c r="AL10" s="2047"/>
      <c r="AM10" s="252"/>
      <c r="AN10" s="1425"/>
      <c r="AO10" s="1425" t="s">
        <v>521</v>
      </c>
      <c r="AP10" s="351"/>
      <c r="AQ10" s="351"/>
      <c r="AR10" s="351"/>
      <c r="AS10" s="1318"/>
      <c r="AT10" s="1318"/>
      <c r="AU10" s="1421"/>
      <c r="AV10" s="1318"/>
      <c r="AW10" s="1421"/>
      <c r="AX10" s="1318"/>
      <c r="AY10" s="1318"/>
      <c r="AZ10" s="1318"/>
      <c r="BA10" s="1318"/>
      <c r="BB10" s="1322"/>
      <c r="BC10" s="2182"/>
      <c r="BE10" s="435"/>
      <c r="BF10" s="435"/>
      <c r="BG10" s="435"/>
      <c r="BH10" s="435"/>
      <c r="BI10" s="1080">
        <v>0</v>
      </c>
    </row>
    <row r="11" spans="1:61" ht="11.25" hidden="1" customHeight="1">
      <c r="A11" s="1288"/>
      <c r="B11" s="1288"/>
      <c r="C11" s="1288"/>
      <c r="D11" s="1288"/>
      <c r="E11" s="2187"/>
      <c r="F11" s="2187"/>
      <c r="G11" s="2187"/>
      <c r="H11" s="2187"/>
      <c r="I11" s="2207"/>
      <c r="J11" s="2207"/>
      <c r="K11" s="2184"/>
      <c r="L11" s="1289"/>
      <c r="P11" s="2185"/>
      <c r="Q11" s="2185"/>
      <c r="R11" s="2250"/>
      <c r="S11" s="2245"/>
      <c r="T11" s="2264"/>
      <c r="U11" s="236"/>
      <c r="V11" s="1318"/>
      <c r="W11" s="1421"/>
      <c r="X11" s="1318"/>
      <c r="Y11" s="1421"/>
      <c r="Z11" s="1318"/>
      <c r="AA11" s="1318"/>
      <c r="AB11" s="1318"/>
      <c r="AC11" s="1318"/>
      <c r="AD11" s="2125"/>
      <c r="AE11" s="2229"/>
      <c r="AF11" s="2141"/>
      <c r="AG11" s="2266"/>
      <c r="AH11" s="2047"/>
      <c r="AI11" s="230"/>
      <c r="AJ11" s="350"/>
      <c r="AK11" s="249" t="s">
        <v>522</v>
      </c>
      <c r="AL11" s="1318"/>
      <c r="AM11" s="1318"/>
      <c r="AN11" s="1318"/>
      <c r="AO11" s="1318"/>
      <c r="AP11" s="1318"/>
      <c r="AQ11" s="1318"/>
      <c r="AR11" s="1318"/>
      <c r="AS11" s="1318"/>
      <c r="AT11" s="1318"/>
      <c r="AU11" s="1421"/>
      <c r="AV11" s="1318"/>
      <c r="AW11" s="1421"/>
      <c r="AX11" s="1318"/>
      <c r="AY11" s="1318"/>
      <c r="AZ11" s="1318"/>
      <c r="BA11" s="1318"/>
      <c r="BB11" s="1322"/>
      <c r="BC11" s="2182"/>
      <c r="BE11" s="435"/>
      <c r="BF11" s="435"/>
      <c r="BG11" s="435"/>
      <c r="BH11" s="435"/>
      <c r="BI11" s="1080">
        <v>0</v>
      </c>
    </row>
    <row r="12" spans="1:61" ht="11.25" hidden="1" customHeight="1">
      <c r="A12" s="1288"/>
      <c r="B12" s="1288"/>
      <c r="C12" s="1288"/>
      <c r="D12" s="1288"/>
      <c r="E12" s="2187"/>
      <c r="F12" s="2187"/>
      <c r="G12" s="2187"/>
      <c r="H12" s="2187"/>
      <c r="I12" s="2207"/>
      <c r="J12" s="2207"/>
      <c r="K12" s="2184"/>
      <c r="L12" s="1289"/>
      <c r="P12" s="2185"/>
      <c r="Q12" s="2185"/>
      <c r="R12" s="2250"/>
      <c r="S12" s="2246"/>
      <c r="T12" s="2265"/>
      <c r="U12" s="236"/>
      <c r="V12" s="1318"/>
      <c r="W12" s="1319" t="str">
        <f>Z8&amp;"-"&amp;AB8</f>
        <v>-</v>
      </c>
      <c r="X12" s="1318"/>
      <c r="Y12" s="1319" t="str">
        <f>AB8&amp;"-"&amp;AD8</f>
        <v>-да</v>
      </c>
      <c r="Z12" s="1318"/>
      <c r="AA12" s="1318"/>
      <c r="AB12" s="1318"/>
      <c r="AC12" s="1318"/>
      <c r="AD12" s="2052"/>
      <c r="AE12" s="248"/>
      <c r="AF12" s="250"/>
      <c r="AG12" s="351" t="s">
        <v>504</v>
      </c>
      <c r="AH12" s="1318"/>
      <c r="AI12" s="1318"/>
      <c r="AJ12" s="1318"/>
      <c r="AK12" s="1318"/>
      <c r="AL12" s="1318"/>
      <c r="AM12" s="1318"/>
      <c r="AN12" s="1318"/>
      <c r="AO12" s="1318"/>
      <c r="AP12" s="1318"/>
      <c r="AQ12" s="1318"/>
      <c r="AR12" s="1318"/>
      <c r="AS12" s="1318"/>
      <c r="AT12" s="1318"/>
      <c r="AU12" s="1319" t="str">
        <f>AX8&amp;"-"&amp;AZ8</f>
        <v>-</v>
      </c>
      <c r="AV12" s="1318"/>
      <c r="AW12" s="1319" t="str">
        <f>AZ8&amp;"-"&amp;BB8</f>
        <v>-</v>
      </c>
      <c r="AX12" s="1318"/>
      <c r="AY12" s="1318"/>
      <c r="AZ12" s="1318"/>
      <c r="BA12" s="1318"/>
      <c r="BB12" s="1321" t="str">
        <f>BE8&amp;"-"&amp;BG8</f>
        <v>-</v>
      </c>
      <c r="BC12" s="2182"/>
      <c r="BE12" s="435"/>
      <c r="BF12" s="435" t="str">
        <f t="shared" ref="BF12:BF18" si="1">IF(T12="","",T12)</f>
        <v/>
      </c>
      <c r="BG12" s="435"/>
      <c r="BH12" s="435"/>
      <c r="BI12" s="1080">
        <v>0</v>
      </c>
    </row>
    <row r="13" spans="1:61" ht="11.25" hidden="1" customHeight="1">
      <c r="A13" s="1288"/>
      <c r="B13" s="1288"/>
      <c r="C13" s="1288"/>
      <c r="D13" s="1288"/>
      <c r="E13" s="2187"/>
      <c r="F13" s="2187"/>
      <c r="G13" s="2187"/>
      <c r="H13" s="2187"/>
      <c r="I13" s="2207"/>
      <c r="J13" s="2184"/>
      <c r="K13" s="1288"/>
      <c r="L13" s="1289"/>
      <c r="P13" s="2185"/>
      <c r="Q13" s="2185"/>
      <c r="R13" s="291"/>
      <c r="S13" s="1203"/>
      <c r="T13" s="223" t="s">
        <v>467</v>
      </c>
      <c r="U13" s="302"/>
      <c r="V13" s="302"/>
      <c r="W13" s="302"/>
      <c r="X13" s="302"/>
      <c r="Y13" s="302"/>
      <c r="Z13" s="302"/>
      <c r="AA13" s="302"/>
      <c r="AB13" s="302"/>
      <c r="AC13" s="302"/>
      <c r="AD13" s="1430"/>
      <c r="AE13" s="302"/>
      <c r="AF13" s="302"/>
      <c r="AG13" s="302"/>
      <c r="AH13" s="302"/>
      <c r="AI13" s="302"/>
      <c r="AJ13" s="302"/>
      <c r="AK13" s="302"/>
      <c r="AL13" s="302"/>
      <c r="AM13" s="302"/>
      <c r="AN13" s="302"/>
      <c r="AO13" s="302"/>
      <c r="AP13" s="302"/>
      <c r="AQ13" s="302"/>
      <c r="AR13" s="302"/>
      <c r="AS13" s="302"/>
      <c r="AT13" s="302"/>
      <c r="AU13" s="302"/>
      <c r="AV13" s="302"/>
      <c r="AW13" s="302"/>
      <c r="AX13" s="302"/>
      <c r="AY13" s="302"/>
      <c r="AZ13" s="302"/>
      <c r="BA13" s="302"/>
      <c r="BB13" s="260"/>
      <c r="BC13" s="2183"/>
      <c r="BE13" s="435"/>
      <c r="BF13" s="435" t="str">
        <f t="shared" si="1"/>
        <v>Добавить строку</v>
      </c>
      <c r="BG13" s="435"/>
      <c r="BH13" s="435"/>
      <c r="BI13" s="1080">
        <v>0</v>
      </c>
    </row>
    <row r="14" spans="1:61" s="1567" customFormat="1" ht="14.25" hidden="1" customHeight="1">
      <c r="A14" s="1268"/>
      <c r="B14" s="1268"/>
      <c r="C14" s="1268"/>
      <c r="D14" s="1268"/>
      <c r="E14" s="2187"/>
      <c r="F14" s="2187"/>
      <c r="G14" s="2187"/>
      <c r="H14" s="2187"/>
      <c r="I14" s="2184"/>
      <c r="J14" s="1268"/>
      <c r="K14" s="1268"/>
      <c r="L14" s="1271"/>
      <c r="M14" s="445"/>
      <c r="N14" s="445"/>
      <c r="O14" s="445"/>
      <c r="P14" s="2185"/>
      <c r="Q14" s="1406"/>
      <c r="R14" s="291"/>
      <c r="S14" s="1311"/>
      <c r="T14" s="1312"/>
      <c r="U14" s="1313"/>
      <c r="V14" s="1313"/>
      <c r="W14" s="1313"/>
      <c r="X14" s="1313"/>
      <c r="Y14" s="1313"/>
      <c r="Z14" s="1313"/>
      <c r="AA14" s="1313"/>
      <c r="AB14" s="1313"/>
      <c r="AC14" s="1313"/>
      <c r="AD14" s="1313"/>
      <c r="AE14" s="1313"/>
      <c r="AF14" s="1313"/>
      <c r="AG14" s="1313"/>
      <c r="AH14" s="1313"/>
      <c r="AI14" s="1313"/>
      <c r="AJ14" s="1313"/>
      <c r="AK14" s="1313"/>
      <c r="AL14" s="1313"/>
      <c r="AM14" s="1313"/>
      <c r="AN14" s="1313"/>
      <c r="AO14" s="1313"/>
      <c r="AP14" s="1313"/>
      <c r="AQ14" s="1313"/>
      <c r="AR14" s="1313"/>
      <c r="AS14" s="1313"/>
      <c r="AT14" s="1313"/>
      <c r="AU14" s="1313"/>
      <c r="AV14" s="1313"/>
      <c r="AW14" s="1313"/>
      <c r="AX14" s="1313"/>
      <c r="AY14" s="1313"/>
      <c r="AZ14" s="1313"/>
      <c r="BA14" s="1313"/>
      <c r="BB14" s="1313"/>
      <c r="BC14" s="1314"/>
      <c r="BE14" s="435"/>
      <c r="BF14" s="435" t="str">
        <f t="shared" si="1"/>
        <v/>
      </c>
      <c r="BG14" s="435"/>
      <c r="BH14" s="435"/>
      <c r="BI14" s="446">
        <v>0</v>
      </c>
    </row>
    <row r="15" spans="1:61" s="1567" customFormat="1" ht="14.25" hidden="1" customHeight="1">
      <c r="A15" s="1268"/>
      <c r="B15" s="1268"/>
      <c r="C15" s="1268"/>
      <c r="D15" s="1268"/>
      <c r="E15" s="2187"/>
      <c r="F15" s="2187"/>
      <c r="G15" s="2187"/>
      <c r="H15" s="2186"/>
      <c r="I15" s="1268"/>
      <c r="J15" s="1268"/>
      <c r="K15" s="1268"/>
      <c r="L15" s="1271"/>
      <c r="M15" s="1240"/>
      <c r="N15" s="1240"/>
      <c r="O15" s="453"/>
      <c r="P15" s="315"/>
      <c r="Q15" s="1269"/>
      <c r="R15" s="1326"/>
      <c r="S15" s="1311"/>
      <c r="T15" s="1312"/>
      <c r="U15" s="1313"/>
      <c r="V15" s="1313"/>
      <c r="W15" s="1313"/>
      <c r="X15" s="1313"/>
      <c r="Y15" s="1313"/>
      <c r="Z15" s="1313"/>
      <c r="AA15" s="1313"/>
      <c r="AB15" s="1313"/>
      <c r="AC15" s="1313"/>
      <c r="AD15" s="1313"/>
      <c r="AE15" s="1313"/>
      <c r="AF15" s="1313"/>
      <c r="AG15" s="1313"/>
      <c r="AH15" s="1313"/>
      <c r="AI15" s="1313"/>
      <c r="AJ15" s="1313"/>
      <c r="AK15" s="1313"/>
      <c r="AL15" s="1313"/>
      <c r="AM15" s="1313"/>
      <c r="AN15" s="1313"/>
      <c r="AO15" s="1313"/>
      <c r="AP15" s="1313"/>
      <c r="AQ15" s="1313"/>
      <c r="AR15" s="1313"/>
      <c r="AS15" s="1313"/>
      <c r="AT15" s="1313"/>
      <c r="AU15" s="1313"/>
      <c r="AV15" s="1313"/>
      <c r="AW15" s="1313"/>
      <c r="AX15" s="1313"/>
      <c r="AY15" s="1313"/>
      <c r="AZ15" s="1313"/>
      <c r="BA15" s="1313"/>
      <c r="BB15" s="1313"/>
      <c r="BC15" s="1314"/>
      <c r="BE15" s="435"/>
      <c r="BF15" s="435" t="str">
        <f t="shared" si="1"/>
        <v/>
      </c>
      <c r="BG15" s="435"/>
      <c r="BH15" s="435"/>
      <c r="BI15" s="446">
        <v>0</v>
      </c>
    </row>
    <row r="16" spans="1:61" s="1567" customFormat="1" ht="14.25" hidden="1" customHeight="1">
      <c r="A16" s="1268"/>
      <c r="B16" s="1268"/>
      <c r="C16" s="1268"/>
      <c r="D16" s="1239"/>
      <c r="E16" s="2187"/>
      <c r="F16" s="2187"/>
      <c r="G16" s="2186"/>
      <c r="H16" s="1239"/>
      <c r="I16" s="1239"/>
      <c r="J16" s="1239"/>
      <c r="K16" s="1239"/>
      <c r="L16" s="1419"/>
      <c r="M16" s="1240"/>
      <c r="N16" s="1240"/>
      <c r="P16" s="1241"/>
      <c r="Q16" s="1242"/>
      <c r="R16" s="1241"/>
      <c r="S16" s="1247"/>
      <c r="T16" s="1250"/>
      <c r="U16" s="1249"/>
      <c r="V16" s="1249"/>
      <c r="W16" s="1249"/>
      <c r="X16" s="1249"/>
      <c r="Y16" s="1249"/>
      <c r="Z16" s="1249"/>
      <c r="AA16" s="1249"/>
      <c r="AB16" s="1249"/>
      <c r="AC16" s="1249"/>
      <c r="AD16" s="1249"/>
      <c r="AE16" s="1249"/>
      <c r="AF16" s="1249"/>
      <c r="AG16" s="1249"/>
      <c r="AH16" s="1249"/>
      <c r="AI16" s="1249"/>
      <c r="AJ16" s="1249"/>
      <c r="AK16" s="1249"/>
      <c r="AL16" s="1249"/>
      <c r="AM16" s="1249"/>
      <c r="AN16" s="1249"/>
      <c r="AO16" s="1249"/>
      <c r="AP16" s="1249"/>
      <c r="AQ16" s="1249"/>
      <c r="AR16" s="1249"/>
      <c r="AS16" s="1249"/>
      <c r="AT16" s="1249"/>
      <c r="AU16" s="1249"/>
      <c r="AV16" s="1249"/>
      <c r="AW16" s="1249"/>
      <c r="AX16" s="1249"/>
      <c r="AY16" s="1249"/>
      <c r="AZ16" s="1249"/>
      <c r="BA16" s="1249"/>
      <c r="BB16" s="1249"/>
      <c r="BC16" s="1249"/>
      <c r="BE16" s="718"/>
      <c r="BF16" s="718" t="str">
        <f t="shared" si="1"/>
        <v/>
      </c>
      <c r="BG16" s="718"/>
      <c r="BH16" s="718"/>
      <c r="BI16" s="453">
        <v>0</v>
      </c>
    </row>
    <row r="17" spans="1:61" s="1567" customFormat="1" ht="14.25" hidden="1" customHeight="1">
      <c r="A17" s="1268"/>
      <c r="B17" s="1268"/>
      <c r="C17" s="1239"/>
      <c r="D17" s="1239"/>
      <c r="E17" s="2187"/>
      <c r="F17" s="2186"/>
      <c r="G17" s="1239"/>
      <c r="H17" s="1239"/>
      <c r="I17" s="1239"/>
      <c r="J17" s="1239"/>
      <c r="K17" s="1239"/>
      <c r="L17" s="1419"/>
      <c r="M17" s="1246"/>
      <c r="N17" s="1246"/>
      <c r="P17" s="1241"/>
      <c r="Q17" s="1242"/>
      <c r="R17" s="1241"/>
      <c r="S17" s="1247"/>
      <c r="T17" s="1250" t="s">
        <v>414</v>
      </c>
      <c r="U17" s="1249"/>
      <c r="V17" s="1249"/>
      <c r="W17" s="1249"/>
      <c r="X17" s="1249"/>
      <c r="Y17" s="1249"/>
      <c r="Z17" s="1249"/>
      <c r="AA17" s="1249"/>
      <c r="AB17" s="1249"/>
      <c r="AC17" s="1249"/>
      <c r="AD17" s="1249"/>
      <c r="AE17" s="1249"/>
      <c r="AF17" s="1249"/>
      <c r="AG17" s="1249"/>
      <c r="AH17" s="1249"/>
      <c r="AI17" s="1249"/>
      <c r="AJ17" s="1249"/>
      <c r="AK17" s="1249"/>
      <c r="AL17" s="1249"/>
      <c r="AM17" s="1249"/>
      <c r="AN17" s="1249"/>
      <c r="AO17" s="1249"/>
      <c r="AP17" s="1249"/>
      <c r="AQ17" s="1249"/>
      <c r="AR17" s="1249"/>
      <c r="AS17" s="1249"/>
      <c r="AT17" s="1249"/>
      <c r="AU17" s="1249"/>
      <c r="AV17" s="1249"/>
      <c r="AW17" s="1249"/>
      <c r="AX17" s="1249"/>
      <c r="AY17" s="1249"/>
      <c r="AZ17" s="1249"/>
      <c r="BA17" s="1249"/>
      <c r="BB17" s="1249"/>
      <c r="BC17" s="1249"/>
      <c r="BE17" s="718"/>
      <c r="BF17" s="718" t="str">
        <f t="shared" si="1"/>
        <v>Добавить централизованную систему для дифференциации</v>
      </c>
      <c r="BG17" s="718"/>
      <c r="BH17" s="718"/>
      <c r="BI17" s="453">
        <v>0</v>
      </c>
    </row>
    <row r="18" spans="1:61" s="1567" customFormat="1" ht="14.25" hidden="1" customHeight="1">
      <c r="A18" s="1268"/>
      <c r="B18" s="1268"/>
      <c r="C18" s="1268"/>
      <c r="D18" s="1268"/>
      <c r="E18" s="2186"/>
      <c r="F18" s="1268"/>
      <c r="G18" s="1268"/>
      <c r="H18" s="1268"/>
      <c r="I18" s="1268"/>
      <c r="J18" s="1268"/>
      <c r="K18" s="1268"/>
      <c r="L18" s="1271"/>
      <c r="M18" s="1246"/>
      <c r="N18" s="1246"/>
      <c r="O18" s="453"/>
      <c r="P18" s="315"/>
      <c r="Q18" s="1269"/>
      <c r="R18" s="315"/>
      <c r="S18" s="1247"/>
      <c r="T18" s="1250" t="s">
        <v>415</v>
      </c>
      <c r="U18" s="1249"/>
      <c r="V18" s="1249"/>
      <c r="W18" s="1249"/>
      <c r="X18" s="1249"/>
      <c r="Y18" s="1249"/>
      <c r="Z18" s="1249"/>
      <c r="AA18" s="1249"/>
      <c r="AB18" s="1249"/>
      <c r="AC18" s="1249"/>
      <c r="AD18" s="1249"/>
      <c r="AE18" s="1249"/>
      <c r="AF18" s="1249"/>
      <c r="AG18" s="1249"/>
      <c r="AH18" s="1249"/>
      <c r="AI18" s="1249"/>
      <c r="AJ18" s="1249"/>
      <c r="AK18" s="1249"/>
      <c r="AL18" s="1249"/>
      <c r="AM18" s="1249"/>
      <c r="AN18" s="1249"/>
      <c r="AO18" s="1249"/>
      <c r="AP18" s="1249"/>
      <c r="AQ18" s="1249"/>
      <c r="AR18" s="1249"/>
      <c r="AS18" s="1249"/>
      <c r="AT18" s="1249"/>
      <c r="AU18" s="1249"/>
      <c r="AV18" s="1249"/>
      <c r="AW18" s="1249"/>
      <c r="AX18" s="1249"/>
      <c r="AY18" s="1249"/>
      <c r="AZ18" s="1249"/>
      <c r="BA18" s="1249"/>
      <c r="BB18" s="1249"/>
      <c r="BC18" s="1249"/>
      <c r="BE18" s="435"/>
      <c r="BF18" s="435" t="str">
        <f t="shared" si="1"/>
        <v>Добавить территорию для дифференциации</v>
      </c>
      <c r="BG18" s="435"/>
      <c r="BH18" s="435"/>
      <c r="BI18" s="446">
        <v>0</v>
      </c>
    </row>
    <row r="19" spans="1:61" ht="14.25" hidden="1" customHeight="1">
      <c r="AC19" s="263"/>
      <c r="BA19" s="263"/>
      <c r="BI19" s="1080">
        <v>0</v>
      </c>
    </row>
    <row r="20" spans="1:61" ht="14.25" hidden="1" customHeight="1">
      <c r="AD20" s="1249" t="s">
        <v>19</v>
      </c>
      <c r="AE20" s="1426"/>
      <c r="AF20" s="483">
        <v>1</v>
      </c>
      <c r="AG20" s="1427"/>
      <c r="AH20" s="1249" t="s">
        <v>19</v>
      </c>
      <c r="AI20" s="1426"/>
      <c r="AJ20" s="483">
        <v>1</v>
      </c>
      <c r="AK20" s="1427"/>
      <c r="AL20" s="1249" t="s">
        <v>19</v>
      </c>
      <c r="AM20" s="1428"/>
      <c r="AN20" s="483">
        <v>1</v>
      </c>
      <c r="AO20" s="1429"/>
      <c r="AP20" s="1249" t="s">
        <v>19</v>
      </c>
      <c r="AQ20" s="1428"/>
      <c r="AR20" s="483">
        <v>1</v>
      </c>
      <c r="AS20" s="1429"/>
      <c r="AT20" s="261"/>
      <c r="AU20" s="319"/>
      <c r="AV20" s="261"/>
      <c r="AW20" s="319"/>
      <c r="AX20" s="1661"/>
      <c r="AY20" s="1410" t="s">
        <v>66</v>
      </c>
      <c r="AZ20" s="1661"/>
      <c r="BA20" s="1410" t="s">
        <v>66</v>
      </c>
      <c r="BI20" s="1080">
        <v>0</v>
      </c>
    </row>
    <row r="21" spans="1:61" ht="14.25" hidden="1" customHeight="1">
      <c r="BD21" s="431"/>
      <c r="BE21" s="431"/>
      <c r="BF21" s="431"/>
      <c r="BG21" s="431"/>
      <c r="BH21" s="431"/>
      <c r="BI21" s="1080">
        <v>0</v>
      </c>
    </row>
    <row r="22" spans="1:61" ht="14.25" hidden="1" customHeight="1">
      <c r="O22" s="1292" t="s">
        <v>416</v>
      </c>
      <c r="Z22" s="1270"/>
      <c r="AB22" s="1270"/>
      <c r="AC22" s="263"/>
      <c r="AX22" s="1270"/>
      <c r="AZ22" s="1270"/>
      <c r="BA22" s="263"/>
      <c r="BD22" s="431"/>
      <c r="BE22" s="431"/>
      <c r="BF22" s="431"/>
      <c r="BG22" s="431"/>
      <c r="BH22" s="431"/>
      <c r="BI22" s="1080">
        <v>0</v>
      </c>
    </row>
    <row r="23" spans="1:61" ht="14.25" hidden="1" customHeight="1">
      <c r="AC23" s="263"/>
      <c r="BA23" s="263"/>
      <c r="BD23" s="431"/>
      <c r="BE23" s="431"/>
      <c r="BF23" s="431"/>
      <c r="BG23" s="431"/>
      <c r="BH23" s="431"/>
      <c r="BI23" s="1080">
        <v>0</v>
      </c>
    </row>
    <row r="24" spans="1:61" s="1434" customFormat="1" ht="14.25" hidden="1" customHeight="1">
      <c r="M24" s="1433"/>
      <c r="N24" s="1433"/>
      <c r="O24" s="1434" t="s">
        <v>417</v>
      </c>
      <c r="P24" s="1433"/>
      <c r="Q24" s="1435"/>
      <c r="R24" s="1435"/>
      <c r="AA24" s="1432" t="s">
        <v>419</v>
      </c>
      <c r="AC24" s="1432" t="s">
        <v>420</v>
      </c>
      <c r="AD24" s="1432" t="s">
        <v>468</v>
      </c>
      <c r="AH24" s="1432" t="s">
        <v>468</v>
      </c>
      <c r="AK24" s="1432" t="s">
        <v>505</v>
      </c>
      <c r="AL24" s="1432" t="s">
        <v>468</v>
      </c>
      <c r="AP24" s="1432" t="s">
        <v>468</v>
      </c>
      <c r="AY24" s="1432" t="s">
        <v>419</v>
      </c>
      <c r="BA24" s="1432" t="s">
        <v>420</v>
      </c>
      <c r="BD24" s="1436"/>
      <c r="BE24" s="1436"/>
      <c r="BF24" s="1436"/>
      <c r="BG24" s="1436"/>
      <c r="BH24" s="1436"/>
      <c r="BI24" s="1432">
        <v>0</v>
      </c>
    </row>
    <row r="25" spans="1:61" ht="14.25" hidden="1" customHeight="1">
      <c r="O25" s="1289"/>
      <c r="BD25" s="431"/>
      <c r="BE25" s="431"/>
      <c r="BF25" s="431"/>
      <c r="BG25" s="431"/>
      <c r="BH25" s="431"/>
      <c r="BI25" s="1080">
        <v>0</v>
      </c>
    </row>
    <row r="26" spans="1:61" ht="14.25" hidden="1" customHeight="1">
      <c r="O26" s="1289"/>
      <c r="BD26" s="431"/>
      <c r="BE26" s="431"/>
      <c r="BF26" s="431"/>
      <c r="BG26" s="431"/>
      <c r="BH26" s="431"/>
      <c r="BI26" s="1080">
        <v>0</v>
      </c>
    </row>
    <row r="27" spans="1:61" ht="14.65" customHeight="1">
      <c r="Q27" s="227"/>
      <c r="R27" s="311"/>
      <c r="S27" s="1200"/>
      <c r="T27" s="298"/>
      <c r="U27" s="298"/>
      <c r="V27" s="444"/>
      <c r="W27" s="444"/>
      <c r="X27" s="444"/>
      <c r="Y27" s="444"/>
      <c r="Z27" s="444"/>
      <c r="AA27" s="444"/>
      <c r="AB27" s="444"/>
      <c r="AC27" s="444"/>
      <c r="AD27" s="444"/>
      <c r="AE27" s="444"/>
      <c r="AF27" s="444"/>
      <c r="AG27" s="444"/>
      <c r="AH27" s="444"/>
      <c r="AI27" s="444"/>
      <c r="AJ27" s="444"/>
      <c r="AK27" s="444"/>
      <c r="AL27" s="444"/>
      <c r="AM27" s="444"/>
      <c r="AN27" s="444"/>
      <c r="AO27" s="444"/>
      <c r="AP27" s="444"/>
      <c r="AQ27" s="444"/>
      <c r="AR27" s="444"/>
      <c r="AS27" s="444"/>
      <c r="AT27" s="444"/>
      <c r="AU27" s="444"/>
      <c r="AV27" s="444"/>
      <c r="AW27" s="444"/>
      <c r="AX27" s="444"/>
      <c r="AY27" s="444"/>
      <c r="AZ27" s="444"/>
      <c r="BA27" s="444"/>
      <c r="BI27" s="1080">
        <v>14</v>
      </c>
    </row>
    <row r="28" spans="1:61" ht="14.65" customHeight="1">
      <c r="Q28" s="227"/>
      <c r="R28" s="311"/>
      <c r="S28" s="2170" t="str">
        <f>IF(TEMPLATE_GROUP="P",PT_P_FORM_VOTV_5_NAME_FORM,PT_R_FORM_VOTV_17_NAME_FORM)</f>
        <v>Форма 14. Информация о предложении организации водоотведения расчетной величины тарифов на подключение к централизованной системе водоотведения</v>
      </c>
      <c r="T28" s="2170"/>
      <c r="U28" s="2170"/>
      <c r="V28" s="2170"/>
      <c r="W28" s="2170"/>
      <c r="X28" s="2170"/>
      <c r="Y28" s="2170"/>
      <c r="Z28" s="2170"/>
      <c r="AA28" s="2170"/>
      <c r="AB28" s="2170"/>
      <c r="AC28" s="2170"/>
      <c r="AD28" s="2170"/>
      <c r="AE28" s="2170"/>
      <c r="AF28" s="2170"/>
      <c r="AG28" s="2170"/>
      <c r="AH28" s="2170"/>
      <c r="AI28" s="2170"/>
      <c r="AJ28" s="2170"/>
      <c r="AK28" s="2170"/>
      <c r="AL28" s="2170"/>
      <c r="AM28" s="2170"/>
      <c r="AN28" s="2170"/>
      <c r="AO28" s="2170"/>
      <c r="AP28" s="2170"/>
      <c r="AQ28" s="2170"/>
      <c r="AR28" s="2170"/>
      <c r="AS28" s="2170"/>
      <c r="AT28" s="2170"/>
      <c r="AU28" s="2170"/>
      <c r="AV28" s="2170"/>
      <c r="AW28" s="2170"/>
      <c r="AX28" s="2170"/>
      <c r="AY28" s="2170"/>
      <c r="AZ28" s="2170"/>
      <c r="BA28" s="1168"/>
      <c r="BI28" s="1080">
        <v>14</v>
      </c>
    </row>
    <row r="29" spans="1:61" ht="14.65" customHeight="1">
      <c r="Q29" s="227"/>
      <c r="R29" s="311"/>
      <c r="S29" s="2115" t="str">
        <f>IF(org=0,"Не определено",org)</f>
        <v>ООО "ЗЕНИТ ЭНЕРГО"</v>
      </c>
      <c r="T29" s="2115"/>
      <c r="U29" s="2115"/>
      <c r="V29" s="2115"/>
      <c r="W29" s="2115"/>
      <c r="X29" s="2115"/>
      <c r="Y29" s="2115"/>
      <c r="Z29" s="2115"/>
      <c r="AA29" s="2115"/>
      <c r="AB29" s="2115"/>
      <c r="AC29" s="2115"/>
      <c r="AD29" s="2115"/>
      <c r="AE29" s="2115"/>
      <c r="AF29" s="2115"/>
      <c r="AG29" s="2115"/>
      <c r="AH29" s="2115"/>
      <c r="AI29" s="2115"/>
      <c r="AJ29" s="2115"/>
      <c r="AK29" s="2115"/>
      <c r="AL29" s="2115"/>
      <c r="AM29" s="2115"/>
      <c r="AN29" s="2115"/>
      <c r="AO29" s="2115"/>
      <c r="AP29" s="2115"/>
      <c r="AQ29" s="2115"/>
      <c r="AR29" s="2115"/>
      <c r="AS29" s="2115"/>
      <c r="AT29" s="2115"/>
      <c r="AU29" s="2115"/>
      <c r="AV29" s="2115"/>
      <c r="AW29" s="2115"/>
      <c r="AX29" s="2115"/>
      <c r="AY29" s="2115"/>
      <c r="AZ29" s="2115"/>
      <c r="BA29" s="1168"/>
      <c r="BI29" s="1080">
        <v>14</v>
      </c>
    </row>
    <row r="30" spans="1:61" ht="14.25" hidden="1" customHeight="1">
      <c r="Q30" s="227"/>
      <c r="R30" s="311"/>
      <c r="S30" s="1200"/>
      <c r="T30" s="298"/>
      <c r="U30" s="298"/>
      <c r="V30" s="258"/>
      <c r="W30" s="258"/>
      <c r="X30" s="258"/>
      <c r="Y30" s="258"/>
      <c r="Z30" s="258"/>
      <c r="AA30" s="258"/>
      <c r="AB30" s="258"/>
      <c r="AC30" s="258"/>
      <c r="AD30" s="258"/>
      <c r="AE30" s="258"/>
      <c r="AF30" s="258"/>
      <c r="AG30" s="258"/>
      <c r="AH30" s="258"/>
      <c r="AI30" s="258"/>
      <c r="AJ30" s="258"/>
      <c r="AK30" s="258"/>
      <c r="AL30" s="258"/>
      <c r="AM30" s="258"/>
      <c r="AN30" s="258"/>
      <c r="AO30" s="258"/>
      <c r="AP30" s="258"/>
      <c r="AQ30" s="258"/>
      <c r="AR30" s="258"/>
      <c r="AS30" s="258"/>
      <c r="AT30" s="258"/>
      <c r="AU30" s="258"/>
      <c r="AV30" s="258"/>
      <c r="AW30" s="258"/>
      <c r="AX30" s="258"/>
      <c r="AY30" s="258"/>
      <c r="AZ30" s="258"/>
      <c r="BA30" s="258"/>
      <c r="BB30" s="444"/>
      <c r="BI30" s="1080">
        <v>0</v>
      </c>
    </row>
    <row r="31" spans="1:61" s="1777" customFormat="1" ht="25.5" hidden="1" customHeight="1">
      <c r="A31" s="1293"/>
      <c r="B31" s="1293"/>
      <c r="C31" s="1293"/>
      <c r="D31" s="1293"/>
      <c r="E31" s="1293"/>
      <c r="F31" s="1293"/>
      <c r="G31" s="1293"/>
      <c r="H31" s="1293"/>
      <c r="I31" s="1293"/>
      <c r="J31" s="1293"/>
      <c r="K31" s="1293"/>
      <c r="L31" s="1294"/>
      <c r="M31" s="1293"/>
      <c r="N31" s="1293"/>
      <c r="O31" s="1293"/>
      <c r="P31" s="1293"/>
      <c r="Q31" s="1293"/>
      <c r="S31" s="2178" t="s">
        <v>42</v>
      </c>
      <c r="T31" s="2178"/>
      <c r="U31" s="1297"/>
      <c r="V31" s="2179" t="str">
        <f>IF(TITLE_NAME_OR_PR_CHANGE="",IF(TITLE_NAME_OR_PR="","",TITLE_NAME_OR_PR),TITLE_NAME_OR_PR_CHANGE)</f>
        <v/>
      </c>
      <c r="W31" s="2179"/>
      <c r="X31" s="2179"/>
      <c r="Y31" s="2179"/>
      <c r="Z31" s="2179"/>
      <c r="AA31" s="2179"/>
      <c r="AB31" s="2179"/>
      <c r="AC31" s="262"/>
      <c r="AD31" s="2179" t="str">
        <f>IF(TITLE_NAME_OR_PR_CHANGE="",IF(TITLE_NAME_OR_PR="","",TITLE_NAME_OR_PR),TITLE_NAME_OR_PR_CHANGE)</f>
        <v/>
      </c>
      <c r="AE31" s="2179"/>
      <c r="AF31" s="2179"/>
      <c r="AG31" s="2179"/>
      <c r="AH31" s="2179"/>
      <c r="AI31" s="2179"/>
      <c r="AJ31" s="2179"/>
      <c r="AK31" s="2179"/>
      <c r="AL31" s="2179"/>
      <c r="AM31" s="2179"/>
      <c r="AN31" s="2179"/>
      <c r="AO31" s="2179"/>
      <c r="AP31" s="2179"/>
      <c r="AQ31" s="2179"/>
      <c r="AR31" s="2179"/>
      <c r="AS31" s="2179"/>
      <c r="AT31" s="2179"/>
      <c r="AU31" s="2179"/>
      <c r="AV31" s="2179"/>
      <c r="AW31" s="2179"/>
      <c r="AX31" s="2179"/>
      <c r="AY31" s="2179"/>
      <c r="AZ31" s="2179"/>
      <c r="BA31" s="262"/>
      <c r="BB31" s="262"/>
      <c r="BC31" s="216"/>
      <c r="BD31" s="303"/>
      <c r="BE31" s="303"/>
      <c r="BF31" s="303"/>
      <c r="BG31" s="303"/>
      <c r="BH31" s="303"/>
      <c r="BI31" s="353">
        <v>0</v>
      </c>
    </row>
    <row r="32" spans="1:61" s="1777" customFormat="1" ht="18.75" hidden="1" customHeight="1">
      <c r="A32" s="1293"/>
      <c r="B32" s="1293"/>
      <c r="C32" s="1293"/>
      <c r="D32" s="1293"/>
      <c r="E32" s="1293"/>
      <c r="F32" s="1293"/>
      <c r="G32" s="1293"/>
      <c r="H32" s="1293"/>
      <c r="I32" s="1293"/>
      <c r="J32" s="1293"/>
      <c r="K32" s="1293"/>
      <c r="L32" s="1294"/>
      <c r="M32" s="1293"/>
      <c r="N32" s="1293"/>
      <c r="O32" s="1293"/>
      <c r="P32" s="1293"/>
      <c r="Q32" s="1293"/>
      <c r="S32" s="2178" t="s">
        <v>422</v>
      </c>
      <c r="T32" s="2178"/>
      <c r="U32" s="1297"/>
      <c r="V32" s="2188" t="str">
        <f>IF(TITLE_DATE_PR_CHANGE="",IF(TITLE_DATE_PR="","",TITLE_DATE_PR),TITLE_DATE_PR_CHANGE)</f>
        <v/>
      </c>
      <c r="W32" s="2188"/>
      <c r="X32" s="2188"/>
      <c r="Y32" s="2188"/>
      <c r="Z32" s="2188"/>
      <c r="AA32" s="2188"/>
      <c r="AB32" s="2188"/>
      <c r="AC32" s="262"/>
      <c r="AD32" s="2188" t="str">
        <f>IF(TITLE_DATE_PR_CHANGE="",IF(TITLE_DATE_PR="","",TITLE_DATE_PR),TITLE_DATE_PR_CHANGE)</f>
        <v/>
      </c>
      <c r="AE32" s="2188"/>
      <c r="AF32" s="2188"/>
      <c r="AG32" s="2188"/>
      <c r="AH32" s="2188"/>
      <c r="AI32" s="2188"/>
      <c r="AJ32" s="2188"/>
      <c r="AK32" s="2188"/>
      <c r="AL32" s="2188"/>
      <c r="AM32" s="2188"/>
      <c r="AN32" s="2188"/>
      <c r="AO32" s="2188"/>
      <c r="AP32" s="2188"/>
      <c r="AQ32" s="2188"/>
      <c r="AR32" s="2188"/>
      <c r="AS32" s="2188"/>
      <c r="AT32" s="2188"/>
      <c r="AU32" s="2188"/>
      <c r="AV32" s="2188"/>
      <c r="AW32" s="2188"/>
      <c r="AX32" s="2188"/>
      <c r="AY32" s="2188"/>
      <c r="AZ32" s="2188"/>
      <c r="BA32" s="262"/>
      <c r="BB32" s="262"/>
      <c r="BC32" s="216"/>
      <c r="BD32" s="303"/>
      <c r="BE32" s="303"/>
      <c r="BF32" s="303"/>
      <c r="BG32" s="303"/>
      <c r="BH32" s="303"/>
      <c r="BI32" s="353">
        <v>0</v>
      </c>
    </row>
    <row r="33" spans="1:61" s="1777" customFormat="1" ht="18.75" hidden="1" customHeight="1">
      <c r="A33" s="1293"/>
      <c r="B33" s="1293"/>
      <c r="C33" s="1293"/>
      <c r="D33" s="1293"/>
      <c r="E33" s="1293"/>
      <c r="F33" s="1293"/>
      <c r="G33" s="1293"/>
      <c r="H33" s="1293"/>
      <c r="I33" s="1293"/>
      <c r="J33" s="1293"/>
      <c r="K33" s="1293"/>
      <c r="L33" s="1294"/>
      <c r="M33" s="1293"/>
      <c r="N33" s="1293"/>
      <c r="O33" s="1293"/>
      <c r="P33" s="1293"/>
      <c r="Q33" s="1293"/>
      <c r="S33" s="2178" t="s">
        <v>423</v>
      </c>
      <c r="T33" s="2178"/>
      <c r="U33" s="1297"/>
      <c r="V33" s="2179" t="str">
        <f>IF(TITLE_NUMBER_PR_CHANGE="",IF(TITLE_NUMBER_PR="","",TITLE_NUMBER_PR),TITLE_NUMBER_PR_CHANGE)</f>
        <v/>
      </c>
      <c r="W33" s="2179"/>
      <c r="X33" s="2179"/>
      <c r="Y33" s="2179"/>
      <c r="Z33" s="2179"/>
      <c r="AA33" s="2179"/>
      <c r="AB33" s="2179"/>
      <c r="AC33" s="262"/>
      <c r="AD33" s="2179" t="str">
        <f>IF(TITLE_NUMBER_PR_CHANGE="",IF(TITLE_NUMBER_PR="","",TITLE_NUMBER_PR),TITLE_NUMBER_PR_CHANGE)</f>
        <v/>
      </c>
      <c r="AE33" s="2179"/>
      <c r="AF33" s="2179"/>
      <c r="AG33" s="2179"/>
      <c r="AH33" s="2179"/>
      <c r="AI33" s="2179"/>
      <c r="AJ33" s="2179"/>
      <c r="AK33" s="2179"/>
      <c r="AL33" s="2179"/>
      <c r="AM33" s="2179"/>
      <c r="AN33" s="2179"/>
      <c r="AO33" s="2179"/>
      <c r="AP33" s="2179"/>
      <c r="AQ33" s="2179"/>
      <c r="AR33" s="2179"/>
      <c r="AS33" s="2179"/>
      <c r="AT33" s="2179"/>
      <c r="AU33" s="2179"/>
      <c r="AV33" s="2179"/>
      <c r="AW33" s="2179"/>
      <c r="AX33" s="2179"/>
      <c r="AY33" s="2179"/>
      <c r="AZ33" s="2179"/>
      <c r="BA33" s="262"/>
      <c r="BB33" s="262"/>
      <c r="BC33" s="216"/>
      <c r="BD33" s="303"/>
      <c r="BE33" s="303"/>
      <c r="BF33" s="303"/>
      <c r="BG33" s="303"/>
      <c r="BH33" s="303"/>
      <c r="BI33" s="353">
        <v>0</v>
      </c>
    </row>
    <row r="34" spans="1:61" s="1777" customFormat="1" ht="18.75" hidden="1" customHeight="1">
      <c r="A34" s="1293"/>
      <c r="B34" s="1293"/>
      <c r="C34" s="1293"/>
      <c r="D34" s="1293"/>
      <c r="E34" s="1293"/>
      <c r="F34" s="1293"/>
      <c r="G34" s="1293"/>
      <c r="H34" s="1293"/>
      <c r="I34" s="1293"/>
      <c r="J34" s="1293"/>
      <c r="K34" s="1293"/>
      <c r="L34" s="1294"/>
      <c r="M34" s="1293"/>
      <c r="N34" s="1293"/>
      <c r="O34" s="1293"/>
      <c r="P34" s="1293"/>
      <c r="Q34" s="1293"/>
      <c r="S34" s="2178" t="s">
        <v>43</v>
      </c>
      <c r="T34" s="2178"/>
      <c r="U34" s="1297"/>
      <c r="V34" s="2179" t="str">
        <f>IF(TITLE_IST_PUB_CHANGE="",IF(TITLE_IST_PUB="","",TITLE_IST_PUB),TITLE_IST_PUB_CHANGE)</f>
        <v/>
      </c>
      <c r="W34" s="2179"/>
      <c r="X34" s="2179"/>
      <c r="Y34" s="2179"/>
      <c r="Z34" s="2179"/>
      <c r="AA34" s="2179"/>
      <c r="AB34" s="2179"/>
      <c r="AC34" s="262"/>
      <c r="AD34" s="2179" t="str">
        <f>IF(TITLE_IST_PUB_CHANGE="",IF(TITLE_IST_PUB="","",TITLE_IST_PUB),TITLE_IST_PUB_CHANGE)</f>
        <v/>
      </c>
      <c r="AE34" s="2179"/>
      <c r="AF34" s="2179"/>
      <c r="AG34" s="2179"/>
      <c r="AH34" s="2179"/>
      <c r="AI34" s="2179"/>
      <c r="AJ34" s="2179"/>
      <c r="AK34" s="2179"/>
      <c r="AL34" s="2179"/>
      <c r="AM34" s="2179"/>
      <c r="AN34" s="2179"/>
      <c r="AO34" s="2179"/>
      <c r="AP34" s="2179"/>
      <c r="AQ34" s="2179"/>
      <c r="AR34" s="2179"/>
      <c r="AS34" s="2179"/>
      <c r="AT34" s="2179"/>
      <c r="AU34" s="2179"/>
      <c r="AV34" s="2179"/>
      <c r="AW34" s="2179"/>
      <c r="AX34" s="2179"/>
      <c r="AY34" s="2179"/>
      <c r="AZ34" s="2179"/>
      <c r="BA34" s="262"/>
      <c r="BB34" s="262"/>
      <c r="BC34" s="216"/>
      <c r="BD34" s="303"/>
      <c r="BE34" s="303"/>
      <c r="BF34" s="303"/>
      <c r="BG34" s="303"/>
      <c r="BH34" s="303"/>
      <c r="BI34" s="353">
        <v>0</v>
      </c>
    </row>
    <row r="35" spans="1:61" ht="14.25" hidden="1" customHeight="1">
      <c r="Q35" s="227"/>
      <c r="R35" s="311"/>
      <c r="S35" s="1200"/>
      <c r="T35" s="298"/>
      <c r="U35" s="298"/>
      <c r="V35" s="258"/>
      <c r="W35" s="258"/>
      <c r="X35" s="258"/>
      <c r="Y35" s="258"/>
      <c r="Z35" s="258"/>
      <c r="AA35" s="258"/>
      <c r="AB35" s="258"/>
      <c r="AC35" s="258"/>
      <c r="AD35" s="258"/>
      <c r="AE35" s="258"/>
      <c r="AF35" s="258"/>
      <c r="AG35" s="258"/>
      <c r="AH35" s="258"/>
      <c r="AI35" s="258"/>
      <c r="AJ35" s="258"/>
      <c r="AK35" s="258"/>
      <c r="AL35" s="258"/>
      <c r="AM35" s="258"/>
      <c r="AN35" s="258"/>
      <c r="AO35" s="258"/>
      <c r="AP35" s="258"/>
      <c r="AQ35" s="258"/>
      <c r="AR35" s="258"/>
      <c r="AS35" s="258"/>
      <c r="AT35" s="258"/>
      <c r="AU35" s="258"/>
      <c r="AV35" s="258"/>
      <c r="AW35" s="258"/>
      <c r="AX35" s="258"/>
      <c r="AY35" s="258"/>
      <c r="AZ35" s="258"/>
      <c r="BA35" s="258"/>
      <c r="BB35" s="444"/>
      <c r="BI35" s="1080">
        <v>0</v>
      </c>
    </row>
    <row r="36" spans="1:61" s="1777" customFormat="1" ht="18.75" hidden="1" customHeight="1">
      <c r="A36" s="1293"/>
      <c r="B36" s="1293"/>
      <c r="C36" s="1293"/>
      <c r="D36" s="1293"/>
      <c r="E36" s="1293"/>
      <c r="F36" s="1293"/>
      <c r="G36" s="1293"/>
      <c r="H36" s="1293"/>
      <c r="I36" s="1293"/>
      <c r="J36" s="1293"/>
      <c r="K36" s="1293"/>
      <c r="L36" s="1294"/>
      <c r="M36" s="1293"/>
      <c r="N36" s="1293"/>
      <c r="O36" s="1293"/>
      <c r="P36" s="1293"/>
      <c r="Q36" s="1293"/>
      <c r="S36" s="2178" t="s">
        <v>422</v>
      </c>
      <c r="T36" s="2178"/>
      <c r="U36" s="1297"/>
      <c r="V36" s="2188" t="str">
        <f>IF(TITLE_DATE_PR_CHANGE="",IF(TITLE_DATE_PR="","",TITLE_DATE_PR),TITLE_DATE_PR_CHANGE)</f>
        <v/>
      </c>
      <c r="W36" s="2188"/>
      <c r="X36" s="2188"/>
      <c r="Y36" s="2188"/>
      <c r="Z36" s="2188"/>
      <c r="AA36" s="2188"/>
      <c r="AB36" s="2188"/>
      <c r="AC36" s="262"/>
      <c r="AD36" s="2188" t="str">
        <f>IF(TITLE_DATE_PR_CHANGE="",IF(TITLE_DATE_PR="","",TITLE_DATE_PR),TITLE_DATE_PR_CHANGE)</f>
        <v/>
      </c>
      <c r="AE36" s="2188"/>
      <c r="AF36" s="2188"/>
      <c r="AG36" s="2188"/>
      <c r="AH36" s="2188"/>
      <c r="AI36" s="2188"/>
      <c r="AJ36" s="2188"/>
      <c r="AK36" s="2188"/>
      <c r="AL36" s="2188"/>
      <c r="AM36" s="2188"/>
      <c r="AN36" s="2188"/>
      <c r="AO36" s="2188"/>
      <c r="AP36" s="2188"/>
      <c r="AQ36" s="2188"/>
      <c r="AR36" s="2188"/>
      <c r="AS36" s="2188"/>
      <c r="AT36" s="2188"/>
      <c r="AU36" s="2188"/>
      <c r="AV36" s="2188"/>
      <c r="AW36" s="2188"/>
      <c r="AX36" s="2188"/>
      <c r="AY36" s="2188"/>
      <c r="AZ36" s="2188"/>
      <c r="BA36" s="262"/>
      <c r="BB36" s="262"/>
      <c r="BC36" s="216"/>
      <c r="BD36" s="303"/>
      <c r="BE36" s="303"/>
      <c r="BF36" s="303"/>
      <c r="BG36" s="303"/>
      <c r="BH36" s="303"/>
      <c r="BI36" s="353">
        <v>0</v>
      </c>
    </row>
    <row r="37" spans="1:61" s="1777" customFormat="1" ht="18.75" hidden="1" customHeight="1">
      <c r="A37" s="1293"/>
      <c r="B37" s="1293"/>
      <c r="C37" s="1293"/>
      <c r="D37" s="1293"/>
      <c r="E37" s="1293"/>
      <c r="F37" s="1293"/>
      <c r="G37" s="1293"/>
      <c r="H37" s="1293"/>
      <c r="I37" s="1293"/>
      <c r="J37" s="1293"/>
      <c r="K37" s="1293"/>
      <c r="L37" s="1294"/>
      <c r="M37" s="1293"/>
      <c r="N37" s="1293"/>
      <c r="O37" s="1293"/>
      <c r="P37" s="1293"/>
      <c r="Q37" s="1293"/>
      <c r="S37" s="2178" t="s">
        <v>423</v>
      </c>
      <c r="T37" s="2178"/>
      <c r="U37" s="1297"/>
      <c r="V37" s="2179" t="str">
        <f>IF(TITLE_NUMBER_PR_CHANGE="",IF(TITLE_NUMBER_PR="","",TITLE_NUMBER_PR),TITLE_NUMBER_PR_CHANGE)</f>
        <v/>
      </c>
      <c r="W37" s="2179"/>
      <c r="X37" s="2179"/>
      <c r="Y37" s="2179"/>
      <c r="Z37" s="2179"/>
      <c r="AA37" s="2179"/>
      <c r="AB37" s="2179"/>
      <c r="AC37" s="262"/>
      <c r="AD37" s="2179" t="str">
        <f>IF(TITLE_NUMBER_PR_CHANGE="",IF(TITLE_NUMBER_PR="","",TITLE_NUMBER_PR),TITLE_NUMBER_PR_CHANGE)</f>
        <v/>
      </c>
      <c r="AE37" s="2179"/>
      <c r="AF37" s="2179"/>
      <c r="AG37" s="2179"/>
      <c r="AH37" s="2179"/>
      <c r="AI37" s="2179"/>
      <c r="AJ37" s="2179"/>
      <c r="AK37" s="2179"/>
      <c r="AL37" s="2179"/>
      <c r="AM37" s="2179"/>
      <c r="AN37" s="2179"/>
      <c r="AO37" s="2179"/>
      <c r="AP37" s="2179"/>
      <c r="AQ37" s="2179"/>
      <c r="AR37" s="2179"/>
      <c r="AS37" s="2179"/>
      <c r="AT37" s="2179"/>
      <c r="AU37" s="2179"/>
      <c r="AV37" s="2179"/>
      <c r="AW37" s="2179"/>
      <c r="AX37" s="2179"/>
      <c r="AY37" s="2179"/>
      <c r="AZ37" s="2179"/>
      <c r="BA37" s="262"/>
      <c r="BB37" s="262"/>
      <c r="BC37" s="216"/>
      <c r="BD37" s="303"/>
      <c r="BE37" s="303"/>
      <c r="BF37" s="303"/>
      <c r="BG37" s="303"/>
      <c r="BH37" s="303"/>
      <c r="BI37" s="353">
        <v>0</v>
      </c>
    </row>
    <row r="38" spans="1:61" s="1777" customFormat="1" ht="0" hidden="1" customHeight="1">
      <c r="A38" s="1293"/>
      <c r="B38" s="1293"/>
      <c r="C38" s="1293"/>
      <c r="D38" s="1293"/>
      <c r="E38" s="1293"/>
      <c r="F38" s="1293"/>
      <c r="G38" s="1293"/>
      <c r="H38" s="1293"/>
      <c r="I38" s="1293"/>
      <c r="J38" s="1293"/>
      <c r="K38" s="1293"/>
      <c r="L38" s="1294"/>
      <c r="M38" s="1293"/>
      <c r="N38" s="1293"/>
      <c r="O38" s="1293"/>
      <c r="P38" s="1293"/>
      <c r="Q38" s="1293"/>
      <c r="S38" s="259"/>
      <c r="T38" s="259"/>
      <c r="U38" s="1413"/>
      <c r="V38" s="262"/>
      <c r="W38" s="262"/>
      <c r="X38" s="262"/>
      <c r="Y38" s="262"/>
      <c r="Z38" s="262"/>
      <c r="AA38" s="262"/>
      <c r="AB38" s="262"/>
      <c r="AC38" s="214" t="s">
        <v>426</v>
      </c>
      <c r="AD38" s="262"/>
      <c r="AE38" s="262"/>
      <c r="AF38" s="262"/>
      <c r="AG38" s="262"/>
      <c r="AH38" s="262"/>
      <c r="AI38" s="262"/>
      <c r="AJ38" s="262"/>
      <c r="AK38" s="262"/>
      <c r="AL38" s="262"/>
      <c r="AM38" s="262"/>
      <c r="AN38" s="262"/>
      <c r="AO38" s="262"/>
      <c r="AP38" s="262"/>
      <c r="AQ38" s="262"/>
      <c r="AR38" s="262"/>
      <c r="AS38" s="262"/>
      <c r="AT38" s="262"/>
      <c r="AU38" s="262"/>
      <c r="AV38" s="262"/>
      <c r="AW38" s="262"/>
      <c r="AX38" s="262"/>
      <c r="AY38" s="262"/>
      <c r="AZ38" s="262"/>
      <c r="BA38" s="214" t="s">
        <v>426</v>
      </c>
      <c r="BD38" s="303"/>
      <c r="BE38" s="303"/>
      <c r="BF38" s="303"/>
      <c r="BG38" s="303"/>
      <c r="BH38" s="303"/>
      <c r="BI38" s="353">
        <v>0</v>
      </c>
    </row>
    <row r="39" spans="1:61" ht="14.65" customHeight="1">
      <c r="Q39" s="227"/>
      <c r="R39" s="311"/>
      <c r="S39" s="1200"/>
      <c r="T39" s="298"/>
      <c r="U39" s="1169"/>
      <c r="V39" s="2180"/>
      <c r="W39" s="2180"/>
      <c r="X39" s="2180"/>
      <c r="Y39" s="2180"/>
      <c r="Z39" s="2180"/>
      <c r="AA39" s="2180"/>
      <c r="AB39" s="2180"/>
      <c r="AC39" s="2180"/>
      <c r="AD39" s="2180"/>
      <c r="AE39" s="2180"/>
      <c r="AF39" s="2180"/>
      <c r="AG39" s="2180"/>
      <c r="AH39" s="2180"/>
      <c r="AI39" s="2180"/>
      <c r="AJ39" s="2180"/>
      <c r="AK39" s="2180"/>
      <c r="AL39" s="2180"/>
      <c r="AM39" s="2180"/>
      <c r="AN39" s="2180"/>
      <c r="AO39" s="2180"/>
      <c r="AP39" s="2180"/>
      <c r="AQ39" s="2180"/>
      <c r="AR39" s="2180"/>
      <c r="AS39" s="2180"/>
      <c r="AT39" s="2180"/>
      <c r="AU39" s="2180"/>
      <c r="AV39" s="2180"/>
      <c r="AW39" s="2180"/>
      <c r="AX39" s="2180"/>
      <c r="AY39" s="2180"/>
      <c r="AZ39" s="2180"/>
      <c r="BA39" s="2180"/>
      <c r="BI39" s="1080">
        <v>14</v>
      </c>
    </row>
    <row r="40" spans="1:61" ht="14.65" customHeight="1">
      <c r="Q40" s="227"/>
      <c r="R40" s="311"/>
      <c r="S40" s="2066" t="s">
        <v>299</v>
      </c>
      <c r="T40" s="2066"/>
      <c r="U40" s="2066"/>
      <c r="V40" s="2066"/>
      <c r="W40" s="2066"/>
      <c r="X40" s="2066"/>
      <c r="Y40" s="2066"/>
      <c r="Z40" s="2066"/>
      <c r="AA40" s="2066"/>
      <c r="AB40" s="2066"/>
      <c r="AC40" s="2066"/>
      <c r="AD40" s="2066"/>
      <c r="AE40" s="2066"/>
      <c r="AF40" s="2066"/>
      <c r="AG40" s="2066"/>
      <c r="AH40" s="2066"/>
      <c r="AI40" s="2066"/>
      <c r="AJ40" s="2066"/>
      <c r="AK40" s="2066"/>
      <c r="AL40" s="2066"/>
      <c r="AM40" s="2066"/>
      <c r="AN40" s="2066"/>
      <c r="AO40" s="2066"/>
      <c r="AP40" s="2066"/>
      <c r="AQ40" s="2066"/>
      <c r="AR40" s="2066"/>
      <c r="AS40" s="2066"/>
      <c r="AT40" s="2066"/>
      <c r="AU40" s="2066"/>
      <c r="AV40" s="2066"/>
      <c r="AW40" s="2066"/>
      <c r="AX40" s="2066"/>
      <c r="AY40" s="2066"/>
      <c r="AZ40" s="2066"/>
      <c r="BA40" s="2066"/>
      <c r="BB40" s="2066"/>
      <c r="BC40" s="2066" t="s">
        <v>300</v>
      </c>
      <c r="BI40" s="1080">
        <v>14</v>
      </c>
    </row>
    <row r="41" spans="1:61" ht="14.65" customHeight="1">
      <c r="Q41" s="227"/>
      <c r="R41" s="311"/>
      <c r="S41" s="2194" t="s">
        <v>88</v>
      </c>
      <c r="T41" s="2145" t="s">
        <v>506</v>
      </c>
      <c r="U41" s="237"/>
      <c r="V41" s="2195" t="s">
        <v>428</v>
      </c>
      <c r="W41" s="2196"/>
      <c r="X41" s="2196"/>
      <c r="Y41" s="2196"/>
      <c r="Z41" s="2196"/>
      <c r="AA41" s="2196"/>
      <c r="AB41" s="2197"/>
      <c r="AC41" s="2198" t="s">
        <v>429</v>
      </c>
      <c r="AD41" s="2231" t="s">
        <v>523</v>
      </c>
      <c r="AE41" s="2212"/>
      <c r="AF41" s="2212"/>
      <c r="AG41" s="2232"/>
      <c r="AH41" s="2231" t="s">
        <v>524</v>
      </c>
      <c r="AI41" s="2212"/>
      <c r="AJ41" s="2212"/>
      <c r="AK41" s="2232"/>
      <c r="AL41" s="2231" t="s">
        <v>525</v>
      </c>
      <c r="AM41" s="2212"/>
      <c r="AN41" s="2212"/>
      <c r="AO41" s="2232"/>
      <c r="AP41" s="2231" t="s">
        <v>510</v>
      </c>
      <c r="AQ41" s="2212"/>
      <c r="AR41" s="2212"/>
      <c r="AS41" s="2232"/>
      <c r="AT41" s="2195" t="s">
        <v>428</v>
      </c>
      <c r="AU41" s="2196"/>
      <c r="AV41" s="2196"/>
      <c r="AW41" s="2196"/>
      <c r="AX41" s="2196"/>
      <c r="AY41" s="2196"/>
      <c r="AZ41" s="2197"/>
      <c r="BA41" s="2198" t="s">
        <v>429</v>
      </c>
      <c r="BB41" s="2201" t="s">
        <v>431</v>
      </c>
      <c r="BC41" s="2066"/>
      <c r="BI41" s="1080">
        <v>14</v>
      </c>
    </row>
    <row r="42" spans="1:61" ht="35.65" customHeight="1">
      <c r="Q42" s="227"/>
      <c r="R42" s="311"/>
      <c r="S42" s="2194"/>
      <c r="T42" s="2145"/>
      <c r="U42" s="959"/>
      <c r="V42" s="2131" t="s">
        <v>511</v>
      </c>
      <c r="W42" s="2132"/>
      <c r="X42" s="2131" t="s">
        <v>512</v>
      </c>
      <c r="Y42" s="2132"/>
      <c r="Z42" s="2131" t="s">
        <v>513</v>
      </c>
      <c r="AA42" s="2226"/>
      <c r="AB42" s="2132"/>
      <c r="AC42" s="2199"/>
      <c r="AD42" s="2233"/>
      <c r="AE42" s="2234"/>
      <c r="AF42" s="2234"/>
      <c r="AG42" s="2235"/>
      <c r="AH42" s="2233"/>
      <c r="AI42" s="2234"/>
      <c r="AJ42" s="2234"/>
      <c r="AK42" s="2235"/>
      <c r="AL42" s="2233"/>
      <c r="AM42" s="2234"/>
      <c r="AN42" s="2234"/>
      <c r="AO42" s="2235"/>
      <c r="AP42" s="2233"/>
      <c r="AQ42" s="2234"/>
      <c r="AR42" s="2234"/>
      <c r="AS42" s="2235"/>
      <c r="AT42" s="2131" t="s">
        <v>526</v>
      </c>
      <c r="AU42" s="2132"/>
      <c r="AV42" s="2131" t="s">
        <v>527</v>
      </c>
      <c r="AW42" s="2132"/>
      <c r="AX42" s="2131" t="s">
        <v>513</v>
      </c>
      <c r="AY42" s="2226"/>
      <c r="AZ42" s="2132"/>
      <c r="BA42" s="2199"/>
      <c r="BB42" s="2202"/>
      <c r="BC42" s="2066"/>
      <c r="BI42" s="1080">
        <v>34</v>
      </c>
    </row>
    <row r="43" spans="1:61" ht="14.65" customHeight="1">
      <c r="Q43" s="227"/>
      <c r="R43" s="311"/>
      <c r="S43" s="2194"/>
      <c r="T43" s="2145"/>
      <c r="U43" s="959"/>
      <c r="V43" s="2136"/>
      <c r="W43" s="2137"/>
      <c r="X43" s="2136"/>
      <c r="Y43" s="2137"/>
      <c r="Z43" s="2136"/>
      <c r="AA43" s="2227"/>
      <c r="AB43" s="2137"/>
      <c r="AC43" s="2199"/>
      <c r="AD43" s="2233"/>
      <c r="AE43" s="2234"/>
      <c r="AF43" s="2234"/>
      <c r="AG43" s="2235"/>
      <c r="AH43" s="2233"/>
      <c r="AI43" s="2234"/>
      <c r="AJ43" s="2234"/>
      <c r="AK43" s="2235"/>
      <c r="AL43" s="2233"/>
      <c r="AM43" s="2234"/>
      <c r="AN43" s="2234"/>
      <c r="AO43" s="2235"/>
      <c r="AP43" s="2233"/>
      <c r="AQ43" s="2234"/>
      <c r="AR43" s="2234"/>
      <c r="AS43" s="2235"/>
      <c r="AT43" s="2136"/>
      <c r="AU43" s="2137"/>
      <c r="AV43" s="2136"/>
      <c r="AW43" s="2137"/>
      <c r="AX43" s="2136"/>
      <c r="AY43" s="2227"/>
      <c r="AZ43" s="2137"/>
      <c r="BA43" s="2199"/>
      <c r="BB43" s="2202"/>
      <c r="BC43" s="2066"/>
      <c r="BI43" s="1080">
        <v>14</v>
      </c>
    </row>
    <row r="44" spans="1:61" ht="14.65" customHeight="1">
      <c r="A44" s="1295"/>
      <c r="B44" s="1295" t="s">
        <v>136</v>
      </c>
      <c r="C44" s="1295" t="s">
        <v>137</v>
      </c>
      <c r="D44" s="1295" t="s">
        <v>138</v>
      </c>
      <c r="E44" s="1289" t="s">
        <v>436</v>
      </c>
      <c r="F44" s="1289" t="s">
        <v>437</v>
      </c>
      <c r="G44" s="1289" t="s">
        <v>438</v>
      </c>
      <c r="H44" s="1289" t="s">
        <v>439</v>
      </c>
      <c r="I44" s="1289" t="s">
        <v>440</v>
      </c>
      <c r="J44" s="1289" t="s">
        <v>441</v>
      </c>
      <c r="K44" s="1289" t="s">
        <v>442</v>
      </c>
      <c r="L44" s="1289" t="s">
        <v>417</v>
      </c>
      <c r="Q44" s="227"/>
      <c r="R44" s="311"/>
      <c r="S44" s="2194"/>
      <c r="T44" s="2145"/>
      <c r="U44" s="238"/>
      <c r="V44" s="1404" t="s">
        <v>477</v>
      </c>
      <c r="W44" s="1404" t="s">
        <v>478</v>
      </c>
      <c r="X44" s="1404" t="s">
        <v>477</v>
      </c>
      <c r="Y44" s="1404" t="s">
        <v>478</v>
      </c>
      <c r="Z44" s="1414" t="s">
        <v>445</v>
      </c>
      <c r="AA44" s="2154" t="s">
        <v>446</v>
      </c>
      <c r="AB44" s="2156"/>
      <c r="AC44" s="2200"/>
      <c r="AD44" s="2236"/>
      <c r="AE44" s="2237"/>
      <c r="AF44" s="2237"/>
      <c r="AG44" s="2238"/>
      <c r="AH44" s="2236"/>
      <c r="AI44" s="2237"/>
      <c r="AJ44" s="2237"/>
      <c r="AK44" s="2238"/>
      <c r="AL44" s="2236"/>
      <c r="AM44" s="2237"/>
      <c r="AN44" s="2237"/>
      <c r="AO44" s="2238"/>
      <c r="AP44" s="2236"/>
      <c r="AQ44" s="2237"/>
      <c r="AR44" s="2237"/>
      <c r="AS44" s="2238"/>
      <c r="AT44" s="1404" t="s">
        <v>477</v>
      </c>
      <c r="AU44" s="1404" t="s">
        <v>478</v>
      </c>
      <c r="AV44" s="1404" t="s">
        <v>477</v>
      </c>
      <c r="AW44" s="1404" t="s">
        <v>478</v>
      </c>
      <c r="AX44" s="1414" t="s">
        <v>445</v>
      </c>
      <c r="AY44" s="2154" t="s">
        <v>446</v>
      </c>
      <c r="AZ44" s="2156"/>
      <c r="BA44" s="2200"/>
      <c r="BB44" s="2203"/>
      <c r="BC44" s="2066"/>
      <c r="BI44" s="1080">
        <v>14</v>
      </c>
    </row>
    <row r="45" spans="1:61" s="1566" customFormat="1" ht="11.25" hidden="1" customHeight="1">
      <c r="A45" s="1295"/>
      <c r="B45" s="1295"/>
      <c r="C45" s="1295"/>
      <c r="D45" s="1295"/>
      <c r="E45" s="1295"/>
      <c r="F45" s="1295"/>
      <c r="G45" s="1295"/>
      <c r="H45" s="1295"/>
      <c r="I45" s="1295"/>
      <c r="J45" s="1295"/>
      <c r="K45" s="1295"/>
      <c r="L45" s="1289"/>
      <c r="M45" s="1287"/>
      <c r="N45" s="1287"/>
      <c r="O45" s="1287"/>
      <c r="P45" s="445"/>
      <c r="Q45" s="1179"/>
      <c r="R45" s="1179">
        <v>1</v>
      </c>
      <c r="S45" s="1202" t="s">
        <v>109</v>
      </c>
      <c r="T45" s="1180" t="s">
        <v>110</v>
      </c>
      <c r="U45" s="1170" t="str">
        <f ca="1">OFFSET(U45,0,-1)</f>
        <v>2</v>
      </c>
      <c r="V45" s="1407">
        <f t="shared" ref="V45:AA45" ca="1" si="2">OFFSET(V45,0,-1)+1</f>
        <v>3</v>
      </c>
      <c r="W45" s="1407">
        <f t="shared" ca="1" si="2"/>
        <v>4</v>
      </c>
      <c r="X45" s="1407">
        <f t="shared" ca="1" si="2"/>
        <v>5</v>
      </c>
      <c r="Y45" s="1407">
        <f t="shared" ca="1" si="2"/>
        <v>6</v>
      </c>
      <c r="Z45" s="1407">
        <f t="shared" ca="1" si="2"/>
        <v>7</v>
      </c>
      <c r="AA45" s="2193">
        <f t="shared" ca="1" si="2"/>
        <v>8</v>
      </c>
      <c r="AB45" s="2193"/>
      <c r="AC45" s="1407">
        <f ca="1">OFFSET(AC45,0,-2)+1</f>
        <v>9</v>
      </c>
      <c r="AD45" s="1407">
        <f ca="1">OFFSET(AD45,0,-1)+1</f>
        <v>10</v>
      </c>
      <c r="AE45" s="1407"/>
      <c r="AF45" s="1407"/>
      <c r="AG45" s="1407"/>
      <c r="AH45" s="1407"/>
      <c r="AI45" s="1407"/>
      <c r="AJ45" s="1407"/>
      <c r="AK45" s="1407"/>
      <c r="AL45" s="1407"/>
      <c r="AM45" s="1407"/>
      <c r="AN45" s="1407"/>
      <c r="AO45" s="1407"/>
      <c r="AP45" s="1407"/>
      <c r="AQ45" s="1407"/>
      <c r="AR45" s="1407"/>
      <c r="AS45" s="1407"/>
      <c r="AT45" s="1407"/>
      <c r="AU45" s="1407"/>
      <c r="AV45" s="1407"/>
      <c r="AW45" s="1407">
        <f ca="1">OFFSET(AW45,0,-1)+1</f>
        <v>1</v>
      </c>
      <c r="AX45" s="1407">
        <f ca="1">OFFSET(AX45,0,-1)+1</f>
        <v>2</v>
      </c>
      <c r="AY45" s="2193">
        <f ca="1">OFFSET(AY45,0,-1)+1</f>
        <v>3</v>
      </c>
      <c r="AZ45" s="2193"/>
      <c r="BA45" s="1407">
        <f ca="1">OFFSET(BA45,0,-2)+1</f>
        <v>4</v>
      </c>
      <c r="BB45" s="1170">
        <f ca="1">OFFSET(BB45,0,-1)</f>
        <v>4</v>
      </c>
      <c r="BC45" s="1407">
        <f ca="1">OFFSET(BC45,0,-1)+1</f>
        <v>5</v>
      </c>
      <c r="BD45" s="446"/>
      <c r="BE45" s="446"/>
      <c r="BF45" s="446"/>
      <c r="BG45" s="446"/>
      <c r="BH45" s="446"/>
      <c r="BI45" s="431">
        <v>0</v>
      </c>
    </row>
    <row r="46" spans="1:61" ht="21.95" customHeight="1">
      <c r="A46" s="1288" t="s">
        <v>275</v>
      </c>
      <c r="B46" s="1288"/>
      <c r="C46" s="1288"/>
      <c r="D46" s="1288"/>
      <c r="E46" s="2186">
        <v>1</v>
      </c>
      <c r="F46" s="1288"/>
      <c r="G46" s="1288"/>
      <c r="H46" s="1288"/>
      <c r="I46" s="1288"/>
      <c r="J46" s="1288"/>
      <c r="K46" s="1288"/>
      <c r="L46" s="1289"/>
      <c r="M46" s="1290"/>
      <c r="N46" s="1290"/>
      <c r="O46" s="1290"/>
      <c r="P46" s="1334"/>
      <c r="Q46" s="802"/>
      <c r="R46" s="290"/>
      <c r="S46" s="1418">
        <f>INDEX(PT_DIFFERENTIATION_NUM_NTAR,MATCH(A46,PT_DIFFERENTIATION_NTAR_ID,0))</f>
        <v>0</v>
      </c>
      <c r="T46" s="234" t="s">
        <v>124</v>
      </c>
      <c r="U46" s="236"/>
      <c r="V46" s="2173"/>
      <c r="W46" s="2173"/>
      <c r="X46" s="2173"/>
      <c r="Y46" s="2173"/>
      <c r="Z46" s="2173"/>
      <c r="AA46" s="2173"/>
      <c r="AB46" s="2173"/>
      <c r="AC46" s="2174"/>
      <c r="AD46" s="2172" t="str">
        <f>INDEX(PT_DIFFERENTIATION_NTAR,MATCH(A46,PT_DIFFERENTIATION_NTAR_ID,0))</f>
        <v/>
      </c>
      <c r="AE46" s="2173"/>
      <c r="AF46" s="2173"/>
      <c r="AG46" s="2173"/>
      <c r="AH46" s="2173"/>
      <c r="AI46" s="2173"/>
      <c r="AJ46" s="2173"/>
      <c r="AK46" s="2173"/>
      <c r="AL46" s="2173"/>
      <c r="AM46" s="2173"/>
      <c r="AN46" s="2173"/>
      <c r="AO46" s="2173"/>
      <c r="AP46" s="2173"/>
      <c r="AQ46" s="2173"/>
      <c r="AR46" s="2173"/>
      <c r="AS46" s="2173"/>
      <c r="AT46" s="2173"/>
      <c r="AU46" s="2173"/>
      <c r="AV46" s="2173"/>
      <c r="AW46" s="2173"/>
      <c r="AX46" s="2173"/>
      <c r="AY46" s="2173"/>
      <c r="AZ46" s="2173"/>
      <c r="BA46" s="2173"/>
      <c r="BB46" s="2174"/>
      <c r="BC46" s="1183"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BE46" s="435"/>
      <c r="BF46" s="435" t="str">
        <f t="shared" ref="BF46:BF52" si="3">IF(T46="","",T46)</f>
        <v>Наименование тарифа</v>
      </c>
      <c r="BG46" s="435"/>
      <c r="BH46" s="435"/>
      <c r="BI46" s="1080">
        <v>21</v>
      </c>
    </row>
    <row r="47" spans="1:61" ht="21.95" customHeight="1">
      <c r="A47" s="1288" t="s">
        <v>275</v>
      </c>
      <c r="B47" s="1288" t="s">
        <v>276</v>
      </c>
      <c r="C47" s="1288"/>
      <c r="D47" s="1288"/>
      <c r="E47" s="2187"/>
      <c r="F47" s="2186">
        <v>1</v>
      </c>
      <c r="G47" s="1288"/>
      <c r="H47" s="1288"/>
      <c r="I47" s="1288"/>
      <c r="J47" s="1288"/>
      <c r="K47" s="1288"/>
      <c r="L47" s="1289"/>
      <c r="M47" s="1290"/>
      <c r="N47" s="1290"/>
      <c r="O47" s="1290"/>
      <c r="P47" s="1335"/>
      <c r="Q47" s="1336"/>
      <c r="R47" s="288"/>
      <c r="S47" s="1418" t="str">
        <f>INDEX(PT_DIFFERENTIATION_NUM_TER,MATCH(B47,PT_DIFFERENTIATION_TER_ID,0))</f>
        <v>.</v>
      </c>
      <c r="T47" s="244" t="s">
        <v>396</v>
      </c>
      <c r="U47" s="236"/>
      <c r="V47" s="2173"/>
      <c r="W47" s="2173"/>
      <c r="X47" s="2173"/>
      <c r="Y47" s="2173"/>
      <c r="Z47" s="2173"/>
      <c r="AA47" s="2173"/>
      <c r="AB47" s="2173"/>
      <c r="AC47" s="2174"/>
      <c r="AD47" s="2172" t="str">
        <f>INDEX(PT_DIFFERENTIATION_TER,MATCH(B47,PT_DIFFERENTIATION_TER_ID,0))</f>
        <v/>
      </c>
      <c r="AE47" s="2173"/>
      <c r="AF47" s="2173"/>
      <c r="AG47" s="2173"/>
      <c r="AH47" s="2173"/>
      <c r="AI47" s="2173"/>
      <c r="AJ47" s="2173"/>
      <c r="AK47" s="2173"/>
      <c r="AL47" s="2173"/>
      <c r="AM47" s="2173"/>
      <c r="AN47" s="2173"/>
      <c r="AO47" s="2173"/>
      <c r="AP47" s="2173"/>
      <c r="AQ47" s="2173"/>
      <c r="AR47" s="2173"/>
      <c r="AS47" s="2173"/>
      <c r="AT47" s="2173"/>
      <c r="AU47" s="2173"/>
      <c r="AV47" s="2173"/>
      <c r="AW47" s="2173"/>
      <c r="AX47" s="2173"/>
      <c r="AY47" s="2173"/>
      <c r="AZ47" s="2173"/>
      <c r="BA47" s="2173"/>
      <c r="BB47" s="2174"/>
      <c r="BC47" s="1183" t="s">
        <v>397</v>
      </c>
      <c r="BE47" s="435"/>
      <c r="BF47" s="435" t="str">
        <f t="shared" si="3"/>
        <v>Территория действия тарифа</v>
      </c>
      <c r="BG47" s="435"/>
      <c r="BH47" s="435"/>
      <c r="BI47" s="1080">
        <v>21</v>
      </c>
    </row>
    <row r="48" spans="1:61" ht="35.65" customHeight="1">
      <c r="A48" s="1288" t="s">
        <v>275</v>
      </c>
      <c r="B48" s="1288" t="s">
        <v>276</v>
      </c>
      <c r="C48" s="1288" t="s">
        <v>277</v>
      </c>
      <c r="D48" s="1288"/>
      <c r="E48" s="2187"/>
      <c r="F48" s="2187"/>
      <c r="G48" s="2186">
        <v>1</v>
      </c>
      <c r="H48" s="1288"/>
      <c r="I48" s="1288"/>
      <c r="J48" s="1288"/>
      <c r="K48" s="1288"/>
      <c r="L48" s="1289"/>
      <c r="M48" s="1290"/>
      <c r="N48" s="1290"/>
      <c r="O48" s="1290"/>
      <c r="P48" s="1337"/>
      <c r="Q48" s="1336"/>
      <c r="R48" s="288"/>
      <c r="S48" s="1418" t="str">
        <f>INDEX(PT_DIFFERENTIATION_NUM_CS,MATCH(C48,PT_DIFFERENTIATION_CS_ID,0))</f>
        <v>..</v>
      </c>
      <c r="T48" s="245" t="s">
        <v>515</v>
      </c>
      <c r="U48" s="236"/>
      <c r="V48" s="2173"/>
      <c r="W48" s="2173"/>
      <c r="X48" s="2173"/>
      <c r="Y48" s="2173"/>
      <c r="Z48" s="2173"/>
      <c r="AA48" s="2173"/>
      <c r="AB48" s="2173"/>
      <c r="AC48" s="2174"/>
      <c r="AD48" s="2172" t="str">
        <f>INDEX(PT_DIFFERENTIATION_CS,MATCH(C48,PT_DIFFERENTIATION_CS_ID,0))</f>
        <v/>
      </c>
      <c r="AE48" s="2173"/>
      <c r="AF48" s="2173"/>
      <c r="AG48" s="2173"/>
      <c r="AH48" s="2173"/>
      <c r="AI48" s="2173"/>
      <c r="AJ48" s="2173"/>
      <c r="AK48" s="2173"/>
      <c r="AL48" s="2173"/>
      <c r="AM48" s="2173"/>
      <c r="AN48" s="2173"/>
      <c r="AO48" s="2173"/>
      <c r="AP48" s="2173"/>
      <c r="AQ48" s="2173"/>
      <c r="AR48" s="2173"/>
      <c r="AS48" s="2173"/>
      <c r="AT48" s="2173"/>
      <c r="AU48" s="2173"/>
      <c r="AV48" s="2173"/>
      <c r="AW48" s="2173"/>
      <c r="AX48" s="2173"/>
      <c r="AY48" s="2173"/>
      <c r="AZ48" s="2173"/>
      <c r="BA48" s="2173"/>
      <c r="BB48" s="2174"/>
      <c r="BC48" s="1183" t="s">
        <v>516</v>
      </c>
      <c r="BE48" s="435"/>
      <c r="BF48" s="435" t="str">
        <f t="shared" si="3"/>
        <v>Наименование централизованной системы водоотведения</v>
      </c>
      <c r="BG48" s="435"/>
      <c r="BH48" s="435"/>
      <c r="BI48" s="1080">
        <v>34</v>
      </c>
    </row>
    <row r="49" spans="1:61" s="1567" customFormat="1" ht="0" hidden="1" customHeight="1">
      <c r="A49" s="1268" t="s">
        <v>275</v>
      </c>
      <c r="B49" s="1268" t="s">
        <v>276</v>
      </c>
      <c r="C49" s="1268" t="s">
        <v>277</v>
      </c>
      <c r="D49" s="1268" t="s">
        <v>528</v>
      </c>
      <c r="E49" s="2187"/>
      <c r="F49" s="2187"/>
      <c r="G49" s="2187"/>
      <c r="H49" s="2186">
        <v>1</v>
      </c>
      <c r="I49" s="1268"/>
      <c r="J49" s="1268"/>
      <c r="K49" s="1268"/>
      <c r="L49" s="1271"/>
      <c r="M49" s="1240"/>
      <c r="N49" s="1240"/>
      <c r="O49" s="1240"/>
      <c r="P49" s="1422"/>
      <c r="Q49" s="1423"/>
      <c r="R49" s="292"/>
      <c r="S49" s="970"/>
      <c r="T49" s="1424"/>
      <c r="U49" s="1309"/>
      <c r="V49" s="2216"/>
      <c r="W49" s="2216"/>
      <c r="X49" s="2216"/>
      <c r="Y49" s="2216"/>
      <c r="Z49" s="2216"/>
      <c r="AA49" s="2216"/>
      <c r="AB49" s="2216"/>
      <c r="AC49" s="2217"/>
      <c r="AD49" s="2215"/>
      <c r="AE49" s="2216"/>
      <c r="AF49" s="2216"/>
      <c r="AG49" s="2216"/>
      <c r="AH49" s="2216"/>
      <c r="AI49" s="2216"/>
      <c r="AJ49" s="2216"/>
      <c r="AK49" s="2216"/>
      <c r="AL49" s="2216"/>
      <c r="AM49" s="2216"/>
      <c r="AN49" s="2216"/>
      <c r="AO49" s="2216"/>
      <c r="AP49" s="2216"/>
      <c r="AQ49" s="2216"/>
      <c r="AR49" s="2216"/>
      <c r="AS49" s="2216"/>
      <c r="AT49" s="2216"/>
      <c r="AU49" s="2216"/>
      <c r="AV49" s="2216"/>
      <c r="AW49" s="2216"/>
      <c r="AX49" s="2216"/>
      <c r="AY49" s="2216"/>
      <c r="AZ49" s="2216"/>
      <c r="BA49" s="2216"/>
      <c r="BB49" s="2217"/>
      <c r="BC49" s="1310" t="s">
        <v>401</v>
      </c>
      <c r="BE49" s="435"/>
      <c r="BF49" s="435" t="str">
        <f t="shared" si="3"/>
        <v/>
      </c>
      <c r="BG49" s="435"/>
      <c r="BH49" s="435"/>
      <c r="BI49" s="446">
        <v>0</v>
      </c>
    </row>
    <row r="50" spans="1:61" s="1567" customFormat="1" ht="0" hidden="1" customHeight="1">
      <c r="A50" s="1268" t="s">
        <v>275</v>
      </c>
      <c r="B50" s="1268" t="s">
        <v>276</v>
      </c>
      <c r="C50" s="1268" t="s">
        <v>277</v>
      </c>
      <c r="D50" s="1268" t="s">
        <v>528</v>
      </c>
      <c r="E50" s="2187"/>
      <c r="F50" s="2187"/>
      <c r="G50" s="2187"/>
      <c r="H50" s="2187"/>
      <c r="I50" s="2184" t="str">
        <f>S49&amp;".1"</f>
        <v>.1</v>
      </c>
      <c r="J50" s="1268"/>
      <c r="K50" s="1268"/>
      <c r="L50" s="1271" t="s">
        <v>402</v>
      </c>
      <c r="M50" s="445"/>
      <c r="N50" s="445"/>
      <c r="O50" s="445"/>
      <c r="P50" s="2185">
        <v>1</v>
      </c>
      <c r="Q50" s="1406"/>
      <c r="R50" s="291"/>
      <c r="S50" s="970"/>
      <c r="T50" s="1308"/>
      <c r="U50" s="1309"/>
      <c r="V50" s="2216"/>
      <c r="W50" s="2216"/>
      <c r="X50" s="2216"/>
      <c r="Y50" s="2216"/>
      <c r="Z50" s="2216"/>
      <c r="AA50" s="2216"/>
      <c r="AB50" s="2216"/>
      <c r="AC50" s="2217"/>
      <c r="AD50" s="2215"/>
      <c r="AE50" s="2216"/>
      <c r="AF50" s="2216"/>
      <c r="AG50" s="2216"/>
      <c r="AH50" s="2216"/>
      <c r="AI50" s="2216"/>
      <c r="AJ50" s="2216"/>
      <c r="AK50" s="2216"/>
      <c r="AL50" s="2216"/>
      <c r="AM50" s="2216"/>
      <c r="AN50" s="2216"/>
      <c r="AO50" s="2216"/>
      <c r="AP50" s="2216"/>
      <c r="AQ50" s="2216"/>
      <c r="AR50" s="2216"/>
      <c r="AS50" s="2216"/>
      <c r="AT50" s="2216"/>
      <c r="AU50" s="2216"/>
      <c r="AV50" s="2216"/>
      <c r="AW50" s="2216"/>
      <c r="AX50" s="2216"/>
      <c r="AY50" s="2216"/>
      <c r="AZ50" s="2216"/>
      <c r="BA50" s="2216"/>
      <c r="BB50" s="2217"/>
      <c r="BC50" s="1310"/>
      <c r="BE50" s="435"/>
      <c r="BF50" s="435" t="str">
        <f t="shared" si="3"/>
        <v/>
      </c>
      <c r="BG50" s="435"/>
      <c r="BH50" s="435"/>
      <c r="BI50" s="446">
        <v>0</v>
      </c>
    </row>
    <row r="51" spans="1:61" s="1567" customFormat="1" ht="0" hidden="1" customHeight="1">
      <c r="A51" s="1268" t="s">
        <v>275</v>
      </c>
      <c r="B51" s="1268" t="s">
        <v>276</v>
      </c>
      <c r="C51" s="1268" t="s">
        <v>277</v>
      </c>
      <c r="D51" s="1268" t="s">
        <v>528</v>
      </c>
      <c r="E51" s="2187"/>
      <c r="F51" s="2187"/>
      <c r="G51" s="2187"/>
      <c r="H51" s="2187"/>
      <c r="I51" s="2207"/>
      <c r="J51" s="2184" t="str">
        <f>S49&amp;".1"</f>
        <v>.1</v>
      </c>
      <c r="K51" s="1268"/>
      <c r="L51" s="1271"/>
      <c r="M51" s="445"/>
      <c r="N51" s="445"/>
      <c r="O51" s="445"/>
      <c r="P51" s="2185"/>
      <c r="Q51" s="2185">
        <v>1</v>
      </c>
      <c r="R51" s="292"/>
      <c r="S51" s="970"/>
      <c r="T51" s="1324"/>
      <c r="U51" s="1309"/>
      <c r="V51" s="2216"/>
      <c r="W51" s="2216"/>
      <c r="X51" s="2216"/>
      <c r="Y51" s="2216"/>
      <c r="Z51" s="2216"/>
      <c r="AA51" s="2216"/>
      <c r="AB51" s="2216"/>
      <c r="AC51" s="2217"/>
      <c r="AD51" s="2215"/>
      <c r="AE51" s="2216"/>
      <c r="AF51" s="2216"/>
      <c r="AG51" s="2216"/>
      <c r="AH51" s="2216"/>
      <c r="AI51" s="2216"/>
      <c r="AJ51" s="2216"/>
      <c r="AK51" s="2216"/>
      <c r="AL51" s="2216"/>
      <c r="AM51" s="2216"/>
      <c r="AN51" s="2267"/>
      <c r="AO51" s="2267"/>
      <c r="AP51" s="2216"/>
      <c r="AQ51" s="2216"/>
      <c r="AR51" s="2216"/>
      <c r="AS51" s="2216"/>
      <c r="AT51" s="2216"/>
      <c r="AU51" s="2216"/>
      <c r="AV51" s="2216"/>
      <c r="AW51" s="2216"/>
      <c r="AX51" s="2216"/>
      <c r="AY51" s="2216"/>
      <c r="AZ51" s="2216"/>
      <c r="BA51" s="2216"/>
      <c r="BB51" s="2217"/>
      <c r="BC51" s="1310"/>
      <c r="BE51" s="435"/>
      <c r="BF51" s="435" t="str">
        <f t="shared" si="3"/>
        <v/>
      </c>
      <c r="BG51" s="435"/>
      <c r="BH51" s="435"/>
      <c r="BI51" s="446">
        <v>0</v>
      </c>
    </row>
    <row r="52" spans="1:61" ht="11.45" customHeight="1">
      <c r="A52" s="1288" t="s">
        <v>275</v>
      </c>
      <c r="B52" s="1288" t="s">
        <v>276</v>
      </c>
      <c r="C52" s="1288" t="s">
        <v>277</v>
      </c>
      <c r="D52" s="1288" t="s">
        <v>528</v>
      </c>
      <c r="E52" s="2187"/>
      <c r="F52" s="2187"/>
      <c r="G52" s="2187"/>
      <c r="H52" s="2187"/>
      <c r="I52" s="2207"/>
      <c r="J52" s="2207"/>
      <c r="K52" s="2184" t="str">
        <f>S48&amp;".1"</f>
        <v>...1</v>
      </c>
      <c r="L52" s="1289"/>
      <c r="P52" s="2185"/>
      <c r="Q52" s="2185"/>
      <c r="R52" s="292">
        <v>1</v>
      </c>
      <c r="S52" s="2244" t="str">
        <f>$K52</f>
        <v>...1</v>
      </c>
      <c r="T52" s="2263"/>
      <c r="U52" s="236"/>
      <c r="V52" s="686"/>
      <c r="W52" s="1182"/>
      <c r="X52" s="686"/>
      <c r="Y52" s="1182"/>
      <c r="Z52" s="1659"/>
      <c r="AA52" s="1394" t="s">
        <v>66</v>
      </c>
      <c r="AB52" s="1659"/>
      <c r="AC52" s="1394" t="s">
        <v>66</v>
      </c>
      <c r="AD52" s="2124" t="s">
        <v>66</v>
      </c>
      <c r="AE52" s="2229"/>
      <c r="AF52" s="2141">
        <v>1</v>
      </c>
      <c r="AG52" s="2266"/>
      <c r="AH52" s="2047" t="s">
        <v>66</v>
      </c>
      <c r="AI52" s="2229"/>
      <c r="AJ52" s="2141">
        <v>1</v>
      </c>
      <c r="AK52" s="2230" t="s">
        <v>22</v>
      </c>
      <c r="AL52" s="2047" t="s">
        <v>66</v>
      </c>
      <c r="AM52" s="2131"/>
      <c r="AN52" s="2141">
        <v>1</v>
      </c>
      <c r="AO52" s="2260"/>
      <c r="AP52" s="2261" t="s">
        <v>66</v>
      </c>
      <c r="AQ52" s="247"/>
      <c r="AR52" s="1411">
        <v>1</v>
      </c>
      <c r="AS52" s="1417" t="s">
        <v>22</v>
      </c>
      <c r="AT52" s="686"/>
      <c r="AU52" s="1182"/>
      <c r="AV52" s="686"/>
      <c r="AW52" s="1182"/>
      <c r="AX52" s="1659"/>
      <c r="AY52" s="1394" t="s">
        <v>66</v>
      </c>
      <c r="AZ52" s="1659"/>
      <c r="BA52" s="1394" t="s">
        <v>66</v>
      </c>
      <c r="BB52" s="1273"/>
      <c r="BC52" s="2181" t="s">
        <v>500</v>
      </c>
      <c r="BE52" s="435"/>
      <c r="BF52" s="435" t="str">
        <f t="shared" si="3"/>
        <v/>
      </c>
      <c r="BG52" s="435"/>
      <c r="BH52" s="435"/>
      <c r="BI52" s="1080">
        <v>11</v>
      </c>
    </row>
    <row r="53" spans="1:61" ht="11.45" customHeight="1">
      <c r="A53" s="1288"/>
      <c r="B53" s="1288"/>
      <c r="C53" s="1288"/>
      <c r="D53" s="1288"/>
      <c r="E53" s="2187"/>
      <c r="F53" s="2187"/>
      <c r="G53" s="2187"/>
      <c r="H53" s="2187"/>
      <c r="I53" s="2207"/>
      <c r="J53" s="2207"/>
      <c r="K53" s="2184"/>
      <c r="L53" s="1289"/>
      <c r="P53" s="2185"/>
      <c r="Q53" s="2185"/>
      <c r="R53" s="292"/>
      <c r="S53" s="2245"/>
      <c r="T53" s="2264"/>
      <c r="U53" s="236"/>
      <c r="V53" s="1318"/>
      <c r="W53" s="1421"/>
      <c r="X53" s="1318"/>
      <c r="Y53" s="1421"/>
      <c r="Z53" s="1318"/>
      <c r="AA53" s="1318"/>
      <c r="AB53" s="1318"/>
      <c r="AC53" s="1318"/>
      <c r="AD53" s="2125"/>
      <c r="AE53" s="2229"/>
      <c r="AF53" s="2141"/>
      <c r="AG53" s="2266"/>
      <c r="AH53" s="2047"/>
      <c r="AI53" s="2229"/>
      <c r="AJ53" s="2141"/>
      <c r="AK53" s="2230"/>
      <c r="AL53" s="2047"/>
      <c r="AM53" s="2136"/>
      <c r="AN53" s="2141"/>
      <c r="AO53" s="2260"/>
      <c r="AP53" s="2262"/>
      <c r="AQ53" s="252"/>
      <c r="AR53" s="351"/>
      <c r="AS53" s="351" t="s">
        <v>501</v>
      </c>
      <c r="AT53" s="1318"/>
      <c r="AU53" s="1421"/>
      <c r="AV53" s="1318"/>
      <c r="AW53" s="1421"/>
      <c r="AX53" s="1318"/>
      <c r="AY53" s="1318"/>
      <c r="AZ53" s="1318"/>
      <c r="BA53" s="1318"/>
      <c r="BB53" s="1322"/>
      <c r="BC53" s="2182"/>
      <c r="BE53" s="435"/>
      <c r="BF53" s="435"/>
      <c r="BG53" s="435"/>
      <c r="BH53" s="435"/>
      <c r="BI53" s="1080">
        <v>11</v>
      </c>
    </row>
    <row r="54" spans="1:61" ht="11.45" customHeight="1">
      <c r="A54" s="1288" t="s">
        <v>275</v>
      </c>
      <c r="B54" s="1288"/>
      <c r="C54" s="1288"/>
      <c r="D54" s="1288"/>
      <c r="E54" s="2187"/>
      <c r="F54" s="2187"/>
      <c r="G54" s="2187"/>
      <c r="H54" s="2187"/>
      <c r="I54" s="2207"/>
      <c r="J54" s="2207"/>
      <c r="K54" s="2184"/>
      <c r="L54" s="1289"/>
      <c r="P54" s="2185"/>
      <c r="Q54" s="2185"/>
      <c r="R54" s="292"/>
      <c r="S54" s="2245"/>
      <c r="T54" s="2264"/>
      <c r="U54" s="236"/>
      <c r="V54" s="1318"/>
      <c r="W54" s="1421"/>
      <c r="X54" s="1318"/>
      <c r="Y54" s="1421"/>
      <c r="Z54" s="1318"/>
      <c r="AA54" s="1318"/>
      <c r="AB54" s="1318"/>
      <c r="AC54" s="1318"/>
      <c r="AD54" s="2125"/>
      <c r="AE54" s="2229"/>
      <c r="AF54" s="2141"/>
      <c r="AG54" s="2266"/>
      <c r="AH54" s="2047"/>
      <c r="AI54" s="2229"/>
      <c r="AJ54" s="2141"/>
      <c r="AK54" s="2230"/>
      <c r="AL54" s="2047"/>
      <c r="AM54" s="252"/>
      <c r="AN54" s="1425"/>
      <c r="AO54" s="1425" t="s">
        <v>521</v>
      </c>
      <c r="AP54" s="351"/>
      <c r="AQ54" s="351"/>
      <c r="AR54" s="351"/>
      <c r="AS54" s="1318"/>
      <c r="AT54" s="1318"/>
      <c r="AU54" s="1421"/>
      <c r="AV54" s="1318"/>
      <c r="AW54" s="1421"/>
      <c r="AX54" s="1318"/>
      <c r="AY54" s="1318"/>
      <c r="AZ54" s="1318"/>
      <c r="BA54" s="1318"/>
      <c r="BB54" s="1322"/>
      <c r="BC54" s="2182"/>
      <c r="BE54" s="435"/>
      <c r="BF54" s="435"/>
      <c r="BG54" s="435"/>
      <c r="BH54" s="435"/>
      <c r="BI54" s="1080">
        <v>11</v>
      </c>
    </row>
    <row r="55" spans="1:61" ht="11.45" customHeight="1">
      <c r="A55" s="1288" t="s">
        <v>275</v>
      </c>
      <c r="B55" s="1288"/>
      <c r="C55" s="1288"/>
      <c r="D55" s="1288"/>
      <c r="E55" s="2187"/>
      <c r="F55" s="2187"/>
      <c r="G55" s="2187"/>
      <c r="H55" s="2187"/>
      <c r="I55" s="2207"/>
      <c r="J55" s="2207"/>
      <c r="K55" s="2184"/>
      <c r="L55" s="1289"/>
      <c r="P55" s="2185"/>
      <c r="Q55" s="2185"/>
      <c r="R55" s="292"/>
      <c r="S55" s="2245"/>
      <c r="T55" s="2264"/>
      <c r="U55" s="236"/>
      <c r="V55" s="1318"/>
      <c r="W55" s="1421"/>
      <c r="X55" s="1318"/>
      <c r="Y55" s="1421"/>
      <c r="Z55" s="1318"/>
      <c r="AA55" s="1318"/>
      <c r="AB55" s="1318"/>
      <c r="AC55" s="1318"/>
      <c r="AD55" s="2125"/>
      <c r="AE55" s="2229"/>
      <c r="AF55" s="2141"/>
      <c r="AG55" s="2266"/>
      <c r="AH55" s="2047"/>
      <c r="AI55" s="230"/>
      <c r="AJ55" s="350"/>
      <c r="AK55" s="249" t="s">
        <v>522</v>
      </c>
      <c r="AL55" s="1318"/>
      <c r="AM55" s="1318"/>
      <c r="AN55" s="1318"/>
      <c r="AO55" s="1318"/>
      <c r="AP55" s="1318"/>
      <c r="AQ55" s="1318"/>
      <c r="AR55" s="1318"/>
      <c r="AS55" s="1318"/>
      <c r="AT55" s="1318"/>
      <c r="AU55" s="1421"/>
      <c r="AV55" s="1318"/>
      <c r="AW55" s="1421"/>
      <c r="AX55" s="1318"/>
      <c r="AY55" s="1318"/>
      <c r="AZ55" s="1318"/>
      <c r="BA55" s="1318"/>
      <c r="BB55" s="1322"/>
      <c r="BC55" s="2182"/>
      <c r="BE55" s="435"/>
      <c r="BF55" s="435"/>
      <c r="BG55" s="435"/>
      <c r="BH55" s="435"/>
      <c r="BI55" s="1080">
        <v>11</v>
      </c>
    </row>
    <row r="56" spans="1:61" ht="11.45" customHeight="1">
      <c r="A56" s="1288" t="s">
        <v>275</v>
      </c>
      <c r="B56" s="1288" t="s">
        <v>276</v>
      </c>
      <c r="C56" s="1288" t="s">
        <v>277</v>
      </c>
      <c r="D56" s="1288" t="s">
        <v>528</v>
      </c>
      <c r="E56" s="2187"/>
      <c r="F56" s="2187"/>
      <c r="G56" s="2187"/>
      <c r="H56" s="2187"/>
      <c r="I56" s="2207"/>
      <c r="J56" s="2207"/>
      <c r="K56" s="2184"/>
      <c r="L56" s="1289"/>
      <c r="P56" s="2185"/>
      <c r="Q56" s="2185"/>
      <c r="R56" s="292"/>
      <c r="S56" s="2246"/>
      <c r="T56" s="2265"/>
      <c r="U56" s="236"/>
      <c r="V56" s="1318"/>
      <c r="W56" s="1319" t="str">
        <f>Z52&amp;"-"&amp;AB52</f>
        <v>-</v>
      </c>
      <c r="X56" s="1318"/>
      <c r="Y56" s="1319" t="str">
        <f>AB52&amp;"-"&amp;AD52</f>
        <v>-да</v>
      </c>
      <c r="Z56" s="1318"/>
      <c r="AA56" s="1318"/>
      <c r="AB56" s="1318"/>
      <c r="AC56" s="1318"/>
      <c r="AD56" s="2052"/>
      <c r="AE56" s="248"/>
      <c r="AF56" s="250"/>
      <c r="AG56" s="351" t="s">
        <v>504</v>
      </c>
      <c r="AH56" s="1318"/>
      <c r="AI56" s="1318"/>
      <c r="AJ56" s="1318"/>
      <c r="AK56" s="1318"/>
      <c r="AL56" s="1318"/>
      <c r="AM56" s="1318"/>
      <c r="AN56" s="1318"/>
      <c r="AO56" s="1318"/>
      <c r="AP56" s="1318"/>
      <c r="AQ56" s="1318"/>
      <c r="AR56" s="1318"/>
      <c r="AS56" s="1318"/>
      <c r="AT56" s="1318"/>
      <c r="AU56" s="1319" t="str">
        <f>AX52&amp;"-"&amp;AZ52</f>
        <v>-</v>
      </c>
      <c r="AV56" s="1318"/>
      <c r="AW56" s="1319" t="str">
        <f>AZ52&amp;"-"&amp;BB52</f>
        <v>-</v>
      </c>
      <c r="AX56" s="1318"/>
      <c r="AY56" s="1318"/>
      <c r="AZ56" s="1318"/>
      <c r="BA56" s="1318"/>
      <c r="BB56" s="1321" t="str">
        <f>BE52&amp;"-"&amp;BG52</f>
        <v>-</v>
      </c>
      <c r="BC56" s="2182"/>
      <c r="BE56" s="435"/>
      <c r="BF56" s="435" t="str">
        <f t="shared" ref="BF56:BF63" si="4">IF(T56="","",T56)</f>
        <v/>
      </c>
      <c r="BG56" s="435"/>
      <c r="BH56" s="435"/>
      <c r="BI56" s="1080">
        <v>11</v>
      </c>
    </row>
    <row r="57" spans="1:61" ht="11.45" customHeight="1">
      <c r="A57" s="1288" t="s">
        <v>275</v>
      </c>
      <c r="B57" s="1288" t="s">
        <v>276</v>
      </c>
      <c r="C57" s="1288" t="s">
        <v>277</v>
      </c>
      <c r="D57" s="1288" t="s">
        <v>528</v>
      </c>
      <c r="E57" s="2187"/>
      <c r="F57" s="2187"/>
      <c r="G57" s="2187"/>
      <c r="H57" s="2187"/>
      <c r="I57" s="2207"/>
      <c r="J57" s="2184"/>
      <c r="K57" s="1288"/>
      <c r="L57" s="1289"/>
      <c r="P57" s="2185"/>
      <c r="Q57" s="2185"/>
      <c r="R57" s="291"/>
      <c r="S57" s="1203"/>
      <c r="T57" s="223" t="s">
        <v>467</v>
      </c>
      <c r="U57" s="302"/>
      <c r="V57" s="302"/>
      <c r="W57" s="302"/>
      <c r="X57" s="302"/>
      <c r="Y57" s="302"/>
      <c r="Z57" s="302"/>
      <c r="AA57" s="302"/>
      <c r="AB57" s="302"/>
      <c r="AC57" s="260"/>
      <c r="AD57" s="1430"/>
      <c r="AE57" s="302"/>
      <c r="AF57" s="302"/>
      <c r="AG57" s="302"/>
      <c r="AH57" s="302"/>
      <c r="AI57" s="302"/>
      <c r="AJ57" s="302"/>
      <c r="AK57" s="302"/>
      <c r="AL57" s="302"/>
      <c r="AM57" s="302"/>
      <c r="AN57" s="302"/>
      <c r="AO57" s="302"/>
      <c r="AP57" s="302"/>
      <c r="AQ57" s="302"/>
      <c r="AR57" s="302"/>
      <c r="AS57" s="302"/>
      <c r="AT57" s="302"/>
      <c r="AU57" s="302"/>
      <c r="AV57" s="302"/>
      <c r="AW57" s="302"/>
      <c r="AX57" s="302"/>
      <c r="AY57" s="302"/>
      <c r="AZ57" s="302"/>
      <c r="BA57" s="302"/>
      <c r="BB57" s="260"/>
      <c r="BC57" s="2183"/>
      <c r="BE57" s="435"/>
      <c r="BF57" s="435" t="str">
        <f t="shared" si="4"/>
        <v>Добавить строку</v>
      </c>
      <c r="BG57" s="435"/>
      <c r="BH57" s="435"/>
      <c r="BI57" s="1080">
        <v>11</v>
      </c>
    </row>
    <row r="58" spans="1:61" s="1567" customFormat="1" ht="0" hidden="1" customHeight="1">
      <c r="A58" s="1268" t="s">
        <v>275</v>
      </c>
      <c r="B58" s="1268" t="s">
        <v>276</v>
      </c>
      <c r="C58" s="1268" t="s">
        <v>277</v>
      </c>
      <c r="D58" s="1268" t="s">
        <v>528</v>
      </c>
      <c r="E58" s="2187"/>
      <c r="F58" s="2187"/>
      <c r="G58" s="2187"/>
      <c r="H58" s="2187"/>
      <c r="I58" s="2184"/>
      <c r="J58" s="1268"/>
      <c r="K58" s="1268"/>
      <c r="L58" s="1271"/>
      <c r="M58" s="445"/>
      <c r="N58" s="445"/>
      <c r="O58" s="445"/>
      <c r="P58" s="2185"/>
      <c r="Q58" s="1406"/>
      <c r="R58" s="291"/>
      <c r="S58" s="1311"/>
      <c r="T58" s="1312"/>
      <c r="U58" s="1313"/>
      <c r="V58" s="1313"/>
      <c r="W58" s="1313"/>
      <c r="X58" s="1313"/>
      <c r="Y58" s="1313"/>
      <c r="Z58" s="1313"/>
      <c r="AA58" s="1313"/>
      <c r="AB58" s="1313"/>
      <c r="AC58" s="1313"/>
      <c r="AD58" s="1313"/>
      <c r="AE58" s="1313"/>
      <c r="AF58" s="1313"/>
      <c r="AG58" s="1313"/>
      <c r="AH58" s="1313"/>
      <c r="AI58" s="1313"/>
      <c r="AJ58" s="1313"/>
      <c r="AK58" s="1313"/>
      <c r="AL58" s="1313"/>
      <c r="AM58" s="1313"/>
      <c r="AN58" s="1313"/>
      <c r="AO58" s="1313"/>
      <c r="AP58" s="1313"/>
      <c r="AQ58" s="1313"/>
      <c r="AR58" s="1313"/>
      <c r="AS58" s="1313"/>
      <c r="AT58" s="1313"/>
      <c r="AU58" s="1313"/>
      <c r="AV58" s="1313"/>
      <c r="AW58" s="1313"/>
      <c r="AX58" s="1313"/>
      <c r="AY58" s="1313"/>
      <c r="AZ58" s="1313"/>
      <c r="BA58" s="1313"/>
      <c r="BB58" s="1313"/>
      <c r="BC58" s="1314"/>
      <c r="BE58" s="435"/>
      <c r="BF58" s="435" t="str">
        <f t="shared" si="4"/>
        <v/>
      </c>
      <c r="BG58" s="435"/>
      <c r="BH58" s="435"/>
      <c r="BI58" s="446">
        <v>0</v>
      </c>
    </row>
    <row r="59" spans="1:61" s="1567" customFormat="1" ht="0" hidden="1" customHeight="1">
      <c r="A59" s="1268" t="s">
        <v>275</v>
      </c>
      <c r="B59" s="1268" t="s">
        <v>276</v>
      </c>
      <c r="C59" s="1268" t="s">
        <v>277</v>
      </c>
      <c r="D59" s="1268" t="s">
        <v>528</v>
      </c>
      <c r="E59" s="2187"/>
      <c r="F59" s="2187"/>
      <c r="G59" s="2187"/>
      <c r="H59" s="2186"/>
      <c r="I59" s="1268"/>
      <c r="J59" s="1268"/>
      <c r="K59" s="1268"/>
      <c r="L59" s="1271"/>
      <c r="M59" s="1240"/>
      <c r="N59" s="1240"/>
      <c r="O59" s="453"/>
      <c r="P59" s="315"/>
      <c r="Q59" s="1269"/>
      <c r="R59" s="1326"/>
      <c r="S59" s="1311"/>
      <c r="T59" s="1312"/>
      <c r="U59" s="1313"/>
      <c r="V59" s="1313"/>
      <c r="W59" s="1313"/>
      <c r="X59" s="1313"/>
      <c r="Y59" s="1313"/>
      <c r="Z59" s="1313"/>
      <c r="AA59" s="1313"/>
      <c r="AB59" s="1313"/>
      <c r="AC59" s="1313"/>
      <c r="AD59" s="1313"/>
      <c r="AE59" s="1313"/>
      <c r="AF59" s="1313"/>
      <c r="AG59" s="1313"/>
      <c r="AH59" s="1313"/>
      <c r="AI59" s="1313"/>
      <c r="AJ59" s="1313"/>
      <c r="AK59" s="1313"/>
      <c r="AL59" s="1313"/>
      <c r="AM59" s="1313"/>
      <c r="AN59" s="1313"/>
      <c r="AO59" s="1313"/>
      <c r="AP59" s="1313"/>
      <c r="AQ59" s="1313"/>
      <c r="AR59" s="1313"/>
      <c r="AS59" s="1313"/>
      <c r="AT59" s="1313"/>
      <c r="AU59" s="1313"/>
      <c r="AV59" s="1313"/>
      <c r="AW59" s="1313"/>
      <c r="AX59" s="1313"/>
      <c r="AY59" s="1313"/>
      <c r="AZ59" s="1313"/>
      <c r="BA59" s="1313"/>
      <c r="BB59" s="1313"/>
      <c r="BC59" s="1314"/>
      <c r="BE59" s="435"/>
      <c r="BF59" s="435" t="str">
        <f t="shared" si="4"/>
        <v/>
      </c>
      <c r="BG59" s="435"/>
      <c r="BH59" s="435"/>
      <c r="BI59" s="446">
        <v>0</v>
      </c>
    </row>
    <row r="60" spans="1:61" s="1567" customFormat="1" ht="0" hidden="1" customHeight="1">
      <c r="A60" s="1268" t="s">
        <v>275</v>
      </c>
      <c r="B60" s="1268" t="s">
        <v>276</v>
      </c>
      <c r="C60" s="1268" t="s">
        <v>277</v>
      </c>
      <c r="D60" s="1239"/>
      <c r="E60" s="2187"/>
      <c r="F60" s="2187"/>
      <c r="G60" s="2186"/>
      <c r="H60" s="1239"/>
      <c r="I60" s="1239"/>
      <c r="J60" s="1239"/>
      <c r="K60" s="1239"/>
      <c r="L60" s="1419"/>
      <c r="M60" s="1240"/>
      <c r="N60" s="1240"/>
      <c r="P60" s="1241"/>
      <c r="Q60" s="1242"/>
      <c r="R60" s="1241"/>
      <c r="S60" s="1247"/>
      <c r="T60" s="1250"/>
      <c r="U60" s="1249"/>
      <c r="V60" s="1249"/>
      <c r="W60" s="1249"/>
      <c r="X60" s="1249"/>
      <c r="Y60" s="1249"/>
      <c r="Z60" s="1249"/>
      <c r="AA60" s="1249"/>
      <c r="AB60" s="1249"/>
      <c r="AC60" s="1249"/>
      <c r="AD60" s="1249"/>
      <c r="AE60" s="1249"/>
      <c r="AF60" s="1249"/>
      <c r="AG60" s="1249"/>
      <c r="AH60" s="1249"/>
      <c r="AI60" s="1249"/>
      <c r="AJ60" s="1249"/>
      <c r="AK60" s="1249"/>
      <c r="AL60" s="1249"/>
      <c r="AM60" s="1249"/>
      <c r="AN60" s="1249"/>
      <c r="AO60" s="1249"/>
      <c r="AP60" s="1249"/>
      <c r="AQ60" s="1249"/>
      <c r="AR60" s="1249"/>
      <c r="AS60" s="1249"/>
      <c r="AT60" s="1249"/>
      <c r="AU60" s="1249"/>
      <c r="AV60" s="1249"/>
      <c r="AW60" s="1249"/>
      <c r="AX60" s="1249"/>
      <c r="AY60" s="1249"/>
      <c r="AZ60" s="1249"/>
      <c r="BA60" s="1249"/>
      <c r="BB60" s="1249"/>
      <c r="BC60" s="1249"/>
      <c r="BE60" s="718"/>
      <c r="BF60" s="718" t="str">
        <f t="shared" si="4"/>
        <v/>
      </c>
      <c r="BG60" s="718"/>
      <c r="BH60" s="718"/>
      <c r="BI60" s="453">
        <v>0</v>
      </c>
    </row>
    <row r="61" spans="1:61" s="1567" customFormat="1" ht="0" hidden="1" customHeight="1">
      <c r="A61" s="1268" t="s">
        <v>275</v>
      </c>
      <c r="B61" s="1268" t="s">
        <v>276</v>
      </c>
      <c r="C61" s="1239"/>
      <c r="D61" s="1239"/>
      <c r="E61" s="2187"/>
      <c r="F61" s="2186"/>
      <c r="G61" s="1239"/>
      <c r="H61" s="1239"/>
      <c r="I61" s="1239"/>
      <c r="J61" s="1239"/>
      <c r="K61" s="1239"/>
      <c r="L61" s="1419"/>
      <c r="M61" s="1246"/>
      <c r="N61" s="1246"/>
      <c r="P61" s="1241"/>
      <c r="Q61" s="1242"/>
      <c r="R61" s="1241"/>
      <c r="S61" s="1247"/>
      <c r="T61" s="1250" t="s">
        <v>414</v>
      </c>
      <c r="U61" s="1249"/>
      <c r="V61" s="1249"/>
      <c r="W61" s="1249"/>
      <c r="X61" s="1249"/>
      <c r="Y61" s="1249"/>
      <c r="Z61" s="1249"/>
      <c r="AA61" s="1249"/>
      <c r="AB61" s="1249"/>
      <c r="AC61" s="1249"/>
      <c r="AD61" s="1249"/>
      <c r="AE61" s="1249"/>
      <c r="AF61" s="1249"/>
      <c r="AG61" s="1249"/>
      <c r="AH61" s="1249"/>
      <c r="AI61" s="1249"/>
      <c r="AJ61" s="1249"/>
      <c r="AK61" s="1249"/>
      <c r="AL61" s="1249"/>
      <c r="AM61" s="1249"/>
      <c r="AN61" s="1249"/>
      <c r="AO61" s="1249"/>
      <c r="AP61" s="1249"/>
      <c r="AQ61" s="1249"/>
      <c r="AR61" s="1249"/>
      <c r="AS61" s="1249"/>
      <c r="AT61" s="1249"/>
      <c r="AU61" s="1249"/>
      <c r="AV61" s="1249"/>
      <c r="AW61" s="1249"/>
      <c r="AX61" s="1249"/>
      <c r="AY61" s="1249"/>
      <c r="AZ61" s="1249"/>
      <c r="BA61" s="1249"/>
      <c r="BB61" s="1249"/>
      <c r="BC61" s="1249"/>
      <c r="BE61" s="718"/>
      <c r="BF61" s="718" t="str">
        <f t="shared" si="4"/>
        <v>Добавить централизованную систему для дифференциации</v>
      </c>
      <c r="BG61" s="718"/>
      <c r="BH61" s="718"/>
      <c r="BI61" s="453">
        <v>0</v>
      </c>
    </row>
    <row r="62" spans="1:61" s="1567" customFormat="1" ht="0" hidden="1" customHeight="1">
      <c r="A62" s="1268" t="s">
        <v>275</v>
      </c>
      <c r="B62" s="1268"/>
      <c r="C62" s="1268"/>
      <c r="D62" s="1268"/>
      <c r="E62" s="2186"/>
      <c r="F62" s="1268"/>
      <c r="G62" s="1268"/>
      <c r="H62" s="1268"/>
      <c r="I62" s="1268"/>
      <c r="J62" s="1268"/>
      <c r="K62" s="1268"/>
      <c r="L62" s="1271"/>
      <c r="M62" s="1246"/>
      <c r="N62" s="1246"/>
      <c r="O62" s="453"/>
      <c r="P62" s="315"/>
      <c r="Q62" s="1269"/>
      <c r="R62" s="315"/>
      <c r="S62" s="1247"/>
      <c r="T62" s="1250" t="s">
        <v>415</v>
      </c>
      <c r="U62" s="1249"/>
      <c r="V62" s="1249"/>
      <c r="W62" s="1249"/>
      <c r="X62" s="1249"/>
      <c r="Y62" s="1249"/>
      <c r="Z62" s="1249"/>
      <c r="AA62" s="1249"/>
      <c r="AB62" s="1249"/>
      <c r="AC62" s="1249"/>
      <c r="AD62" s="1249"/>
      <c r="AE62" s="1249"/>
      <c r="AF62" s="1249"/>
      <c r="AG62" s="1249"/>
      <c r="AH62" s="1249"/>
      <c r="AI62" s="1249"/>
      <c r="AJ62" s="1249"/>
      <c r="AK62" s="1249"/>
      <c r="AL62" s="1249"/>
      <c r="AM62" s="1249"/>
      <c r="AN62" s="1249"/>
      <c r="AO62" s="1249"/>
      <c r="AP62" s="1249"/>
      <c r="AQ62" s="1249"/>
      <c r="AR62" s="1249"/>
      <c r="AS62" s="1249"/>
      <c r="AT62" s="1249"/>
      <c r="AU62" s="1249"/>
      <c r="AV62" s="1249"/>
      <c r="AW62" s="1249"/>
      <c r="AX62" s="1249"/>
      <c r="AY62" s="1249"/>
      <c r="AZ62" s="1249"/>
      <c r="BA62" s="1249"/>
      <c r="BB62" s="1249"/>
      <c r="BC62" s="1249"/>
      <c r="BE62" s="435"/>
      <c r="BF62" s="435" t="str">
        <f t="shared" si="4"/>
        <v>Добавить территорию для дифференциации</v>
      </c>
      <c r="BG62" s="435"/>
      <c r="BH62" s="435"/>
      <c r="BI62" s="446">
        <v>0</v>
      </c>
    </row>
    <row r="63" spans="1:61" s="1567" customFormat="1" ht="0" hidden="1" customHeight="1">
      <c r="A63" s="1239"/>
      <c r="B63" s="1239"/>
      <c r="C63" s="1239"/>
      <c r="D63" s="1239"/>
      <c r="E63" s="1268"/>
      <c r="F63" s="1239"/>
      <c r="G63" s="1239"/>
      <c r="H63" s="1239"/>
      <c r="I63" s="1239"/>
      <c r="J63" s="1239"/>
      <c r="K63" s="1239"/>
      <c r="L63" s="1419"/>
      <c r="M63" s="1246"/>
      <c r="N63" s="1246"/>
      <c r="P63" s="1241"/>
      <c r="Q63" s="1242"/>
      <c r="R63" s="1241"/>
      <c r="S63" s="1247"/>
      <c r="T63" s="1250" t="s">
        <v>447</v>
      </c>
      <c r="U63" s="1249"/>
      <c r="V63" s="1249"/>
      <c r="W63" s="1249"/>
      <c r="X63" s="1249"/>
      <c r="Y63" s="1249"/>
      <c r="Z63" s="1249"/>
      <c r="AA63" s="1249"/>
      <c r="AB63" s="1249"/>
      <c r="AC63" s="1249"/>
      <c r="AD63" s="1249"/>
      <c r="AE63" s="1249"/>
      <c r="AF63" s="1249"/>
      <c r="AG63" s="1249"/>
      <c r="AH63" s="1249"/>
      <c r="AI63" s="1249"/>
      <c r="AJ63" s="1249"/>
      <c r="AK63" s="1249"/>
      <c r="AL63" s="1249"/>
      <c r="AM63" s="1249"/>
      <c r="AN63" s="1249"/>
      <c r="AO63" s="1249"/>
      <c r="AP63" s="1249"/>
      <c r="AQ63" s="1249"/>
      <c r="AR63" s="1249"/>
      <c r="AS63" s="1249"/>
      <c r="AT63" s="1249"/>
      <c r="AU63" s="1249"/>
      <c r="AV63" s="1249"/>
      <c r="AW63" s="1249"/>
      <c r="AX63" s="1249"/>
      <c r="AY63" s="1249"/>
      <c r="AZ63" s="1249"/>
      <c r="BA63" s="1249"/>
      <c r="BB63" s="1249"/>
      <c r="BC63" s="1249"/>
      <c r="BE63" s="718"/>
      <c r="BF63" s="718" t="str">
        <f t="shared" si="4"/>
        <v>Добавить наименование тарифа</v>
      </c>
      <c r="BG63" s="718"/>
      <c r="BH63" s="718"/>
      <c r="BI63" s="453">
        <v>0</v>
      </c>
    </row>
    <row r="64" spans="1:61" ht="11.45" customHeight="1">
      <c r="M64" s="1085"/>
      <c r="N64" s="1085"/>
      <c r="O64" s="472"/>
      <c r="P64" s="1085"/>
      <c r="Q64" s="1085"/>
      <c r="R64" s="1080"/>
      <c r="S64" s="1080"/>
      <c r="BD64" s="1080"/>
      <c r="BE64" s="1080"/>
      <c r="BF64" s="1080"/>
      <c r="BG64" s="1080"/>
      <c r="BH64" s="1080"/>
      <c r="BI64" s="1080">
        <v>11</v>
      </c>
    </row>
    <row r="65" spans="1:61" ht="14.65" customHeight="1">
      <c r="O65" s="472"/>
      <c r="S65" s="1178"/>
      <c r="T65" s="2206"/>
      <c r="U65" s="2206"/>
      <c r="V65" s="2206"/>
      <c r="W65" s="2206"/>
      <c r="X65" s="2206"/>
      <c r="Y65" s="2206"/>
      <c r="Z65" s="2206"/>
      <c r="AA65" s="2206"/>
      <c r="AB65" s="2206"/>
      <c r="AC65" s="2206"/>
      <c r="AD65" s="2206"/>
      <c r="AE65" s="2206"/>
      <c r="AF65" s="2206"/>
      <c r="AG65" s="2206"/>
      <c r="AH65" s="2206"/>
      <c r="AI65" s="2206"/>
      <c r="AJ65" s="2206"/>
      <c r="AK65" s="2206"/>
      <c r="AL65" s="2206"/>
      <c r="AM65" s="2206"/>
      <c r="AN65" s="2206"/>
      <c r="AO65" s="2206"/>
      <c r="AP65" s="2206"/>
      <c r="AQ65" s="2206"/>
      <c r="AR65" s="2206"/>
      <c r="AS65" s="2206"/>
      <c r="AT65" s="2206"/>
      <c r="AU65" s="2206"/>
      <c r="AV65" s="2206"/>
      <c r="AW65" s="2206"/>
      <c r="AX65" s="2206"/>
      <c r="AY65" s="2206"/>
      <c r="AZ65" s="2206"/>
      <c r="BA65" s="2206"/>
      <c r="BB65" s="2206"/>
      <c r="BC65" s="2206"/>
      <c r="BI65" s="1080">
        <v>14</v>
      </c>
    </row>
    <row r="66" spans="1:61" ht="14.65" customHeight="1">
      <c r="O66" s="472"/>
      <c r="T66" s="1405"/>
      <c r="U66" s="1405"/>
      <c r="V66" s="1405"/>
      <c r="W66" s="1405"/>
      <c r="X66" s="1405"/>
      <c r="Y66" s="1405"/>
      <c r="Z66" s="1405"/>
      <c r="AA66" s="1405"/>
      <c r="AB66" s="1405"/>
      <c r="AC66" s="1405"/>
      <c r="AD66" s="1405"/>
      <c r="AE66" s="1405"/>
      <c r="AF66" s="1405"/>
      <c r="AG66" s="1405"/>
      <c r="AH66" s="1405"/>
      <c r="AI66" s="1405"/>
      <c r="AJ66" s="1405"/>
      <c r="AK66" s="1405"/>
      <c r="AL66" s="1405"/>
      <c r="AM66" s="1405"/>
      <c r="AN66" s="1405"/>
      <c r="AO66" s="1405"/>
      <c r="AP66" s="1405"/>
      <c r="AQ66" s="1405"/>
      <c r="AR66" s="1405"/>
      <c r="AS66" s="1405"/>
      <c r="AT66" s="1405"/>
      <c r="AU66" s="1405"/>
      <c r="AV66" s="1405"/>
      <c r="AW66" s="1405"/>
      <c r="AX66" s="1405"/>
      <c r="AY66" s="1405"/>
      <c r="AZ66" s="1405"/>
      <c r="BA66" s="1405"/>
      <c r="BB66" s="1405"/>
      <c r="BC66" s="1405"/>
      <c r="BI66" s="1080">
        <v>14</v>
      </c>
    </row>
    <row r="67" spans="1:61" ht="14.65" customHeight="1">
      <c r="O67" s="472"/>
      <c r="S67" s="1178"/>
      <c r="T67" s="2206"/>
      <c r="U67" s="2206"/>
      <c r="V67" s="2206"/>
      <c r="W67" s="2206"/>
      <c r="X67" s="2206"/>
      <c r="Y67" s="2206"/>
      <c r="Z67" s="2206"/>
      <c r="AA67" s="2206"/>
      <c r="AB67" s="2206"/>
      <c r="AC67" s="2206"/>
      <c r="AD67" s="2206"/>
      <c r="AE67" s="2206"/>
      <c r="AF67" s="2206"/>
      <c r="AG67" s="2206"/>
      <c r="AH67" s="2206"/>
      <c r="AI67" s="2206"/>
      <c r="AJ67" s="2206"/>
      <c r="AK67" s="2206"/>
      <c r="AL67" s="2206"/>
      <c r="AM67" s="2206"/>
      <c r="AN67" s="2206"/>
      <c r="AO67" s="2206"/>
      <c r="AP67" s="2206"/>
      <c r="AQ67" s="2206"/>
      <c r="AR67" s="2206"/>
      <c r="AS67" s="2206"/>
      <c r="AT67" s="2206"/>
      <c r="AU67" s="2206"/>
      <c r="AV67" s="2206"/>
      <c r="AW67" s="2206"/>
      <c r="AX67" s="2206"/>
      <c r="AY67" s="2206"/>
      <c r="AZ67" s="2206"/>
      <c r="BA67" s="2206"/>
      <c r="BB67" s="2206"/>
      <c r="BC67" s="2206"/>
      <c r="BI67" s="1080">
        <v>14</v>
      </c>
    </row>
    <row r="68" spans="1:61" ht="14.65" customHeight="1">
      <c r="O68" s="472"/>
      <c r="BI68" s="1080">
        <v>14</v>
      </c>
    </row>
    <row r="69" spans="1:61" ht="14.25" hidden="1" customHeight="1">
      <c r="A69" s="1085" t="s">
        <v>82</v>
      </c>
      <c r="B69" s="1085">
        <v>0</v>
      </c>
      <c r="C69" s="1085">
        <v>0</v>
      </c>
      <c r="D69" s="1085">
        <v>0</v>
      </c>
      <c r="E69" s="1085">
        <v>0</v>
      </c>
      <c r="F69" s="1085">
        <v>0</v>
      </c>
      <c r="G69" s="1085">
        <v>0</v>
      </c>
      <c r="H69" s="1085">
        <v>0</v>
      </c>
      <c r="I69" s="1085">
        <v>0</v>
      </c>
      <c r="J69" s="1085">
        <v>0</v>
      </c>
      <c r="K69" s="1085">
        <v>0</v>
      </c>
      <c r="L69" s="1403">
        <v>0</v>
      </c>
      <c r="M69" s="1287">
        <v>0</v>
      </c>
      <c r="N69" s="1287">
        <v>0</v>
      </c>
      <c r="O69" s="1287">
        <v>0</v>
      </c>
      <c r="P69" s="1287">
        <v>0</v>
      </c>
      <c r="Q69" s="1296">
        <v>0</v>
      </c>
      <c r="R69" s="280">
        <v>3</v>
      </c>
      <c r="S69" s="516">
        <v>12</v>
      </c>
      <c r="T69" s="1080">
        <v>31</v>
      </c>
      <c r="U69" s="1080">
        <v>0</v>
      </c>
      <c r="V69" s="1080">
        <v>0</v>
      </c>
      <c r="W69" s="1080">
        <v>0</v>
      </c>
      <c r="X69" s="1080">
        <v>0</v>
      </c>
      <c r="Y69" s="1080">
        <v>0</v>
      </c>
      <c r="Z69" s="1080">
        <v>0</v>
      </c>
      <c r="AA69" s="1080">
        <v>0</v>
      </c>
      <c r="AB69" s="1080">
        <v>0</v>
      </c>
      <c r="AC69" s="1080">
        <v>0</v>
      </c>
      <c r="AD69" s="1080">
        <v>3</v>
      </c>
      <c r="AE69" s="1080">
        <v>3</v>
      </c>
      <c r="AF69" s="1080">
        <v>3</v>
      </c>
      <c r="AG69" s="1080">
        <v>24</v>
      </c>
      <c r="AH69" s="1080">
        <v>3</v>
      </c>
      <c r="AI69" s="1080">
        <v>3</v>
      </c>
      <c r="AJ69" s="1080">
        <v>3</v>
      </c>
      <c r="AK69" s="1080">
        <v>24</v>
      </c>
      <c r="AL69" s="1080">
        <v>3</v>
      </c>
      <c r="AM69" s="1080">
        <v>3</v>
      </c>
      <c r="AN69" s="1080">
        <v>3</v>
      </c>
      <c r="AO69" s="1080">
        <v>18</v>
      </c>
      <c r="AP69" s="1080">
        <v>3</v>
      </c>
      <c r="AQ69" s="1080">
        <v>3</v>
      </c>
      <c r="AR69" s="1080">
        <v>3</v>
      </c>
      <c r="AS69" s="1080">
        <v>18</v>
      </c>
      <c r="AT69" s="1080">
        <v>21</v>
      </c>
      <c r="AU69" s="1080">
        <v>21</v>
      </c>
      <c r="AV69" s="1080">
        <v>21</v>
      </c>
      <c r="AW69" s="1080">
        <v>21</v>
      </c>
      <c r="AX69" s="1080">
        <v>11</v>
      </c>
      <c r="AY69" s="1080">
        <v>3</v>
      </c>
      <c r="AZ69" s="1080">
        <v>11</v>
      </c>
      <c r="BA69" s="1080">
        <v>0</v>
      </c>
      <c r="BB69" s="1080">
        <v>4</v>
      </c>
      <c r="BC69" s="1080">
        <v>115</v>
      </c>
      <c r="BD69" s="446">
        <v>10</v>
      </c>
      <c r="BE69" s="446">
        <v>10</v>
      </c>
      <c r="BF69" s="446">
        <v>10</v>
      </c>
      <c r="BG69" s="446">
        <v>10</v>
      </c>
      <c r="BH69" s="446">
        <v>10</v>
      </c>
      <c r="BI69" s="1080">
        <v>23</v>
      </c>
    </row>
  </sheetData>
  <sheetProtection formatColumns="0" formatRows="0" insertRows="0" deleteColumns="0" deleteRows="0" sort="0" autoFilter="0"/>
  <mergeCells count="122">
    <mergeCell ref="T65:BC65"/>
    <mergeCell ref="T67:BC67"/>
    <mergeCell ref="AL52:AL54"/>
    <mergeCell ref="AM52:AM53"/>
    <mergeCell ref="AN52:AN53"/>
    <mergeCell ref="AO52:AO53"/>
    <mergeCell ref="AP52:AP53"/>
    <mergeCell ref="BC52:BC57"/>
    <mergeCell ref="AF52:AF55"/>
    <mergeCell ref="AG52:AG55"/>
    <mergeCell ref="AH52:AH55"/>
    <mergeCell ref="AI52:AI54"/>
    <mergeCell ref="AJ52:AJ54"/>
    <mergeCell ref="AK52:AK54"/>
    <mergeCell ref="I50:I58"/>
    <mergeCell ref="P50:P58"/>
    <mergeCell ref="V50:AC50"/>
    <mergeCell ref="AD50:BB50"/>
    <mergeCell ref="J51:J57"/>
    <mergeCell ref="Q51:Q57"/>
    <mergeCell ref="V51:AC51"/>
    <mergeCell ref="AD51:BB51"/>
    <mergeCell ref="K52:K56"/>
    <mergeCell ref="S52:S56"/>
    <mergeCell ref="T52:T56"/>
    <mergeCell ref="AD52:AD56"/>
    <mergeCell ref="AE52:AE55"/>
    <mergeCell ref="AA45:AB45"/>
    <mergeCell ref="AY45:AZ45"/>
    <mergeCell ref="E46:E62"/>
    <mergeCell ref="V46:AC46"/>
    <mergeCell ref="AD46:BB46"/>
    <mergeCell ref="F47:F61"/>
    <mergeCell ref="V47:AC47"/>
    <mergeCell ref="AL41:AO44"/>
    <mergeCell ref="AP41:AS44"/>
    <mergeCell ref="AT41:AZ41"/>
    <mergeCell ref="BA41:BA44"/>
    <mergeCell ref="BB41:BB44"/>
    <mergeCell ref="V42:W43"/>
    <mergeCell ref="X42:Y43"/>
    <mergeCell ref="Z42:AB43"/>
    <mergeCell ref="AT42:AU43"/>
    <mergeCell ref="AV42:AW43"/>
    <mergeCell ref="AD47:BB47"/>
    <mergeCell ref="G48:G60"/>
    <mergeCell ref="V48:AC48"/>
    <mergeCell ref="AD48:BB48"/>
    <mergeCell ref="H49:H59"/>
    <mergeCell ref="V49:AC49"/>
    <mergeCell ref="AD49:BB49"/>
    <mergeCell ref="V39:AC39"/>
    <mergeCell ref="AD39:BA39"/>
    <mergeCell ref="S40:BB40"/>
    <mergeCell ref="BC40:BC44"/>
    <mergeCell ref="S41:S44"/>
    <mergeCell ref="T41:T44"/>
    <mergeCell ref="V41:AB41"/>
    <mergeCell ref="AC41:AC44"/>
    <mergeCell ref="AD41:AG44"/>
    <mergeCell ref="AH41:AK44"/>
    <mergeCell ref="AX42:AZ43"/>
    <mergeCell ref="AA44:AB44"/>
    <mergeCell ref="AY44:AZ44"/>
    <mergeCell ref="S36:T36"/>
    <mergeCell ref="V36:AB36"/>
    <mergeCell ref="AD36:AZ36"/>
    <mergeCell ref="S37:T37"/>
    <mergeCell ref="V37:AB37"/>
    <mergeCell ref="AD37:AZ37"/>
    <mergeCell ref="S33:T33"/>
    <mergeCell ref="V33:AB33"/>
    <mergeCell ref="AD33:AZ33"/>
    <mergeCell ref="S34:T34"/>
    <mergeCell ref="V34:AB34"/>
    <mergeCell ref="AD34:AZ34"/>
    <mergeCell ref="S28:AZ28"/>
    <mergeCell ref="S29:AZ29"/>
    <mergeCell ref="S31:T31"/>
    <mergeCell ref="V31:AB31"/>
    <mergeCell ref="AD31:AZ31"/>
    <mergeCell ref="S32:T32"/>
    <mergeCell ref="V32:AB32"/>
    <mergeCell ref="AD32:AZ32"/>
    <mergeCell ref="AL8:AL10"/>
    <mergeCell ref="AM8:AM9"/>
    <mergeCell ref="AN8:AN9"/>
    <mergeCell ref="AO8:AO9"/>
    <mergeCell ref="AP8:AP9"/>
    <mergeCell ref="BC8:BC13"/>
    <mergeCell ref="AF8:AF11"/>
    <mergeCell ref="AG8:AG11"/>
    <mergeCell ref="AH8:AH11"/>
    <mergeCell ref="AI8:AI10"/>
    <mergeCell ref="AJ8:AJ10"/>
    <mergeCell ref="AK8:AK10"/>
    <mergeCell ref="K8:K12"/>
    <mergeCell ref="R8:R12"/>
    <mergeCell ref="S8:S12"/>
    <mergeCell ref="T8:T12"/>
    <mergeCell ref="AD8:AD12"/>
    <mergeCell ref="AE8:AE11"/>
    <mergeCell ref="E2:E18"/>
    <mergeCell ref="V2:AC2"/>
    <mergeCell ref="AD2:BB2"/>
    <mergeCell ref="F3:F17"/>
    <mergeCell ref="V3:AC3"/>
    <mergeCell ref="AD3:BB3"/>
    <mergeCell ref="G4:G16"/>
    <mergeCell ref="V4:AC4"/>
    <mergeCell ref="AD4:BB4"/>
    <mergeCell ref="H5:H15"/>
    <mergeCell ref="V5:AC5"/>
    <mergeCell ref="AD5:BB5"/>
    <mergeCell ref="I6:I14"/>
    <mergeCell ref="P6:P14"/>
    <mergeCell ref="V6:AC6"/>
    <mergeCell ref="AD6:BB6"/>
    <mergeCell ref="J7:J13"/>
    <mergeCell ref="Q7:Q13"/>
    <mergeCell ref="V7:AC7"/>
    <mergeCell ref="AD7:BB7"/>
  </mergeCells>
  <dataValidations count="9">
    <dataValidation type="list" allowBlank="1" showInputMessage="1" showErrorMessage="1" errorTitle="Ошибка" error="Выберите значение из списка" sqref="T65589 T131125 T196661 T262197 T327733 T393269 T458805 T524341 T589877 T655413 T720949 T786485 T852021 T917557 T983093">
      <formula1>kind_of_heat_transfer</formula1>
    </dataValidation>
    <dataValidation type="list" allowBlank="1" showInputMessage="1" showErrorMessage="1" errorTitle="Ошибка" error="Выберите значение из списка" sqref="AD917555:AS917555 AD983091:AS983091 AD65587:AS65587 AD131123:AS131123 AD196659:AS196659 AD262195:AS262195 AD327731:AS327731 AD393267:AS393267 AD458803:AS458803 AD524339:AS524339 AD589875:AS589875 AD655411:AS655411 AD720947:AS720947 AD786483:AS786483 AD852019:AS852019">
      <formula1>kind_of_scheme_in</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9 Z131125 Z196661 Z262197 Z327733 Z393269 Z458805 Z524341 Z589877 Z655413 Z720949 Z786485 Z852021 Z917557 Z983093 AB65589 AB131125 AB196661 AB262197 AB327733 AB393269 AB458805 AB524341 AB589877 AB655413 AB720949 AB786485 AB852021 AB917557 AB983093 Z8 AB8 AX65589 AX131125 AX196661 AX262197 AX327733 AX393269 AX458805 AX524341 AX589877 AX655413 AX720949 AX786485 AX852021 AX917557 AX983093 AZ65589 AZ131125 AZ196661 AZ262197 AZ327733 AZ393269 AZ458805 AZ524341 AZ589877 AZ655413 AZ720949 AZ786485 AZ852021 AZ917557 AZ983093 AX52 AX20 AZ8 AZ52 AX8 AZ20 Z52 AB52"/>
    <dataValidation allowBlank="1" promptTitle="checkPeriodRange" sqref="W131126 W196662 W262198 W327734 W393270 W458806 W524342 W589878 W655414 W720950 W786486 W852022 W917558 W983094 AW56 AU12 BB12 AW65590 AW131126 AW196662 AW262198 AW327734 AW393270 AW458806 AW524342 AW589878 AW655414 AW720950 AW786486 AW852022 AW917558 AW983094 Y65590 Y56 W65590 Y131126 Y196662 Y262198 Y327734 Y393270 Y458806 Y524342 Y589878 Y655414 Y720950 Y786486 Y852022 Y917558 Y983094 AU56 Y12 BB56 W12 AW12 W56"/>
    <dataValidation type="textLength" operator="lessThanOrEqual" allowBlank="1" showInputMessage="1" showErrorMessage="1" errorTitle="Ошибка" error="Допускается ввод не более 900 символов!" sqref="BC65583:BC65590 BC131119:BC131126 BC196655:BC196662 BC262191:BC262198 BC327727:BC327734 BC393263:BC393270 BC458799:BC458806 BC524335:BC524342 BC589871:BC589878 BC655407:BC655414 BC720943:BC720950 BC786479:BC786486 BC852015:BC852022 BC917551:BC917558 BC983087:BC983094 AS8 T8:T12 AS52 T52:T56">
      <formula1>900</formula1>
    </dataValidation>
    <dataValidation allowBlank="1" showInputMessage="1" showErrorMessage="1" prompt="Для выбора выполните двойной щелчок левой клавиши мыши по соответствующей ячейке." sqref="AA65589 AA131125 AA196661 AA262197 AA327733 AA393269 AA458805 AA524341 AA589877 AA655413 AA720949 AA786485 AA852021 AA917557 AA983093 AC131125 AC458805 AC196661 AC262197 AC327733 AC393269 AC524341 AC589877 AC655413 AC720949 AC786485 AC852021 AC917557 AC983093 AC65589 AH52:AH53 AY8 AP52 AK52:AL53 AA8 AY65589 AY131125 AY196661 AY262197 AY327733 AY393269 AY458805 AY524341 AY589877 AY655413 AY720949 AY786485 AY852021 AY917557 AY983093 BA458805 BA196661 BA262197 BA327733 BA393269 BA524341 BA589877 BA655413 BA720949 BA786485 BA852021 BA917557 BA983093 BA65589 BA52 AC8:AD8 BA20 BA8 AY52 AK8:AL9 AD20 AG20:AH20 AK20:AL20 AP20 AY20 AH8:AH9 AP8 BA131125 AC52:AD52 AA52"/>
    <dataValidation type="decimal" allowBlank="1" showErrorMessage="1" errorTitle="Ошибка" error="Допускается ввод только действительных чисел!" sqref="AO52:AO53 AG8:AG11 AO8:AO9 AG52:AG55">
      <formula1>-9.99999999999999E+23</formula1>
      <formula2>9.99999999999999E+23</formula2>
    </dataValidation>
    <dataValidation type="list" allowBlank="1" showInputMessage="1" errorTitle="Ошибка" error="Выберите значение из списка" prompt="Выберите значение из списка" sqref="V983092:BB983092 V917556:BB917556 V852020:BB852020 V786484:BB786484 V720948:BB720948 V655412:BB655412 V589876:BB589876 V524340:BB524340 V458804:BB458804 V393268:BB393268 V327732:BB327732 V262196:BB262196 V196660:BB196660 V131124:BB131124 V65588:BB65588">
      <formula1>kind_of_cons</formula1>
    </dataValidation>
    <dataValidation allowBlank="1" sqref="S65591:BC65597 S983095:BC983101 S917559:BC917565 S852023:BC852029 S786487:BC786493 S720951:BC720957 S655415:BC655421 S589879:BC589885 S524343:BC524349 S458807:BC458813 S393271:BC393277 S327735:BC327741 S262199:BC262205 S196663:BC196669 S131127:BC131133"/>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6" tint="0.39997558519241921"/>
  </sheetPr>
  <dimension ref="A1:AY59"/>
  <sheetViews>
    <sheetView showGridLines="0" zoomScale="90" workbookViewId="0">
      <pane xSplit="32" ySplit="41" topLeftCell="AG42" activePane="bottomRight" state="frozen"/>
      <selection pane="topRight" activeCell="AG1" sqref="AG1"/>
      <selection pane="bottomLeft" activeCell="A42" sqref="A42"/>
      <selection pane="bottomRight"/>
    </sheetView>
  </sheetViews>
  <sheetFormatPr defaultColWidth="10.5703125" defaultRowHeight="14.25" customHeight="1"/>
  <cols>
    <col min="1" max="1" width="10.5703125" style="1291" hidden="1"/>
    <col min="2" max="2" width="11" style="1291" hidden="1" customWidth="1"/>
    <col min="3" max="3" width="10.5703125" style="1291" hidden="1"/>
    <col min="4" max="4" width="11.85546875" style="1291" hidden="1" customWidth="1"/>
    <col min="5" max="5" width="10" style="1291" hidden="1" customWidth="1"/>
    <col min="6" max="6" width="8.7109375" style="1291" hidden="1" customWidth="1"/>
    <col min="7" max="7" width="7.5703125" style="1291" hidden="1" customWidth="1"/>
    <col min="8" max="8" width="11.42578125" style="1291" hidden="1" customWidth="1"/>
    <col min="9" max="9" width="14.140625" style="1291" hidden="1" customWidth="1"/>
    <col min="10" max="10" width="9.85546875" style="1291" hidden="1" customWidth="1"/>
    <col min="11" max="11" width="14.7109375" style="1291" hidden="1" customWidth="1"/>
    <col min="12" max="12" width="19.140625" style="2002" hidden="1" customWidth="1"/>
    <col min="13" max="14" width="12.28515625" style="1701" hidden="1" customWidth="1"/>
    <col min="15" max="15" width="23.42578125" style="1701" hidden="1" customWidth="1"/>
    <col min="16" max="16" width="3" style="2000" customWidth="1"/>
    <col min="17" max="18" width="3" style="280" customWidth="1"/>
    <col min="19" max="19" width="12" style="2001" customWidth="1"/>
    <col min="20" max="20" width="35" style="1560" customWidth="1"/>
    <col min="21" max="21" width="0.140625" style="1560" customWidth="1"/>
    <col min="22" max="28" width="19.7109375" style="1560" hidden="1" customWidth="1"/>
    <col min="29" max="29" width="11.7109375" style="1560" hidden="1" customWidth="1"/>
    <col min="30" max="30" width="3.7109375" style="1560" hidden="1" customWidth="1"/>
    <col min="31" max="31" width="11.7109375" style="1560" hidden="1" customWidth="1"/>
    <col min="32" max="32" width="8.5703125" style="1560" hidden="1" customWidth="1"/>
    <col min="33" max="33" width="19.7109375" style="1560" customWidth="1"/>
    <col min="34" max="39" width="19" style="1560" customWidth="1"/>
    <col min="40" max="40" width="11" style="1560" customWidth="1"/>
    <col min="41" max="41" width="3.7109375" style="1560" customWidth="1"/>
    <col min="42" max="42" width="11" style="1560" customWidth="1"/>
    <col min="43" max="43" width="8.5703125" style="1560" hidden="1" customWidth="1"/>
    <col min="44" max="44" width="4" style="1560" customWidth="1"/>
    <col min="45" max="45" width="115" style="1560" customWidth="1"/>
    <col min="46" max="50" width="10" style="1567" customWidth="1"/>
    <col min="51" max="51" width="10.5703125" style="1560" hidden="1"/>
  </cols>
  <sheetData>
    <row r="1" spans="1:51" ht="22.5" hidden="1" customHeight="1">
      <c r="AC1" s="263"/>
      <c r="AN1" s="263"/>
      <c r="AY1" s="1080" t="s">
        <v>14</v>
      </c>
    </row>
    <row r="2" spans="1:51" ht="23.25" hidden="1" customHeight="1">
      <c r="A2" s="1288"/>
      <c r="B2" s="1288"/>
      <c r="C2" s="1288"/>
      <c r="D2" s="1288"/>
      <c r="E2" s="2186">
        <v>1</v>
      </c>
      <c r="F2" s="1288"/>
      <c r="G2" s="1288"/>
      <c r="H2" s="1288"/>
      <c r="I2" s="1288"/>
      <c r="J2" s="1288"/>
      <c r="K2" s="1288"/>
      <c r="L2" s="1289"/>
      <c r="M2" s="1290"/>
      <c r="N2" s="1290"/>
      <c r="O2" s="1290"/>
      <c r="P2" s="296"/>
      <c r="Q2" s="295"/>
      <c r="R2" s="290"/>
      <c r="S2" s="1418" t="e">
        <f>INDEX(PT_DIFFERENTIATION_NUM_NTAR,MATCH(A2,PT_DIFFERENTIATION_NTAR_ID,0))</f>
        <v>#N/A</v>
      </c>
      <c r="T2" s="234" t="s">
        <v>124</v>
      </c>
      <c r="U2" s="236"/>
      <c r="V2" s="2172"/>
      <c r="W2" s="2173"/>
      <c r="X2" s="2173"/>
      <c r="Y2" s="2173"/>
      <c r="Z2" s="2173"/>
      <c r="AA2" s="2173"/>
      <c r="AB2" s="2173"/>
      <c r="AC2" s="2173"/>
      <c r="AD2" s="2173"/>
      <c r="AE2" s="2173"/>
      <c r="AF2" s="2174"/>
      <c r="AG2" s="2172" t="e">
        <f>INDEX(PT_DIFFERENTIATION_NTAR,MATCH(A2,PT_DIFFERENTIATION_NTAR_ID,0))</f>
        <v>#N/A</v>
      </c>
      <c r="AH2" s="2173"/>
      <c r="AI2" s="2173"/>
      <c r="AJ2" s="2173"/>
      <c r="AK2" s="2173"/>
      <c r="AL2" s="2173"/>
      <c r="AM2" s="2173"/>
      <c r="AN2" s="2173"/>
      <c r="AO2" s="2173"/>
      <c r="AP2" s="2173"/>
      <c r="AQ2" s="2173"/>
      <c r="AR2" s="2174"/>
      <c r="AS2" s="1183"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U2" s="435"/>
      <c r="AV2" s="435" t="str">
        <f t="shared" ref="AV2:AV13" si="0">IF(T2="","",T2)</f>
        <v>Наименование тарифа</v>
      </c>
      <c r="AW2" s="435"/>
      <c r="AX2" s="435"/>
      <c r="AY2" s="1080">
        <v>0</v>
      </c>
    </row>
    <row r="3" spans="1:51" ht="23.25" hidden="1" customHeight="1">
      <c r="A3" s="1288"/>
      <c r="B3" s="1288"/>
      <c r="C3" s="1288"/>
      <c r="D3" s="1288"/>
      <c r="E3" s="2187"/>
      <c r="F3" s="2186">
        <v>1</v>
      </c>
      <c r="G3" s="1288"/>
      <c r="H3" s="1288"/>
      <c r="I3" s="1288"/>
      <c r="J3" s="1288"/>
      <c r="K3" s="1288"/>
      <c r="L3" s="1289"/>
      <c r="M3" s="1290"/>
      <c r="N3" s="1290"/>
      <c r="O3" s="1290"/>
      <c r="P3" s="1412"/>
      <c r="Q3" s="287"/>
      <c r="R3" s="288"/>
      <c r="S3" s="1418" t="e">
        <f>INDEX(PT_DIFFERENTIATION_NUM_TER,MATCH(B3,PT_DIFFERENTIATION_TER_ID,0))</f>
        <v>#N/A</v>
      </c>
      <c r="T3" s="244" t="s">
        <v>396</v>
      </c>
      <c r="U3" s="236"/>
      <c r="V3" s="2172"/>
      <c r="W3" s="2173"/>
      <c r="X3" s="2173"/>
      <c r="Y3" s="2173"/>
      <c r="Z3" s="2173"/>
      <c r="AA3" s="2173"/>
      <c r="AB3" s="2173"/>
      <c r="AC3" s="2173"/>
      <c r="AD3" s="2173"/>
      <c r="AE3" s="2173"/>
      <c r="AF3" s="2174"/>
      <c r="AG3" s="2172" t="e">
        <f>INDEX(PT_DIFFERENTIATION_TER,MATCH(B3,PT_DIFFERENTIATION_TER_ID,0))</f>
        <v>#N/A</v>
      </c>
      <c r="AH3" s="2173"/>
      <c r="AI3" s="2173"/>
      <c r="AJ3" s="2173"/>
      <c r="AK3" s="2173"/>
      <c r="AL3" s="2173"/>
      <c r="AM3" s="2173"/>
      <c r="AN3" s="2173"/>
      <c r="AO3" s="2173"/>
      <c r="AP3" s="2173"/>
      <c r="AQ3" s="2173"/>
      <c r="AR3" s="2174"/>
      <c r="AS3" s="1183" t="s">
        <v>397</v>
      </c>
      <c r="AU3" s="435"/>
      <c r="AV3" s="435" t="str">
        <f t="shared" si="0"/>
        <v>Территория действия тарифа</v>
      </c>
      <c r="AW3" s="435"/>
      <c r="AX3" s="435"/>
      <c r="AY3" s="1080">
        <v>0</v>
      </c>
    </row>
    <row r="4" spans="1:51" ht="23.25" hidden="1" customHeight="1">
      <c r="A4" s="1288"/>
      <c r="B4" s="1288"/>
      <c r="C4" s="1288"/>
      <c r="D4" s="1288"/>
      <c r="E4" s="2187"/>
      <c r="F4" s="2187"/>
      <c r="G4" s="2186">
        <v>1</v>
      </c>
      <c r="H4" s="1288"/>
      <c r="I4" s="1288"/>
      <c r="J4" s="1288"/>
      <c r="K4" s="1288"/>
      <c r="L4" s="1289"/>
      <c r="M4" s="1290"/>
      <c r="N4" s="1290"/>
      <c r="O4" s="1290"/>
      <c r="P4" s="289"/>
      <c r="Q4" s="287"/>
      <c r="R4" s="288"/>
      <c r="S4" s="1418" t="e">
        <f>INDEX(PT_DIFFERENTIATION_NUM_CS,MATCH(C4,PT_DIFFERENTIATION_CS_ID,0))</f>
        <v>#N/A</v>
      </c>
      <c r="T4" s="245" t="s">
        <v>529</v>
      </c>
      <c r="U4" s="236"/>
      <c r="V4" s="2172"/>
      <c r="W4" s="2173"/>
      <c r="X4" s="2173"/>
      <c r="Y4" s="2173"/>
      <c r="Z4" s="2173"/>
      <c r="AA4" s="2173"/>
      <c r="AB4" s="2173"/>
      <c r="AC4" s="2173"/>
      <c r="AD4" s="2173"/>
      <c r="AE4" s="2173"/>
      <c r="AF4" s="2174"/>
      <c r="AG4" s="2172" t="e">
        <f>INDEX(PT_DIFFERENTIATION_CS,MATCH(C4,PT_DIFFERENTIATION_CS_ID,0))</f>
        <v>#N/A</v>
      </c>
      <c r="AH4" s="2173"/>
      <c r="AI4" s="2173"/>
      <c r="AJ4" s="2173"/>
      <c r="AK4" s="2173"/>
      <c r="AL4" s="2173"/>
      <c r="AM4" s="2173"/>
      <c r="AN4" s="2173"/>
      <c r="AO4" s="2173"/>
      <c r="AP4" s="2173"/>
      <c r="AQ4" s="2173"/>
      <c r="AR4" s="2174"/>
      <c r="AS4" s="1183" t="s">
        <v>530</v>
      </c>
      <c r="AU4" s="435"/>
      <c r="AV4" s="435" t="str">
        <f t="shared" si="0"/>
        <v>Наименование централизованной системы горячего водоснабжения</v>
      </c>
      <c r="AW4" s="435"/>
      <c r="AX4" s="435"/>
      <c r="AY4" s="1080">
        <v>0</v>
      </c>
    </row>
    <row r="5" spans="1:51" ht="23.25" hidden="1" customHeight="1">
      <c r="A5" s="1288"/>
      <c r="B5" s="1288"/>
      <c r="C5" s="1288"/>
      <c r="D5" s="1288"/>
      <c r="E5" s="2187"/>
      <c r="F5" s="2187"/>
      <c r="G5" s="2187"/>
      <c r="H5" s="2187"/>
      <c r="I5" s="2184" t="e">
        <f>S4&amp;".1"</f>
        <v>#N/A</v>
      </c>
      <c r="J5" s="1288"/>
      <c r="K5" s="1288"/>
      <c r="L5" s="1289"/>
      <c r="P5" s="2185">
        <v>1</v>
      </c>
      <c r="Q5" s="1406"/>
      <c r="R5" s="291"/>
      <c r="S5" s="1418" t="e">
        <f>$I5</f>
        <v>#N/A</v>
      </c>
      <c r="T5" s="221" t="s">
        <v>482</v>
      </c>
      <c r="U5" s="236"/>
      <c r="V5" s="2253"/>
      <c r="W5" s="2254"/>
      <c r="X5" s="2254"/>
      <c r="Y5" s="2254"/>
      <c r="Z5" s="2254"/>
      <c r="AA5" s="2254"/>
      <c r="AB5" s="2254"/>
      <c r="AC5" s="2254"/>
      <c r="AD5" s="2254"/>
      <c r="AE5" s="2254"/>
      <c r="AF5" s="2255"/>
      <c r="AG5" s="2256"/>
      <c r="AH5" s="2257"/>
      <c r="AI5" s="2257"/>
      <c r="AJ5" s="2257"/>
      <c r="AK5" s="2257"/>
      <c r="AL5" s="2257"/>
      <c r="AM5" s="2257"/>
      <c r="AN5" s="2257"/>
      <c r="AO5" s="2257"/>
      <c r="AP5" s="2257"/>
      <c r="AQ5" s="2257"/>
      <c r="AR5" s="2258"/>
      <c r="AS5" s="1183" t="s">
        <v>483</v>
      </c>
      <c r="AU5" s="435"/>
      <c r="AV5" s="435" t="str">
        <f t="shared" si="0"/>
        <v>Наименование признака дифференциации</v>
      </c>
      <c r="AW5" s="435"/>
      <c r="AX5" s="435"/>
      <c r="AY5" s="1080">
        <v>0</v>
      </c>
    </row>
    <row r="6" spans="1:51" ht="23.25" hidden="1" customHeight="1">
      <c r="A6" s="1288"/>
      <c r="B6" s="1288"/>
      <c r="C6" s="1288"/>
      <c r="D6" s="1288"/>
      <c r="E6" s="2187"/>
      <c r="F6" s="2187"/>
      <c r="G6" s="2187"/>
      <c r="H6" s="2187"/>
      <c r="I6" s="2207"/>
      <c r="J6" s="2184" t="e">
        <f>I5&amp;".1"</f>
        <v>#N/A</v>
      </c>
      <c r="K6" s="1288"/>
      <c r="L6" s="1289" t="s">
        <v>405</v>
      </c>
      <c r="P6" s="2185"/>
      <c r="Q6" s="2185">
        <v>1</v>
      </c>
      <c r="R6" s="292"/>
      <c r="S6" s="1418" t="e">
        <f>$J6</f>
        <v>#N/A</v>
      </c>
      <c r="T6" s="222" t="s">
        <v>406</v>
      </c>
      <c r="U6" s="236"/>
      <c r="V6" s="2175"/>
      <c r="W6" s="2176"/>
      <c r="X6" s="2176"/>
      <c r="Y6" s="2176"/>
      <c r="Z6" s="2176"/>
      <c r="AA6" s="2176"/>
      <c r="AB6" s="2176"/>
      <c r="AC6" s="2176"/>
      <c r="AD6" s="2176"/>
      <c r="AE6" s="2176"/>
      <c r="AF6" s="2177"/>
      <c r="AG6" s="2175"/>
      <c r="AH6" s="2176"/>
      <c r="AI6" s="2176"/>
      <c r="AJ6" s="2176"/>
      <c r="AK6" s="2176"/>
      <c r="AL6" s="2176"/>
      <c r="AM6" s="2176"/>
      <c r="AN6" s="2176"/>
      <c r="AO6" s="2176"/>
      <c r="AP6" s="2176"/>
      <c r="AQ6" s="2176"/>
      <c r="AR6" s="2177"/>
      <c r="AS6" s="1232" t="s">
        <v>484</v>
      </c>
      <c r="AU6" s="435"/>
      <c r="AV6" s="435" t="str">
        <f t="shared" si="0"/>
        <v>Группа потребителей</v>
      </c>
      <c r="AW6" s="435"/>
      <c r="AX6" s="435"/>
      <c r="AY6" s="1080">
        <v>0</v>
      </c>
    </row>
    <row r="7" spans="1:51" ht="23.25" hidden="1" customHeight="1">
      <c r="A7" s="1288"/>
      <c r="B7" s="1288"/>
      <c r="C7" s="1288"/>
      <c r="D7" s="1288"/>
      <c r="E7" s="2187"/>
      <c r="F7" s="2187"/>
      <c r="G7" s="2187"/>
      <c r="H7" s="2187"/>
      <c r="I7" s="2207"/>
      <c r="J7" s="2207"/>
      <c r="K7" s="2184" t="e">
        <f>J6&amp;".1"</f>
        <v>#N/A</v>
      </c>
      <c r="L7" s="1289"/>
      <c r="P7" s="2185"/>
      <c r="Q7" s="2185"/>
      <c r="R7" s="292">
        <v>1</v>
      </c>
      <c r="S7" s="1418" t="e">
        <f>$K7</f>
        <v>#N/A</v>
      </c>
      <c r="T7" s="1362"/>
      <c r="U7" s="236"/>
      <c r="V7" s="686"/>
      <c r="W7" s="686"/>
      <c r="X7" s="686"/>
      <c r="Y7" s="686"/>
      <c r="Z7" s="686"/>
      <c r="AA7" s="686"/>
      <c r="AB7" s="686"/>
      <c r="AC7" s="2189"/>
      <c r="AD7" s="2047" t="s">
        <v>66</v>
      </c>
      <c r="AE7" s="2189"/>
      <c r="AF7" s="2047" t="s">
        <v>66</v>
      </c>
      <c r="AG7" s="686"/>
      <c r="AH7" s="686"/>
      <c r="AI7" s="686"/>
      <c r="AJ7" s="686"/>
      <c r="AK7" s="686"/>
      <c r="AL7" s="686"/>
      <c r="AM7" s="686"/>
      <c r="AN7" s="2189"/>
      <c r="AO7" s="2047" t="s">
        <v>66</v>
      </c>
      <c r="AP7" s="2208"/>
      <c r="AQ7" s="2047" t="s">
        <v>66</v>
      </c>
      <c r="AR7" s="1363"/>
      <c r="AS7" s="2252"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T7" s="446" t="e">
        <f ca="1">STRCHECKDATE(V8:AR8)</f>
        <v>#NAME?</v>
      </c>
      <c r="AU7" s="435"/>
      <c r="AV7" s="435" t="str">
        <f t="shared" si="0"/>
        <v/>
      </c>
      <c r="AW7" s="435"/>
      <c r="AX7" s="435"/>
      <c r="AY7" s="1080">
        <v>0</v>
      </c>
    </row>
    <row r="8" spans="1:51" ht="14.25" hidden="1" customHeight="1">
      <c r="A8" s="1288"/>
      <c r="B8" s="1288"/>
      <c r="C8" s="1288"/>
      <c r="D8" s="1288"/>
      <c r="E8" s="2187"/>
      <c r="F8" s="2187"/>
      <c r="G8" s="2187"/>
      <c r="H8" s="2187"/>
      <c r="I8" s="2207"/>
      <c r="J8" s="2207"/>
      <c r="K8" s="2184"/>
      <c r="L8" s="1289"/>
      <c r="P8" s="2185"/>
      <c r="Q8" s="2185"/>
      <c r="R8" s="292"/>
      <c r="S8" s="1415"/>
      <c r="T8" s="236"/>
      <c r="U8" s="236"/>
      <c r="V8" s="261"/>
      <c r="W8" s="261"/>
      <c r="X8" s="261"/>
      <c r="Y8" s="261"/>
      <c r="Z8" s="261"/>
      <c r="AA8" s="261"/>
      <c r="AB8" s="261"/>
      <c r="AC8" s="2190"/>
      <c r="AD8" s="2047"/>
      <c r="AE8" s="2190"/>
      <c r="AF8" s="2047"/>
      <c r="AG8" s="261"/>
      <c r="AH8" s="261"/>
      <c r="AI8" s="261"/>
      <c r="AJ8" s="261"/>
      <c r="AK8" s="261"/>
      <c r="AL8" s="261"/>
      <c r="AM8" s="261"/>
      <c r="AN8" s="2190"/>
      <c r="AO8" s="2047"/>
      <c r="AP8" s="2209"/>
      <c r="AQ8" s="2047"/>
      <c r="AR8" s="1364"/>
      <c r="AS8" s="2252"/>
      <c r="AU8" s="435"/>
      <c r="AV8" s="435" t="str">
        <f t="shared" si="0"/>
        <v/>
      </c>
      <c r="AW8" s="435"/>
      <c r="AX8" s="435"/>
      <c r="AY8" s="1080">
        <v>0</v>
      </c>
    </row>
    <row r="9" spans="1:51" ht="21" hidden="1" customHeight="1">
      <c r="A9" s="1288"/>
      <c r="B9" s="1288"/>
      <c r="C9" s="1288"/>
      <c r="D9" s="1288"/>
      <c r="E9" s="2187"/>
      <c r="F9" s="2187"/>
      <c r="G9" s="2187"/>
      <c r="H9" s="2187"/>
      <c r="I9" s="2207"/>
      <c r="J9" s="2184"/>
      <c r="K9" s="1288"/>
      <c r="L9" s="1289"/>
      <c r="P9" s="2185"/>
      <c r="Q9" s="2185"/>
      <c r="R9" s="291"/>
      <c r="S9" s="1203"/>
      <c r="T9" s="223" t="s">
        <v>485</v>
      </c>
      <c r="U9" s="302"/>
      <c r="V9" s="302"/>
      <c r="W9" s="535"/>
      <c r="X9" s="535"/>
      <c r="Y9" s="535"/>
      <c r="Z9" s="535"/>
      <c r="AA9" s="535"/>
      <c r="AB9" s="535"/>
      <c r="AC9" s="302"/>
      <c r="AD9" s="302"/>
      <c r="AE9" s="302"/>
      <c r="AF9" s="302"/>
      <c r="AG9" s="302"/>
      <c r="AH9" s="535"/>
      <c r="AI9" s="535"/>
      <c r="AJ9" s="535"/>
      <c r="AK9" s="535"/>
      <c r="AL9" s="535"/>
      <c r="AM9" s="302"/>
      <c r="AN9" s="302"/>
      <c r="AO9" s="302"/>
      <c r="AP9" s="302"/>
      <c r="AQ9" s="302"/>
      <c r="AR9" s="302"/>
      <c r="AS9" s="1183" t="s">
        <v>486</v>
      </c>
      <c r="AU9" s="435"/>
      <c r="AV9" s="435" t="str">
        <f t="shared" si="0"/>
        <v>Добавить значение признака дифференциации</v>
      </c>
      <c r="AW9" s="435"/>
      <c r="AX9" s="435"/>
      <c r="AY9" s="1080">
        <v>0</v>
      </c>
    </row>
    <row r="10" spans="1:51" ht="21" hidden="1" customHeight="1">
      <c r="A10" s="1288"/>
      <c r="B10" s="1288"/>
      <c r="C10" s="1288"/>
      <c r="D10" s="1288"/>
      <c r="E10" s="2187"/>
      <c r="F10" s="2187"/>
      <c r="G10" s="2187"/>
      <c r="H10" s="2187"/>
      <c r="I10" s="2184"/>
      <c r="J10" s="1288"/>
      <c r="K10" s="1288"/>
      <c r="L10" s="1289"/>
      <c r="P10" s="2185"/>
      <c r="Q10" s="1406"/>
      <c r="R10" s="291"/>
      <c r="S10" s="1203"/>
      <c r="T10" s="300" t="s">
        <v>411</v>
      </c>
      <c r="U10" s="302"/>
      <c r="V10" s="302"/>
      <c r="W10" s="535"/>
      <c r="X10" s="535"/>
      <c r="Y10" s="535"/>
      <c r="Z10" s="535"/>
      <c r="AA10" s="535"/>
      <c r="AB10" s="535"/>
      <c r="AC10" s="302"/>
      <c r="AD10" s="302"/>
      <c r="AE10" s="302"/>
      <c r="AF10" s="301"/>
      <c r="AG10" s="302"/>
      <c r="AH10" s="535"/>
      <c r="AI10" s="535"/>
      <c r="AJ10" s="535"/>
      <c r="AK10" s="535"/>
      <c r="AL10" s="535"/>
      <c r="AM10" s="302"/>
      <c r="AN10" s="302"/>
      <c r="AO10" s="302"/>
      <c r="AP10" s="302"/>
      <c r="AQ10" s="301"/>
      <c r="AR10" s="302"/>
      <c r="AS10" s="1365"/>
      <c r="AU10" s="435"/>
      <c r="AV10" s="435" t="str">
        <f t="shared" si="0"/>
        <v>Добавить группу потребителей</v>
      </c>
      <c r="AW10" s="435"/>
      <c r="AX10" s="435"/>
      <c r="AY10" s="1080">
        <v>0</v>
      </c>
    </row>
    <row r="11" spans="1:51" ht="21" hidden="1" customHeight="1">
      <c r="A11" s="1288"/>
      <c r="B11" s="1288"/>
      <c r="C11" s="1288"/>
      <c r="D11" s="1288"/>
      <c r="E11" s="2187"/>
      <c r="F11" s="2187"/>
      <c r="G11" s="2187"/>
      <c r="H11" s="2186"/>
      <c r="I11" s="1288"/>
      <c r="J11" s="1288"/>
      <c r="K11" s="1288"/>
      <c r="L11" s="1289"/>
      <c r="M11" s="1290"/>
      <c r="N11" s="1290"/>
      <c r="O11" s="472"/>
      <c r="P11" s="295"/>
      <c r="Q11" s="310"/>
      <c r="R11" s="290"/>
      <c r="S11" s="1203"/>
      <c r="T11" s="307" t="s">
        <v>487</v>
      </c>
      <c r="U11" s="302"/>
      <c r="V11" s="302"/>
      <c r="W11" s="535"/>
      <c r="X11" s="535"/>
      <c r="Y11" s="535"/>
      <c r="Z11" s="535"/>
      <c r="AA11" s="535"/>
      <c r="AB11" s="535"/>
      <c r="AC11" s="302"/>
      <c r="AD11" s="302"/>
      <c r="AE11" s="302"/>
      <c r="AF11" s="301"/>
      <c r="AG11" s="302"/>
      <c r="AH11" s="535"/>
      <c r="AI11" s="535"/>
      <c r="AJ11" s="535"/>
      <c r="AK11" s="535"/>
      <c r="AL11" s="535"/>
      <c r="AM11" s="302"/>
      <c r="AN11" s="302"/>
      <c r="AO11" s="302"/>
      <c r="AP11" s="302"/>
      <c r="AQ11" s="301"/>
      <c r="AR11" s="302"/>
      <c r="AS11" s="239"/>
      <c r="AU11" s="435"/>
      <c r="AV11" s="435" t="str">
        <f t="shared" si="0"/>
        <v>Добавить наименование признака дифференциации</v>
      </c>
      <c r="AW11" s="435"/>
      <c r="AX11" s="435"/>
      <c r="AY11" s="1080">
        <v>0</v>
      </c>
    </row>
    <row r="12" spans="1:51" s="1567" customFormat="1" ht="14.25" hidden="1" customHeight="1">
      <c r="A12" s="1268"/>
      <c r="B12" s="1268"/>
      <c r="C12" s="1239"/>
      <c r="D12" s="1239"/>
      <c r="E12" s="2187"/>
      <c r="F12" s="2186"/>
      <c r="G12" s="1239"/>
      <c r="H12" s="1239"/>
      <c r="I12" s="1239"/>
      <c r="J12" s="1239"/>
      <c r="K12" s="1239"/>
      <c r="L12" s="1419"/>
      <c r="M12" s="1246"/>
      <c r="N12" s="1246"/>
      <c r="P12" s="1241"/>
      <c r="Q12" s="1242"/>
      <c r="R12" s="1241"/>
      <c r="S12" s="1247"/>
      <c r="T12" s="1250" t="s">
        <v>414</v>
      </c>
      <c r="U12" s="1249"/>
      <c r="V12" s="1249"/>
      <c r="W12" s="1249"/>
      <c r="X12" s="1249"/>
      <c r="Y12" s="1249"/>
      <c r="Z12" s="1249"/>
      <c r="AA12" s="1249"/>
      <c r="AB12" s="1249"/>
      <c r="AC12" s="1249"/>
      <c r="AD12" s="1249"/>
      <c r="AE12" s="1249"/>
      <c r="AF12" s="1249"/>
      <c r="AG12" s="1249"/>
      <c r="AH12" s="1249"/>
      <c r="AI12" s="1249"/>
      <c r="AJ12" s="1249"/>
      <c r="AK12" s="1249"/>
      <c r="AL12" s="1249"/>
      <c r="AM12" s="1249"/>
      <c r="AN12" s="1249"/>
      <c r="AO12" s="1249"/>
      <c r="AP12" s="1249"/>
      <c r="AQ12" s="1249"/>
      <c r="AR12" s="1249"/>
      <c r="AS12" s="1249"/>
      <c r="AU12" s="718"/>
      <c r="AV12" s="718" t="str">
        <f t="shared" si="0"/>
        <v>Добавить централизованную систему для дифференциации</v>
      </c>
      <c r="AW12" s="718"/>
      <c r="AX12" s="718"/>
      <c r="AY12" s="453">
        <v>0</v>
      </c>
    </row>
    <row r="13" spans="1:51" s="1567" customFormat="1" ht="14.25" hidden="1" customHeight="1">
      <c r="A13" s="1268"/>
      <c r="B13" s="1268"/>
      <c r="C13" s="1268"/>
      <c r="D13" s="1268"/>
      <c r="E13" s="2186"/>
      <c r="F13" s="1268"/>
      <c r="G13" s="1268"/>
      <c r="H13" s="1268"/>
      <c r="I13" s="1268"/>
      <c r="J13" s="1268"/>
      <c r="K13" s="1268"/>
      <c r="L13" s="1271"/>
      <c r="M13" s="1246"/>
      <c r="N13" s="1246"/>
      <c r="O13" s="453"/>
      <c r="P13" s="315"/>
      <c r="Q13" s="1269"/>
      <c r="R13" s="315"/>
      <c r="S13" s="1247"/>
      <c r="T13" s="1250" t="s">
        <v>415</v>
      </c>
      <c r="U13" s="1249"/>
      <c r="V13" s="1249"/>
      <c r="W13" s="1249"/>
      <c r="X13" s="1249"/>
      <c r="Y13" s="1249"/>
      <c r="Z13" s="1249"/>
      <c r="AA13" s="1249"/>
      <c r="AB13" s="1249"/>
      <c r="AC13" s="1249"/>
      <c r="AD13" s="1249"/>
      <c r="AE13" s="1249"/>
      <c r="AF13" s="1249"/>
      <c r="AG13" s="1249"/>
      <c r="AH13" s="1249"/>
      <c r="AI13" s="1249"/>
      <c r="AJ13" s="1249"/>
      <c r="AK13" s="1249"/>
      <c r="AL13" s="1249"/>
      <c r="AM13" s="1249"/>
      <c r="AN13" s="1249"/>
      <c r="AO13" s="1249"/>
      <c r="AP13" s="1249"/>
      <c r="AQ13" s="1249"/>
      <c r="AR13" s="1249"/>
      <c r="AS13" s="1249"/>
      <c r="AU13" s="435"/>
      <c r="AV13" s="435" t="str">
        <f t="shared" si="0"/>
        <v>Добавить территорию для дифференциации</v>
      </c>
      <c r="AW13" s="435"/>
      <c r="AX13" s="435"/>
      <c r="AY13" s="446">
        <v>0</v>
      </c>
    </row>
    <row r="14" spans="1:51" ht="14.25" hidden="1" customHeight="1">
      <c r="AF14" s="263"/>
      <c r="AQ14" s="263"/>
      <c r="AY14" s="1080">
        <v>0</v>
      </c>
    </row>
    <row r="15" spans="1:51" ht="14.25" hidden="1" customHeight="1">
      <c r="AG15" s="1285"/>
      <c r="AH15" s="1285"/>
      <c r="AI15" s="1285"/>
      <c r="AJ15" s="1285"/>
      <c r="AK15" s="1285"/>
      <c r="AL15" s="1285"/>
      <c r="AM15" s="1285"/>
      <c r="AN15" s="2191"/>
      <c r="AO15" s="2192" t="s">
        <v>66</v>
      </c>
      <c r="AP15" s="2191"/>
      <c r="AQ15" s="2192" t="s">
        <v>66</v>
      </c>
      <c r="AY15" s="1080">
        <v>0</v>
      </c>
    </row>
    <row r="16" spans="1:51" ht="14.25" hidden="1" customHeight="1">
      <c r="AG16" s="1285"/>
      <c r="AH16" s="1285"/>
      <c r="AI16" s="1285"/>
      <c r="AJ16" s="1285"/>
      <c r="AK16" s="1285"/>
      <c r="AL16" s="1285"/>
      <c r="AM16" s="1285"/>
      <c r="AN16" s="2192"/>
      <c r="AO16" s="2192"/>
      <c r="AP16" s="2192"/>
      <c r="AQ16" s="2192"/>
      <c r="AY16" s="1080">
        <v>0</v>
      </c>
    </row>
    <row r="17" spans="1:51" ht="14.25" hidden="1" customHeight="1">
      <c r="AQ17" s="263"/>
      <c r="AY17" s="1080">
        <v>0</v>
      </c>
    </row>
    <row r="18" spans="1:51" s="1291" customFormat="1" ht="22.5" hidden="1" customHeight="1">
      <c r="L18" s="1403"/>
      <c r="M18" s="1287"/>
      <c r="N18" s="1287"/>
      <c r="O18" s="1292" t="s">
        <v>416</v>
      </c>
      <c r="P18" s="1287"/>
      <c r="Q18" s="1296"/>
      <c r="R18" s="1296"/>
      <c r="S18" s="664"/>
      <c r="AC18" s="1292"/>
      <c r="AE18" s="1292"/>
      <c r="AN18" s="1292"/>
      <c r="AP18" s="1292"/>
      <c r="AT18" s="446"/>
      <c r="AU18" s="446"/>
      <c r="AV18" s="446"/>
      <c r="AW18" s="446"/>
      <c r="AX18" s="446"/>
      <c r="AY18" s="1085">
        <v>0</v>
      </c>
    </row>
    <row r="19" spans="1:51" s="1291" customFormat="1" ht="14.25" hidden="1" customHeight="1">
      <c r="L19" s="1403"/>
      <c r="M19" s="1287"/>
      <c r="N19" s="1287"/>
      <c r="O19" s="1287"/>
      <c r="P19" s="1287"/>
      <c r="Q19" s="1296"/>
      <c r="R19" s="1296"/>
      <c r="S19" s="664"/>
      <c r="AT19" s="446"/>
      <c r="AU19" s="446"/>
      <c r="AV19" s="446"/>
      <c r="AW19" s="446"/>
      <c r="AX19" s="446"/>
      <c r="AY19" s="1085">
        <v>0</v>
      </c>
    </row>
    <row r="20" spans="1:51" s="1291" customFormat="1" ht="12" hidden="1" customHeight="1">
      <c r="L20" s="1403"/>
      <c r="M20" s="1287"/>
      <c r="N20" s="1287"/>
      <c r="O20" s="1289" t="s">
        <v>417</v>
      </c>
      <c r="P20" s="1287"/>
      <c r="Q20" s="1367"/>
      <c r="R20" s="1367"/>
      <c r="S20" s="664"/>
      <c r="T20" s="1085" t="s">
        <v>418</v>
      </c>
      <c r="AD20" s="122" t="s">
        <v>419</v>
      </c>
      <c r="AF20" s="122" t="s">
        <v>420</v>
      </c>
      <c r="AG20" s="1085" t="s">
        <v>418</v>
      </c>
      <c r="AO20" s="122" t="s">
        <v>421</v>
      </c>
      <c r="AQ20" s="122" t="s">
        <v>420</v>
      </c>
      <c r="AY20" s="1085">
        <v>0</v>
      </c>
    </row>
    <row r="21" spans="1:51" ht="14.25" hidden="1" customHeight="1">
      <c r="O21" s="1289"/>
      <c r="AY21" s="1080">
        <v>0</v>
      </c>
    </row>
    <row r="22" spans="1:51" ht="14.25" hidden="1" customHeight="1">
      <c r="O22" s="1289"/>
      <c r="AY22" s="1080">
        <v>0</v>
      </c>
    </row>
    <row r="23" spans="1:51" ht="14.65" customHeight="1">
      <c r="Q23" s="311"/>
      <c r="R23" s="311"/>
      <c r="S23" s="1200"/>
      <c r="T23" s="298"/>
      <c r="U23" s="298"/>
      <c r="V23" s="444"/>
      <c r="AC23" s="444"/>
      <c r="AD23" s="444"/>
      <c r="AE23" s="444"/>
      <c r="AF23" s="444"/>
      <c r="AG23" s="444"/>
      <c r="AM23" s="444"/>
      <c r="AN23" s="444"/>
      <c r="AO23" s="444"/>
      <c r="AP23" s="444"/>
      <c r="AQ23" s="444"/>
      <c r="AY23" s="1080">
        <v>14</v>
      </c>
    </row>
    <row r="24" spans="1:51" ht="26.25" customHeight="1">
      <c r="Q24" s="311"/>
      <c r="R24" s="311"/>
      <c r="S24" s="2170" t="str">
        <f>IF(TEMPLATE_GROUP="P",PT_P_FORM_HOTVSNA_4_NAME_FORM,PT_R_FORM_HOTVSNA_16_NAME_FORM)</f>
        <v>Форма 13. Информация о предложении организации горячего водоснабжения об установлении расчетной величины тарифов в сфере горячего водоснабжения на очередной период регулирования</v>
      </c>
      <c r="T24" s="2170"/>
      <c r="U24" s="2170"/>
      <c r="V24" s="2170"/>
      <c r="W24" s="2170"/>
      <c r="X24" s="2170"/>
      <c r="Y24" s="2170"/>
      <c r="Z24" s="2170"/>
      <c r="AA24" s="2170"/>
      <c r="AB24" s="2170"/>
      <c r="AC24" s="2170"/>
      <c r="AD24" s="2170"/>
      <c r="AE24" s="2170"/>
      <c r="AF24" s="2170"/>
      <c r="AG24" s="2170"/>
      <c r="AH24" s="2170"/>
      <c r="AI24" s="2170"/>
      <c r="AJ24" s="2170"/>
      <c r="AK24" s="2170"/>
      <c r="AL24" s="2170"/>
      <c r="AM24" s="2170"/>
      <c r="AN24" s="2170"/>
      <c r="AO24" s="2170"/>
      <c r="AP24" s="2170"/>
      <c r="AQ24" s="1168"/>
      <c r="AY24" s="1080">
        <v>25</v>
      </c>
    </row>
    <row r="25" spans="1:51" ht="14.65" customHeight="1">
      <c r="Q25" s="311"/>
      <c r="R25" s="311"/>
      <c r="S25" s="2115" t="str">
        <f>IF(org=0,"Не определено",org)</f>
        <v>ООО "ЗЕНИТ ЭНЕРГО"</v>
      </c>
      <c r="T25" s="2115"/>
      <c r="U25" s="2115"/>
      <c r="V25" s="2115"/>
      <c r="W25" s="2115"/>
      <c r="X25" s="2115"/>
      <c r="Y25" s="2115"/>
      <c r="Z25" s="2115"/>
      <c r="AA25" s="2115"/>
      <c r="AB25" s="2115"/>
      <c r="AC25" s="2115"/>
      <c r="AD25" s="2115"/>
      <c r="AE25" s="2115"/>
      <c r="AF25" s="2115"/>
      <c r="AG25" s="2115"/>
      <c r="AH25" s="2115"/>
      <c r="AI25" s="2115"/>
      <c r="AJ25" s="2115"/>
      <c r="AK25" s="2115"/>
      <c r="AL25" s="2115"/>
      <c r="AM25" s="2115"/>
      <c r="AN25" s="2115"/>
      <c r="AO25" s="2115"/>
      <c r="AP25" s="2115"/>
      <c r="AQ25" s="1168"/>
      <c r="AY25" s="1080">
        <v>14</v>
      </c>
    </row>
    <row r="26" spans="1:51" ht="14.25" hidden="1" customHeight="1">
      <c r="Q26" s="311"/>
      <c r="R26" s="311"/>
      <c r="S26" s="1200"/>
      <c r="T26" s="298"/>
      <c r="U26" s="298"/>
      <c r="V26" s="258"/>
      <c r="W26" s="258"/>
      <c r="X26" s="258"/>
      <c r="Y26" s="258"/>
      <c r="Z26" s="258"/>
      <c r="AA26" s="258"/>
      <c r="AB26" s="258"/>
      <c r="AC26" s="258"/>
      <c r="AD26" s="258"/>
      <c r="AE26" s="258"/>
      <c r="AF26" s="258"/>
      <c r="AG26" s="258"/>
      <c r="AH26" s="258"/>
      <c r="AI26" s="258"/>
      <c r="AJ26" s="258"/>
      <c r="AK26" s="258"/>
      <c r="AL26" s="258"/>
      <c r="AM26" s="258"/>
      <c r="AN26" s="258"/>
      <c r="AO26" s="258"/>
      <c r="AP26" s="258"/>
      <c r="AQ26" s="258"/>
      <c r="AR26" s="444"/>
      <c r="AY26" s="1080">
        <v>0</v>
      </c>
    </row>
    <row r="27" spans="1:51" s="1777" customFormat="1" ht="25.5" hidden="1" customHeight="1">
      <c r="A27" s="1293"/>
      <c r="B27" s="1293"/>
      <c r="C27" s="1293"/>
      <c r="D27" s="1293"/>
      <c r="E27" s="1293"/>
      <c r="F27" s="1293"/>
      <c r="G27" s="1293"/>
      <c r="H27" s="1293"/>
      <c r="I27" s="1293"/>
      <c r="J27" s="1293"/>
      <c r="K27" s="1293"/>
      <c r="L27" s="1294"/>
      <c r="M27" s="1293"/>
      <c r="N27" s="1293"/>
      <c r="O27" s="1293"/>
      <c r="S27" s="2178" t="s">
        <v>42</v>
      </c>
      <c r="T27" s="2178"/>
      <c r="U27" s="1297"/>
      <c r="V27" s="2179" t="str">
        <f>IF(TITLE_NAME_OR_PR_CHANGE="",IF(TITLE_NAME_OR_PR="","",TITLE_NAME_OR_PR),TITLE_NAME_OR_PR_CHANGE)</f>
        <v/>
      </c>
      <c r="W27" s="2179"/>
      <c r="X27" s="2179"/>
      <c r="Y27" s="2179"/>
      <c r="Z27" s="2179"/>
      <c r="AA27" s="2179"/>
      <c r="AB27" s="2179"/>
      <c r="AC27" s="2179"/>
      <c r="AD27" s="2179"/>
      <c r="AE27" s="2179"/>
      <c r="AF27" s="262"/>
      <c r="AG27" s="2179" t="str">
        <f>IF(TITLE_NAME_OR_PR_CHANGE="",IF(TITLE_NAME_OR_PR="","",TITLE_NAME_OR_PR),TITLE_NAME_OR_PR_CHANGE)</f>
        <v/>
      </c>
      <c r="AH27" s="2179"/>
      <c r="AI27" s="2179"/>
      <c r="AJ27" s="2179"/>
      <c r="AK27" s="2179"/>
      <c r="AL27" s="2179"/>
      <c r="AM27" s="2179"/>
      <c r="AN27" s="2179"/>
      <c r="AO27" s="2179"/>
      <c r="AP27" s="2179"/>
      <c r="AQ27" s="262"/>
      <c r="AR27" s="262"/>
      <c r="AS27" s="216"/>
      <c r="AT27" s="303"/>
      <c r="AU27" s="303"/>
      <c r="AV27" s="303"/>
      <c r="AW27" s="303"/>
      <c r="AX27" s="303"/>
      <c r="AY27" s="353">
        <v>0</v>
      </c>
    </row>
    <row r="28" spans="1:51" s="1777" customFormat="1" ht="18.75" hidden="1" customHeight="1">
      <c r="A28" s="1293"/>
      <c r="B28" s="1293"/>
      <c r="C28" s="1293"/>
      <c r="D28" s="1293"/>
      <c r="E28" s="1293"/>
      <c r="F28" s="1293"/>
      <c r="G28" s="1293"/>
      <c r="H28" s="1293"/>
      <c r="I28" s="1293"/>
      <c r="J28" s="1293"/>
      <c r="K28" s="1293"/>
      <c r="L28" s="1294"/>
      <c r="M28" s="1293"/>
      <c r="N28" s="1293"/>
      <c r="O28" s="1293"/>
      <c r="S28" s="2178" t="s">
        <v>422</v>
      </c>
      <c r="T28" s="2178"/>
      <c r="U28" s="1297"/>
      <c r="V28" s="2188" t="str">
        <f>IF(TITLE_DATE_PR_CHANGE="",IF(TITLE_DATE_PR="","",TITLE_DATE_PR),TITLE_DATE_PR_CHANGE)</f>
        <v/>
      </c>
      <c r="W28" s="2188"/>
      <c r="X28" s="2188"/>
      <c r="Y28" s="2188"/>
      <c r="Z28" s="2188"/>
      <c r="AA28" s="2188"/>
      <c r="AB28" s="2188"/>
      <c r="AC28" s="2188"/>
      <c r="AD28" s="2188"/>
      <c r="AE28" s="2188"/>
      <c r="AF28" s="262"/>
      <c r="AG28" s="2188" t="str">
        <f>IF(TITLE_DATE_PR_CHANGE="",IF(TITLE_DATE_PR="","",TITLE_DATE_PR),TITLE_DATE_PR_CHANGE)</f>
        <v/>
      </c>
      <c r="AH28" s="2188"/>
      <c r="AI28" s="2188"/>
      <c r="AJ28" s="2188"/>
      <c r="AK28" s="2188"/>
      <c r="AL28" s="2188"/>
      <c r="AM28" s="2188"/>
      <c r="AN28" s="2188"/>
      <c r="AO28" s="2188"/>
      <c r="AP28" s="2188"/>
      <c r="AQ28" s="262"/>
      <c r="AR28" s="262"/>
      <c r="AS28" s="216"/>
      <c r="AT28" s="303"/>
      <c r="AU28" s="303"/>
      <c r="AV28" s="303"/>
      <c r="AW28" s="303"/>
      <c r="AX28" s="303"/>
      <c r="AY28" s="353">
        <v>0</v>
      </c>
    </row>
    <row r="29" spans="1:51" s="1777" customFormat="1" ht="18.75" hidden="1" customHeight="1">
      <c r="A29" s="1293"/>
      <c r="B29" s="1293"/>
      <c r="C29" s="1293"/>
      <c r="D29" s="1293"/>
      <c r="E29" s="1293"/>
      <c r="F29" s="1293"/>
      <c r="G29" s="1293"/>
      <c r="H29" s="1293"/>
      <c r="I29" s="1293"/>
      <c r="J29" s="1293"/>
      <c r="K29" s="1293"/>
      <c r="L29" s="1294"/>
      <c r="M29" s="1293"/>
      <c r="N29" s="1293"/>
      <c r="O29" s="1293"/>
      <c r="S29" s="2178" t="s">
        <v>423</v>
      </c>
      <c r="T29" s="2178"/>
      <c r="U29" s="1297"/>
      <c r="V29" s="2179" t="str">
        <f>IF(TITLE_NUMBER_PR_CHANGE="",IF(TITLE_NUMBER_PR="","",TITLE_NUMBER_PR),TITLE_NUMBER_PR_CHANGE)</f>
        <v/>
      </c>
      <c r="W29" s="2179"/>
      <c r="X29" s="2179"/>
      <c r="Y29" s="2179"/>
      <c r="Z29" s="2179"/>
      <c r="AA29" s="2179"/>
      <c r="AB29" s="2179"/>
      <c r="AC29" s="2179"/>
      <c r="AD29" s="2179"/>
      <c r="AE29" s="2179"/>
      <c r="AF29" s="262"/>
      <c r="AG29" s="2179" t="str">
        <f>IF(TITLE_NUMBER_PR_CHANGE="",IF(TITLE_NUMBER_PR="","",TITLE_NUMBER_PR),TITLE_NUMBER_PR_CHANGE)</f>
        <v/>
      </c>
      <c r="AH29" s="2179"/>
      <c r="AI29" s="2179"/>
      <c r="AJ29" s="2179"/>
      <c r="AK29" s="2179"/>
      <c r="AL29" s="2179"/>
      <c r="AM29" s="2179"/>
      <c r="AN29" s="2179"/>
      <c r="AO29" s="2179"/>
      <c r="AP29" s="2179"/>
      <c r="AQ29" s="262"/>
      <c r="AR29" s="262"/>
      <c r="AS29" s="216"/>
      <c r="AT29" s="303"/>
      <c r="AU29" s="303"/>
      <c r="AV29" s="303"/>
      <c r="AW29" s="303"/>
      <c r="AX29" s="303"/>
      <c r="AY29" s="353">
        <v>0</v>
      </c>
    </row>
    <row r="30" spans="1:51" s="1777" customFormat="1" ht="18.75" hidden="1" customHeight="1">
      <c r="A30" s="1293"/>
      <c r="B30" s="1293"/>
      <c r="C30" s="1293"/>
      <c r="D30" s="1293"/>
      <c r="E30" s="1293"/>
      <c r="F30" s="1293"/>
      <c r="G30" s="1293"/>
      <c r="H30" s="1293"/>
      <c r="I30" s="1293"/>
      <c r="J30" s="1293"/>
      <c r="K30" s="1293"/>
      <c r="L30" s="1294"/>
      <c r="M30" s="1293"/>
      <c r="N30" s="1293"/>
      <c r="O30" s="1293"/>
      <c r="S30" s="2178" t="s">
        <v>43</v>
      </c>
      <c r="T30" s="2178"/>
      <c r="U30" s="1297"/>
      <c r="V30" s="2179" t="str">
        <f>IF(TITLE_IST_PUB_CHANGE="",IF(TITLE_IST_PUB="","",TITLE_IST_PUB),TITLE_IST_PUB_CHANGE)</f>
        <v/>
      </c>
      <c r="W30" s="2179"/>
      <c r="X30" s="2179"/>
      <c r="Y30" s="2179"/>
      <c r="Z30" s="2179"/>
      <c r="AA30" s="2179"/>
      <c r="AB30" s="2179"/>
      <c r="AC30" s="2179"/>
      <c r="AD30" s="2179"/>
      <c r="AE30" s="2179"/>
      <c r="AF30" s="262"/>
      <c r="AG30" s="2179" t="str">
        <f>IF(TITLE_IST_PUB_CHANGE="",IF(TITLE_IST_PUB="","",TITLE_IST_PUB),TITLE_IST_PUB_CHANGE)</f>
        <v/>
      </c>
      <c r="AH30" s="2179"/>
      <c r="AI30" s="2179"/>
      <c r="AJ30" s="2179"/>
      <c r="AK30" s="2179"/>
      <c r="AL30" s="2179"/>
      <c r="AM30" s="2179"/>
      <c r="AN30" s="2179"/>
      <c r="AO30" s="2179"/>
      <c r="AP30" s="2179"/>
      <c r="AQ30" s="262"/>
      <c r="AR30" s="262"/>
      <c r="AS30" s="216"/>
      <c r="AT30" s="303"/>
      <c r="AU30" s="303"/>
      <c r="AV30" s="303"/>
      <c r="AW30" s="303"/>
      <c r="AX30" s="303"/>
      <c r="AY30" s="353">
        <v>0</v>
      </c>
    </row>
    <row r="31" spans="1:51" ht="14.25" hidden="1" customHeight="1">
      <c r="Q31" s="311"/>
      <c r="R31" s="311"/>
      <c r="S31" s="1200"/>
      <c r="T31" s="298"/>
      <c r="U31" s="298"/>
      <c r="V31" s="258"/>
      <c r="W31" s="258"/>
      <c r="X31" s="258"/>
      <c r="Y31" s="258"/>
      <c r="Z31" s="258"/>
      <c r="AA31" s="258"/>
      <c r="AB31" s="258"/>
      <c r="AC31" s="258"/>
      <c r="AD31" s="258"/>
      <c r="AE31" s="258"/>
      <c r="AF31" s="258"/>
      <c r="AG31" s="258"/>
      <c r="AH31" s="258"/>
      <c r="AI31" s="258"/>
      <c r="AJ31" s="258"/>
      <c r="AK31" s="258"/>
      <c r="AL31" s="258"/>
      <c r="AM31" s="258"/>
      <c r="AN31" s="258"/>
      <c r="AO31" s="258"/>
      <c r="AP31" s="258"/>
      <c r="AQ31" s="258"/>
      <c r="AR31" s="444"/>
      <c r="AY31" s="1080">
        <v>0</v>
      </c>
    </row>
    <row r="32" spans="1:51" s="1777" customFormat="1" ht="18.75" hidden="1" customHeight="1">
      <c r="A32" s="1293"/>
      <c r="B32" s="1293"/>
      <c r="C32" s="1293"/>
      <c r="D32" s="1293"/>
      <c r="E32" s="1293"/>
      <c r="F32" s="1293"/>
      <c r="G32" s="1293"/>
      <c r="H32" s="1293"/>
      <c r="I32" s="1293"/>
      <c r="J32" s="1293"/>
      <c r="K32" s="1293"/>
      <c r="L32" s="1294"/>
      <c r="M32" s="1293"/>
      <c r="N32" s="1293"/>
      <c r="O32" s="1293"/>
      <c r="S32" s="2178" t="s">
        <v>424</v>
      </c>
      <c r="T32" s="2178"/>
      <c r="U32" s="1297"/>
      <c r="V32" s="2188" t="str">
        <f>IF(TITLE_DATE_PR_CHANGE="",IF(TITLE_DATE_PR="","",TITLE_DATE_PR),TITLE_DATE_PR_CHANGE)</f>
        <v/>
      </c>
      <c r="W32" s="2188"/>
      <c r="X32" s="2188"/>
      <c r="Y32" s="2188"/>
      <c r="Z32" s="2188"/>
      <c r="AA32" s="2188"/>
      <c r="AB32" s="2188"/>
      <c r="AC32" s="2188"/>
      <c r="AD32" s="2188"/>
      <c r="AE32" s="2188"/>
      <c r="AF32" s="262"/>
      <c r="AG32" s="2188" t="str">
        <f>IF(TITLE_DATE_PR_CHANGE="",IF(TITLE_DATE_PR="","",TITLE_DATE_PR),TITLE_DATE_PR_CHANGE)</f>
        <v/>
      </c>
      <c r="AH32" s="2188"/>
      <c r="AI32" s="2188"/>
      <c r="AJ32" s="2188"/>
      <c r="AK32" s="2188"/>
      <c r="AL32" s="2188"/>
      <c r="AM32" s="2188"/>
      <c r="AN32" s="2188"/>
      <c r="AO32" s="2188"/>
      <c r="AP32" s="2188"/>
      <c r="AQ32" s="262"/>
      <c r="AR32" s="262"/>
      <c r="AS32" s="216"/>
      <c r="AT32" s="303"/>
      <c r="AU32" s="303"/>
      <c r="AV32" s="303"/>
      <c r="AW32" s="303"/>
      <c r="AX32" s="303"/>
      <c r="AY32" s="353">
        <v>0</v>
      </c>
    </row>
    <row r="33" spans="1:51" s="1777" customFormat="1" ht="18.75" hidden="1" customHeight="1">
      <c r="A33" s="1293"/>
      <c r="B33" s="1293"/>
      <c r="C33" s="1293"/>
      <c r="D33" s="1293"/>
      <c r="E33" s="1293"/>
      <c r="F33" s="1293"/>
      <c r="G33" s="1293"/>
      <c r="H33" s="1293"/>
      <c r="I33" s="1293"/>
      <c r="J33" s="1293"/>
      <c r="K33" s="1293"/>
      <c r="L33" s="1294"/>
      <c r="M33" s="1293"/>
      <c r="N33" s="1293"/>
      <c r="O33" s="1293"/>
      <c r="S33" s="2178" t="s">
        <v>425</v>
      </c>
      <c r="T33" s="2178"/>
      <c r="U33" s="1297"/>
      <c r="V33" s="2179" t="str">
        <f>IF(TITLE_NUMBER_PR_CHANGE="",IF(TITLE_NUMBER_PR="","",TITLE_NUMBER_PR),TITLE_NUMBER_PR_CHANGE)</f>
        <v/>
      </c>
      <c r="W33" s="2179"/>
      <c r="X33" s="2179"/>
      <c r="Y33" s="2179"/>
      <c r="Z33" s="2179"/>
      <c r="AA33" s="2179"/>
      <c r="AB33" s="2179"/>
      <c r="AC33" s="2179"/>
      <c r="AD33" s="2179"/>
      <c r="AE33" s="2179"/>
      <c r="AF33" s="262"/>
      <c r="AG33" s="2179" t="str">
        <f>IF(TITLE_NUMBER_PR_CHANGE="",IF(TITLE_NUMBER_PR="","",TITLE_NUMBER_PR),TITLE_NUMBER_PR_CHANGE)</f>
        <v/>
      </c>
      <c r="AH33" s="2179"/>
      <c r="AI33" s="2179"/>
      <c r="AJ33" s="2179"/>
      <c r="AK33" s="2179"/>
      <c r="AL33" s="2179"/>
      <c r="AM33" s="2179"/>
      <c r="AN33" s="2179"/>
      <c r="AO33" s="2179"/>
      <c r="AP33" s="2179"/>
      <c r="AQ33" s="262"/>
      <c r="AR33" s="262"/>
      <c r="AS33" s="216"/>
      <c r="AT33" s="303"/>
      <c r="AU33" s="303"/>
      <c r="AV33" s="303"/>
      <c r="AW33" s="303"/>
      <c r="AX33" s="303"/>
      <c r="AY33" s="353">
        <v>0</v>
      </c>
    </row>
    <row r="34" spans="1:51" s="1777" customFormat="1" ht="1.1499999999999999" customHeight="1">
      <c r="A34" s="1293"/>
      <c r="B34" s="1293"/>
      <c r="C34" s="1293"/>
      <c r="D34" s="1293"/>
      <c r="E34" s="1293"/>
      <c r="F34" s="1293"/>
      <c r="G34" s="1293"/>
      <c r="H34" s="1293"/>
      <c r="I34" s="1293"/>
      <c r="J34" s="1293"/>
      <c r="K34" s="1293"/>
      <c r="L34" s="1294"/>
      <c r="M34" s="1293"/>
      <c r="N34" s="1293"/>
      <c r="O34" s="1293"/>
      <c r="S34" s="259"/>
      <c r="T34" s="259"/>
      <c r="U34" s="1413"/>
      <c r="V34" s="262"/>
      <c r="W34" s="1560"/>
      <c r="X34" s="1560"/>
      <c r="Y34" s="1560"/>
      <c r="Z34" s="1560"/>
      <c r="AA34" s="1560"/>
      <c r="AB34" s="1560"/>
      <c r="AC34" s="262"/>
      <c r="AD34" s="262"/>
      <c r="AE34" s="262"/>
      <c r="AF34" s="214" t="s">
        <v>426</v>
      </c>
      <c r="AG34" s="262"/>
      <c r="AH34" s="1560"/>
      <c r="AI34" s="1560"/>
      <c r="AJ34" s="1560"/>
      <c r="AK34" s="1560"/>
      <c r="AL34" s="1560"/>
      <c r="AM34" s="262"/>
      <c r="AN34" s="262"/>
      <c r="AO34" s="262"/>
      <c r="AP34" s="262"/>
      <c r="AQ34" s="214" t="s">
        <v>426</v>
      </c>
      <c r="AT34" s="303"/>
      <c r="AU34" s="303"/>
      <c r="AV34" s="303"/>
      <c r="AW34" s="303"/>
      <c r="AX34" s="303"/>
      <c r="AY34" s="353">
        <v>1</v>
      </c>
    </row>
    <row r="35" spans="1:51" ht="14.65" customHeight="1">
      <c r="Q35" s="311"/>
      <c r="R35" s="311"/>
      <c r="S35" s="1200"/>
      <c r="T35" s="298"/>
      <c r="U35" s="1169"/>
      <c r="V35" s="2180"/>
      <c r="W35" s="2180"/>
      <c r="X35" s="2180"/>
      <c r="Y35" s="2180"/>
      <c r="Z35" s="2180"/>
      <c r="AA35" s="2180"/>
      <c r="AB35" s="2180"/>
      <c r="AC35" s="2180"/>
      <c r="AD35" s="2180"/>
      <c r="AE35" s="2180"/>
      <c r="AF35" s="2180"/>
      <c r="AG35" s="2180"/>
      <c r="AH35" s="2180"/>
      <c r="AI35" s="2180"/>
      <c r="AJ35" s="2180"/>
      <c r="AK35" s="2180"/>
      <c r="AL35" s="2180"/>
      <c r="AM35" s="2180"/>
      <c r="AN35" s="2180"/>
      <c r="AO35" s="2180"/>
      <c r="AP35" s="2180"/>
      <c r="AQ35" s="2180"/>
      <c r="AY35" s="1080">
        <v>14</v>
      </c>
    </row>
    <row r="36" spans="1:51" ht="14.65" customHeight="1">
      <c r="Q36" s="311"/>
      <c r="R36" s="311"/>
      <c r="S36" s="2066" t="s">
        <v>299</v>
      </c>
      <c r="T36" s="2066"/>
      <c r="U36" s="2066"/>
      <c r="V36" s="2066"/>
      <c r="W36" s="2066"/>
      <c r="X36" s="2066"/>
      <c r="Y36" s="2066"/>
      <c r="Z36" s="2066"/>
      <c r="AA36" s="2066"/>
      <c r="AB36" s="2066"/>
      <c r="AC36" s="2066"/>
      <c r="AD36" s="2066"/>
      <c r="AE36" s="2066"/>
      <c r="AF36" s="2066"/>
      <c r="AG36" s="2066"/>
      <c r="AH36" s="2066"/>
      <c r="AI36" s="2066"/>
      <c r="AJ36" s="2066"/>
      <c r="AK36" s="2066"/>
      <c r="AL36" s="2066"/>
      <c r="AM36" s="2066"/>
      <c r="AN36" s="2066"/>
      <c r="AO36" s="2066"/>
      <c r="AP36" s="2066"/>
      <c r="AQ36" s="2066"/>
      <c r="AR36" s="2066"/>
      <c r="AS36" s="2066" t="s">
        <v>300</v>
      </c>
      <c r="AY36" s="1080">
        <v>14</v>
      </c>
    </row>
    <row r="37" spans="1:51" ht="14.65" customHeight="1">
      <c r="Q37" s="311"/>
      <c r="R37" s="311"/>
      <c r="S37" s="2194" t="s">
        <v>88</v>
      </c>
      <c r="T37" s="2145" t="s">
        <v>427</v>
      </c>
      <c r="U37" s="237"/>
      <c r="V37" s="2195" t="s">
        <v>428</v>
      </c>
      <c r="W37" s="2212"/>
      <c r="X37" s="2212"/>
      <c r="Y37" s="2212"/>
      <c r="Z37" s="2212"/>
      <c r="AA37" s="2212"/>
      <c r="AB37" s="2212"/>
      <c r="AC37" s="2196"/>
      <c r="AD37" s="2196"/>
      <c r="AE37" s="2197"/>
      <c r="AF37" s="2198" t="s">
        <v>429</v>
      </c>
      <c r="AG37" s="2195" t="s">
        <v>428</v>
      </c>
      <c r="AH37" s="2196"/>
      <c r="AI37" s="2196"/>
      <c r="AJ37" s="2196"/>
      <c r="AK37" s="2196"/>
      <c r="AL37" s="2196"/>
      <c r="AM37" s="2196"/>
      <c r="AN37" s="2196"/>
      <c r="AO37" s="2196"/>
      <c r="AP37" s="2197"/>
      <c r="AQ37" s="2198" t="s">
        <v>430</v>
      </c>
      <c r="AR37" s="2201" t="s">
        <v>431</v>
      </c>
      <c r="AS37" s="2066"/>
      <c r="AY37" s="1080">
        <v>14</v>
      </c>
    </row>
    <row r="38" spans="1:51" ht="19.899999999999999" customHeight="1">
      <c r="Q38" s="311"/>
      <c r="R38" s="311"/>
      <c r="S38" s="2194"/>
      <c r="T38" s="2145"/>
      <c r="U38" s="959"/>
      <c r="V38" s="2066" t="s">
        <v>531</v>
      </c>
      <c r="W38" s="2268" t="s">
        <v>532</v>
      </c>
      <c r="X38" s="2268"/>
      <c r="Y38" s="2268"/>
      <c r="Z38" s="2268" t="s">
        <v>533</v>
      </c>
      <c r="AA38" s="2268"/>
      <c r="AB38" s="2268"/>
      <c r="AC38" s="2131" t="s">
        <v>435</v>
      </c>
      <c r="AD38" s="2226"/>
      <c r="AE38" s="2132"/>
      <c r="AF38" s="2199"/>
      <c r="AG38" s="2066" t="s">
        <v>531</v>
      </c>
      <c r="AH38" s="2268" t="s">
        <v>532</v>
      </c>
      <c r="AI38" s="2268"/>
      <c r="AJ38" s="2268"/>
      <c r="AK38" s="2268" t="s">
        <v>533</v>
      </c>
      <c r="AL38" s="2268"/>
      <c r="AM38" s="2268"/>
      <c r="AN38" s="2131" t="s">
        <v>435</v>
      </c>
      <c r="AO38" s="2226"/>
      <c r="AP38" s="2132"/>
      <c r="AQ38" s="2199"/>
      <c r="AR38" s="2202"/>
      <c r="AS38" s="2066"/>
      <c r="AY38" s="1080">
        <v>19</v>
      </c>
    </row>
    <row r="39" spans="1:51" s="1560" customFormat="1" ht="19.899999999999999" customHeight="1">
      <c r="A39" s="1291"/>
      <c r="B39" s="1291"/>
      <c r="C39" s="1291"/>
      <c r="D39" s="1291"/>
      <c r="E39" s="1291"/>
      <c r="F39" s="1291"/>
      <c r="G39" s="1291"/>
      <c r="H39" s="1291"/>
      <c r="I39" s="1291"/>
      <c r="J39" s="1291"/>
      <c r="K39" s="1291"/>
      <c r="L39" s="1872"/>
      <c r="M39" s="1287"/>
      <c r="N39" s="1287"/>
      <c r="O39" s="1287"/>
      <c r="P39" s="1886"/>
      <c r="Q39" s="311"/>
      <c r="R39" s="311"/>
      <c r="S39" s="2194"/>
      <c r="T39" s="2145"/>
      <c r="U39" s="959"/>
      <c r="V39" s="2066"/>
      <c r="W39" s="2268" t="s">
        <v>534</v>
      </c>
      <c r="X39" s="2268" t="s">
        <v>535</v>
      </c>
      <c r="Y39" s="2268"/>
      <c r="Z39" s="2268" t="s">
        <v>536</v>
      </c>
      <c r="AA39" s="2268" t="s">
        <v>535</v>
      </c>
      <c r="AB39" s="2268"/>
      <c r="AC39" s="2136"/>
      <c r="AD39" s="2227"/>
      <c r="AE39" s="2137"/>
      <c r="AF39" s="2199"/>
      <c r="AG39" s="2066"/>
      <c r="AH39" s="2268" t="s">
        <v>534</v>
      </c>
      <c r="AI39" s="2268" t="s">
        <v>535</v>
      </c>
      <c r="AJ39" s="2268"/>
      <c r="AK39" s="2268" t="s">
        <v>536</v>
      </c>
      <c r="AL39" s="2268" t="s">
        <v>535</v>
      </c>
      <c r="AM39" s="2268"/>
      <c r="AN39" s="2136"/>
      <c r="AO39" s="2227"/>
      <c r="AP39" s="2137"/>
      <c r="AQ39" s="2199"/>
      <c r="AR39" s="2202"/>
      <c r="AS39" s="2066"/>
      <c r="AT39" s="1561"/>
      <c r="AU39" s="1561"/>
      <c r="AV39" s="1561"/>
      <c r="AW39" s="1561"/>
      <c r="AX39" s="1561"/>
      <c r="AY39" s="1556">
        <v>19</v>
      </c>
    </row>
    <row r="40" spans="1:51" ht="61.9" customHeight="1">
      <c r="A40" s="1295"/>
      <c r="B40" s="1295" t="s">
        <v>136</v>
      </c>
      <c r="C40" s="1295" t="s">
        <v>137</v>
      </c>
      <c r="D40" s="1295" t="s">
        <v>138</v>
      </c>
      <c r="E40" s="1289" t="s">
        <v>436</v>
      </c>
      <c r="F40" s="1289" t="s">
        <v>437</v>
      </c>
      <c r="G40" s="1289" t="s">
        <v>438</v>
      </c>
      <c r="H40" s="1289"/>
      <c r="I40" s="1289" t="s">
        <v>489</v>
      </c>
      <c r="J40" s="1289" t="s">
        <v>441</v>
      </c>
      <c r="K40" s="1289" t="s">
        <v>490</v>
      </c>
      <c r="L40" s="1289" t="s">
        <v>417</v>
      </c>
      <c r="Q40" s="311"/>
      <c r="R40" s="311"/>
      <c r="S40" s="2194"/>
      <c r="T40" s="2145"/>
      <c r="U40" s="238"/>
      <c r="V40" s="2066"/>
      <c r="W40" s="2268"/>
      <c r="X40" s="1904" t="s">
        <v>537</v>
      </c>
      <c r="Y40" s="1904" t="s">
        <v>538</v>
      </c>
      <c r="Z40" s="2268"/>
      <c r="AA40" s="1904" t="s">
        <v>539</v>
      </c>
      <c r="AB40" s="1904" t="s">
        <v>540</v>
      </c>
      <c r="AC40" s="1414" t="s">
        <v>445</v>
      </c>
      <c r="AD40" s="2154" t="s">
        <v>446</v>
      </c>
      <c r="AE40" s="2156"/>
      <c r="AF40" s="2200"/>
      <c r="AG40" s="2066"/>
      <c r="AH40" s="2268"/>
      <c r="AI40" s="1904" t="s">
        <v>537</v>
      </c>
      <c r="AJ40" s="1904" t="s">
        <v>538</v>
      </c>
      <c r="AK40" s="2268"/>
      <c r="AL40" s="1904" t="s">
        <v>539</v>
      </c>
      <c r="AM40" s="1904" t="s">
        <v>540</v>
      </c>
      <c r="AN40" s="1414" t="s">
        <v>445</v>
      </c>
      <c r="AO40" s="2154" t="s">
        <v>446</v>
      </c>
      <c r="AP40" s="2156"/>
      <c r="AQ40" s="2200"/>
      <c r="AR40" s="2203"/>
      <c r="AS40" s="2066"/>
      <c r="AY40" s="1080">
        <v>59</v>
      </c>
    </row>
    <row r="41" spans="1:51" s="1566" customFormat="1" ht="11.25" hidden="1" customHeight="1">
      <c r="A41" s="1295"/>
      <c r="B41" s="1295"/>
      <c r="C41" s="1295"/>
      <c r="D41" s="1295"/>
      <c r="E41" s="1295"/>
      <c r="F41" s="1295"/>
      <c r="G41" s="1295"/>
      <c r="H41" s="1295"/>
      <c r="I41" s="1295"/>
      <c r="J41" s="1295"/>
      <c r="K41" s="1295"/>
      <c r="L41" s="1289"/>
      <c r="M41" s="1287"/>
      <c r="N41" s="1287"/>
      <c r="O41" s="1287"/>
      <c r="P41" s="1171"/>
      <c r="Q41" s="1172"/>
      <c r="R41" s="1179">
        <v>1</v>
      </c>
      <c r="S41" s="1202" t="s">
        <v>109</v>
      </c>
      <c r="T41" s="1180" t="s">
        <v>110</v>
      </c>
      <c r="U41" s="1170" t="str">
        <f ca="1">OFFSET(U41,0,-1)</f>
        <v>2</v>
      </c>
      <c r="V41" s="1407">
        <f ca="1">OFFSET(V41,0,-1)+1</f>
        <v>3</v>
      </c>
      <c r="W41" s="1266"/>
      <c r="X41" s="1266"/>
      <c r="Y41" s="1266"/>
      <c r="Z41" s="1266"/>
      <c r="AA41" s="1266"/>
      <c r="AB41" s="1266"/>
      <c r="AC41" s="1407">
        <f ca="1">OFFSET(AC41,0,-1)+1</f>
        <v>1</v>
      </c>
      <c r="AD41" s="2193">
        <f ca="1">OFFSET(AD41,0,-1)+1</f>
        <v>2</v>
      </c>
      <c r="AE41" s="2193"/>
      <c r="AF41" s="1407">
        <f ca="1">OFFSET(AF41,0,-2)+1</f>
        <v>3</v>
      </c>
      <c r="AG41" s="1407">
        <f ca="1">OFFSET(AG41,0,-1)+1</f>
        <v>4</v>
      </c>
      <c r="AH41" s="1877"/>
      <c r="AI41" s="1877"/>
      <c r="AJ41" s="1877"/>
      <c r="AK41" s="1877"/>
      <c r="AL41" s="1877"/>
      <c r="AM41" s="1407">
        <f ca="1">OFFSET(AM41,0,-1)+1</f>
        <v>1</v>
      </c>
      <c r="AN41" s="1407">
        <f ca="1">OFFSET(AN41,0,-1)+1</f>
        <v>2</v>
      </c>
      <c r="AO41" s="2193">
        <f ca="1">OFFSET(AO41,0,-1)+1</f>
        <v>3</v>
      </c>
      <c r="AP41" s="2193"/>
      <c r="AQ41" s="1407">
        <f ca="1">OFFSET(AQ41,0,-2)+1</f>
        <v>4</v>
      </c>
      <c r="AR41" s="1170">
        <f ca="1">OFFSET(AR41,0,-1)</f>
        <v>4</v>
      </c>
      <c r="AS41" s="1407">
        <f ca="1">OFFSET(AS41,0,-1)+1</f>
        <v>5</v>
      </c>
      <c r="AT41" s="446"/>
      <c r="AU41" s="446"/>
      <c r="AV41" s="446"/>
      <c r="AW41" s="446"/>
      <c r="AX41" s="446"/>
      <c r="AY41" s="431">
        <v>0</v>
      </c>
    </row>
    <row r="42" spans="1:51" ht="24" customHeight="1">
      <c r="A42" s="1288" t="s">
        <v>250</v>
      </c>
      <c r="B42" s="1288"/>
      <c r="C42" s="1288"/>
      <c r="D42" s="1288"/>
      <c r="E42" s="2186">
        <v>1</v>
      </c>
      <c r="F42" s="1288"/>
      <c r="G42" s="1288"/>
      <c r="H42" s="1288"/>
      <c r="I42" s="1288"/>
      <c r="J42" s="1288"/>
      <c r="K42" s="1288"/>
      <c r="L42" s="1289"/>
      <c r="M42" s="1290"/>
      <c r="N42" s="1290"/>
      <c r="O42" s="1290"/>
      <c r="P42" s="296"/>
      <c r="Q42" s="295"/>
      <c r="R42" s="290"/>
      <c r="S42" s="1418">
        <f>INDEX(PT_DIFFERENTIATION_NUM_NTAR,MATCH(A42,PT_DIFFERENTIATION_NTAR_ID,0))</f>
        <v>0</v>
      </c>
      <c r="T42" s="234" t="s">
        <v>124</v>
      </c>
      <c r="U42" s="236"/>
      <c r="V42" s="2172"/>
      <c r="W42" s="2173"/>
      <c r="X42" s="2173"/>
      <c r="Y42" s="2173"/>
      <c r="Z42" s="2173"/>
      <c r="AA42" s="2173"/>
      <c r="AB42" s="2173"/>
      <c r="AC42" s="2173"/>
      <c r="AD42" s="2173"/>
      <c r="AE42" s="2173"/>
      <c r="AF42" s="2174"/>
      <c r="AG42" s="2172" t="str">
        <f>INDEX(PT_DIFFERENTIATION_NTAR,MATCH(A42,PT_DIFFERENTIATION_NTAR_ID,0))</f>
        <v/>
      </c>
      <c r="AH42" s="2173"/>
      <c r="AI42" s="2173"/>
      <c r="AJ42" s="2173"/>
      <c r="AK42" s="2173"/>
      <c r="AL42" s="2173"/>
      <c r="AM42" s="2173"/>
      <c r="AN42" s="2173"/>
      <c r="AO42" s="2173"/>
      <c r="AP42" s="2173"/>
      <c r="AQ42" s="2173"/>
      <c r="AR42" s="2174"/>
      <c r="AS42" s="1183"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U42" s="435"/>
      <c r="AV42" s="435" t="str">
        <f t="shared" ref="AV42:AV54" si="1">IF(T42="","",T42)</f>
        <v>Наименование тарифа</v>
      </c>
      <c r="AW42" s="435"/>
      <c r="AX42" s="435"/>
      <c r="AY42" s="1080">
        <v>23</v>
      </c>
    </row>
    <row r="43" spans="1:51" ht="24" customHeight="1">
      <c r="A43" s="1288" t="s">
        <v>250</v>
      </c>
      <c r="B43" s="1288" t="s">
        <v>251</v>
      </c>
      <c r="C43" s="1288"/>
      <c r="D43" s="1288"/>
      <c r="E43" s="2187"/>
      <c r="F43" s="2186">
        <v>1</v>
      </c>
      <c r="G43" s="1288"/>
      <c r="H43" s="1288"/>
      <c r="I43" s="1288"/>
      <c r="J43" s="1288"/>
      <c r="K43" s="1288"/>
      <c r="L43" s="1289"/>
      <c r="M43" s="1290"/>
      <c r="N43" s="1290"/>
      <c r="O43" s="1290"/>
      <c r="P43" s="1412"/>
      <c r="Q43" s="287"/>
      <c r="R43" s="288"/>
      <c r="S43" s="1418" t="str">
        <f>INDEX(PT_DIFFERENTIATION_NUM_TER,MATCH(B43,PT_DIFFERENTIATION_TER_ID,0))</f>
        <v>.</v>
      </c>
      <c r="T43" s="244" t="s">
        <v>396</v>
      </c>
      <c r="U43" s="236"/>
      <c r="V43" s="2172"/>
      <c r="W43" s="2173"/>
      <c r="X43" s="2173"/>
      <c r="Y43" s="2173"/>
      <c r="Z43" s="2173"/>
      <c r="AA43" s="2173"/>
      <c r="AB43" s="2173"/>
      <c r="AC43" s="2173"/>
      <c r="AD43" s="2173"/>
      <c r="AE43" s="2173"/>
      <c r="AF43" s="2174"/>
      <c r="AG43" s="2172" t="str">
        <f>INDEX(PT_DIFFERENTIATION_TER,MATCH(B43,PT_DIFFERENTIATION_TER_ID,0))</f>
        <v/>
      </c>
      <c r="AH43" s="2173"/>
      <c r="AI43" s="2173"/>
      <c r="AJ43" s="2173"/>
      <c r="AK43" s="2173"/>
      <c r="AL43" s="2173"/>
      <c r="AM43" s="2173"/>
      <c r="AN43" s="2173"/>
      <c r="AO43" s="2173"/>
      <c r="AP43" s="2173"/>
      <c r="AQ43" s="2173"/>
      <c r="AR43" s="2174"/>
      <c r="AS43" s="1183" t="s">
        <v>397</v>
      </c>
      <c r="AU43" s="435"/>
      <c r="AV43" s="435" t="str">
        <f t="shared" si="1"/>
        <v>Территория действия тарифа</v>
      </c>
      <c r="AW43" s="435"/>
      <c r="AX43" s="435"/>
      <c r="AY43" s="1080">
        <v>23</v>
      </c>
    </row>
    <row r="44" spans="1:51" ht="24" customHeight="1">
      <c r="A44" s="1288" t="s">
        <v>250</v>
      </c>
      <c r="B44" s="1288" t="s">
        <v>251</v>
      </c>
      <c r="C44" s="1288" t="s">
        <v>252</v>
      </c>
      <c r="D44" s="1288"/>
      <c r="E44" s="2187"/>
      <c r="F44" s="2187"/>
      <c r="G44" s="2186">
        <v>1</v>
      </c>
      <c r="H44" s="1288"/>
      <c r="I44" s="1288"/>
      <c r="J44" s="1288"/>
      <c r="K44" s="1288"/>
      <c r="L44" s="1289"/>
      <c r="M44" s="1290"/>
      <c r="N44" s="1290"/>
      <c r="O44" s="1290"/>
      <c r="P44" s="289"/>
      <c r="Q44" s="287"/>
      <c r="R44" s="288"/>
      <c r="S44" s="1418" t="str">
        <f>INDEX(PT_DIFFERENTIATION_NUM_CS,MATCH(C44,PT_DIFFERENTIATION_CS_ID,0))</f>
        <v>..</v>
      </c>
      <c r="T44" s="245" t="s">
        <v>529</v>
      </c>
      <c r="U44" s="236"/>
      <c r="V44" s="2172"/>
      <c r="W44" s="2173"/>
      <c r="X44" s="2173"/>
      <c r="Y44" s="2173"/>
      <c r="Z44" s="2173"/>
      <c r="AA44" s="2173"/>
      <c r="AB44" s="2173"/>
      <c r="AC44" s="2173"/>
      <c r="AD44" s="2173"/>
      <c r="AE44" s="2173"/>
      <c r="AF44" s="2174"/>
      <c r="AG44" s="2172" t="str">
        <f>INDEX(PT_DIFFERENTIATION_CS,MATCH(C44,PT_DIFFERENTIATION_CS_ID,0))</f>
        <v/>
      </c>
      <c r="AH44" s="2173"/>
      <c r="AI44" s="2173"/>
      <c r="AJ44" s="2173"/>
      <c r="AK44" s="2173"/>
      <c r="AL44" s="2173"/>
      <c r="AM44" s="2173"/>
      <c r="AN44" s="2173"/>
      <c r="AO44" s="2173"/>
      <c r="AP44" s="2173"/>
      <c r="AQ44" s="2173"/>
      <c r="AR44" s="2174"/>
      <c r="AS44" s="1183" t="s">
        <v>530</v>
      </c>
      <c r="AU44" s="435"/>
      <c r="AV44" s="435" t="str">
        <f t="shared" si="1"/>
        <v>Наименование централизованной системы горячего водоснабжения</v>
      </c>
      <c r="AW44" s="435"/>
      <c r="AX44" s="435"/>
      <c r="AY44" s="1080">
        <v>23</v>
      </c>
    </row>
    <row r="45" spans="1:51" ht="24" customHeight="1">
      <c r="A45" s="1288" t="s">
        <v>250</v>
      </c>
      <c r="B45" s="1288" t="s">
        <v>251</v>
      </c>
      <c r="C45" s="1288" t="s">
        <v>252</v>
      </c>
      <c r="D45" s="1288" t="s">
        <v>541</v>
      </c>
      <c r="E45" s="2187"/>
      <c r="F45" s="2187"/>
      <c r="G45" s="2187"/>
      <c r="H45" s="2187"/>
      <c r="I45" s="2184" t="str">
        <f>S44&amp;".1"</f>
        <v>...1</v>
      </c>
      <c r="J45" s="1288"/>
      <c r="K45" s="1288"/>
      <c r="L45" s="1289"/>
      <c r="P45" s="2185">
        <v>1</v>
      </c>
      <c r="Q45" s="1406"/>
      <c r="R45" s="291"/>
      <c r="S45" s="1418" t="str">
        <f>$I45</f>
        <v>...1</v>
      </c>
      <c r="T45" s="221" t="s">
        <v>482</v>
      </c>
      <c r="U45" s="236"/>
      <c r="V45" s="2253"/>
      <c r="W45" s="2254"/>
      <c r="X45" s="2254"/>
      <c r="Y45" s="2254"/>
      <c r="Z45" s="2254"/>
      <c r="AA45" s="2254"/>
      <c r="AB45" s="2254"/>
      <c r="AC45" s="2254"/>
      <c r="AD45" s="2254"/>
      <c r="AE45" s="2254"/>
      <c r="AF45" s="2255"/>
      <c r="AG45" s="2256"/>
      <c r="AH45" s="2257"/>
      <c r="AI45" s="2257"/>
      <c r="AJ45" s="2257"/>
      <c r="AK45" s="2257"/>
      <c r="AL45" s="2257"/>
      <c r="AM45" s="2257"/>
      <c r="AN45" s="2257"/>
      <c r="AO45" s="2257"/>
      <c r="AP45" s="2257"/>
      <c r="AQ45" s="2257"/>
      <c r="AR45" s="2258"/>
      <c r="AS45" s="1183" t="s">
        <v>483</v>
      </c>
      <c r="AU45" s="435"/>
      <c r="AV45" s="435" t="str">
        <f t="shared" si="1"/>
        <v>Наименование признака дифференциации</v>
      </c>
      <c r="AW45" s="435"/>
      <c r="AX45" s="435"/>
      <c r="AY45" s="1080">
        <v>23</v>
      </c>
    </row>
    <row r="46" spans="1:51" ht="24" customHeight="1">
      <c r="A46" s="1288" t="s">
        <v>250</v>
      </c>
      <c r="B46" s="1288" t="s">
        <v>251</v>
      </c>
      <c r="C46" s="1288" t="s">
        <v>252</v>
      </c>
      <c r="D46" s="1288" t="s">
        <v>541</v>
      </c>
      <c r="E46" s="2187"/>
      <c r="F46" s="2187"/>
      <c r="G46" s="2187"/>
      <c r="H46" s="2187"/>
      <c r="I46" s="2207"/>
      <c r="J46" s="2184" t="str">
        <f>I45&amp;".1"</f>
        <v>...1.1</v>
      </c>
      <c r="K46" s="1288"/>
      <c r="L46" s="1289" t="s">
        <v>405</v>
      </c>
      <c r="P46" s="2185"/>
      <c r="Q46" s="2185">
        <v>1</v>
      </c>
      <c r="R46" s="292"/>
      <c r="S46" s="1418" t="str">
        <f>$J46</f>
        <v>...1.1</v>
      </c>
      <c r="T46" s="222" t="s">
        <v>406</v>
      </c>
      <c r="U46" s="236"/>
      <c r="V46" s="2175"/>
      <c r="W46" s="2176"/>
      <c r="X46" s="2176"/>
      <c r="Y46" s="2176"/>
      <c r="Z46" s="2176"/>
      <c r="AA46" s="2176"/>
      <c r="AB46" s="2176"/>
      <c r="AC46" s="2176"/>
      <c r="AD46" s="2176"/>
      <c r="AE46" s="2176"/>
      <c r="AF46" s="2177"/>
      <c r="AG46" s="2175"/>
      <c r="AH46" s="2176"/>
      <c r="AI46" s="2176"/>
      <c r="AJ46" s="2176"/>
      <c r="AK46" s="2176"/>
      <c r="AL46" s="2176"/>
      <c r="AM46" s="2176"/>
      <c r="AN46" s="2176"/>
      <c r="AO46" s="2176"/>
      <c r="AP46" s="2176"/>
      <c r="AQ46" s="2176"/>
      <c r="AR46" s="2177"/>
      <c r="AS46" s="1232" t="s">
        <v>484</v>
      </c>
      <c r="AU46" s="435"/>
      <c r="AV46" s="435" t="str">
        <f t="shared" si="1"/>
        <v>Группа потребителей</v>
      </c>
      <c r="AW46" s="435"/>
      <c r="AX46" s="435"/>
      <c r="AY46" s="1080">
        <v>23</v>
      </c>
    </row>
    <row r="47" spans="1:51" ht="24" customHeight="1">
      <c r="A47" s="1288" t="s">
        <v>250</v>
      </c>
      <c r="B47" s="1288" t="s">
        <v>251</v>
      </c>
      <c r="C47" s="1288" t="s">
        <v>252</v>
      </c>
      <c r="D47" s="1288" t="s">
        <v>541</v>
      </c>
      <c r="E47" s="2187"/>
      <c r="F47" s="2187"/>
      <c r="G47" s="2187"/>
      <c r="H47" s="2187"/>
      <c r="I47" s="2207"/>
      <c r="J47" s="2207"/>
      <c r="K47" s="2184" t="str">
        <f>J46&amp;".1"</f>
        <v>...1.1.1</v>
      </c>
      <c r="L47" s="1289"/>
      <c r="P47" s="2185"/>
      <c r="Q47" s="2185"/>
      <c r="R47" s="292">
        <v>1</v>
      </c>
      <c r="S47" s="1418" t="str">
        <f>$K47</f>
        <v>...1.1.1</v>
      </c>
      <c r="T47" s="1362"/>
      <c r="U47" s="236"/>
      <c r="V47" s="686"/>
      <c r="W47" s="686"/>
      <c r="X47" s="686"/>
      <c r="Y47" s="686"/>
      <c r="Z47" s="686"/>
      <c r="AA47" s="686"/>
      <c r="AB47" s="686"/>
      <c r="AC47" s="2191"/>
      <c r="AD47" s="2192" t="s">
        <v>66</v>
      </c>
      <c r="AE47" s="2191"/>
      <c r="AF47" s="2192" t="s">
        <v>66</v>
      </c>
      <c r="AG47" s="686"/>
      <c r="AH47" s="686"/>
      <c r="AI47" s="686"/>
      <c r="AJ47" s="686"/>
      <c r="AK47" s="686"/>
      <c r="AL47" s="686"/>
      <c r="AM47" s="686"/>
      <c r="AN47" s="2189"/>
      <c r="AO47" s="2047" t="s">
        <v>66</v>
      </c>
      <c r="AP47" s="2208"/>
      <c r="AQ47" s="2047" t="s">
        <v>19</v>
      </c>
      <c r="AR47" s="1363"/>
      <c r="AS47" s="2252"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T47" s="446" t="e">
        <f ca="1">STRCHECKDATE(V48:AR48)</f>
        <v>#NAME?</v>
      </c>
      <c r="AU47" s="435"/>
      <c r="AV47" s="435" t="str">
        <f t="shared" si="1"/>
        <v/>
      </c>
      <c r="AW47" s="435"/>
      <c r="AX47" s="435"/>
      <c r="AY47" s="1080">
        <v>23</v>
      </c>
    </row>
    <row r="48" spans="1:51" ht="0" hidden="1" customHeight="1">
      <c r="A48" s="1288" t="s">
        <v>250</v>
      </c>
      <c r="B48" s="1288" t="s">
        <v>251</v>
      </c>
      <c r="C48" s="1288" t="s">
        <v>252</v>
      </c>
      <c r="D48" s="1288" t="s">
        <v>541</v>
      </c>
      <c r="E48" s="2187"/>
      <c r="F48" s="2187"/>
      <c r="G48" s="2187"/>
      <c r="H48" s="2187"/>
      <c r="I48" s="2207"/>
      <c r="J48" s="2207"/>
      <c r="K48" s="2184"/>
      <c r="L48" s="1289"/>
      <c r="P48" s="2185"/>
      <c r="Q48" s="2185"/>
      <c r="R48" s="292"/>
      <c r="S48" s="1415"/>
      <c r="T48" s="236"/>
      <c r="U48" s="236"/>
      <c r="V48" s="1285"/>
      <c r="W48" s="1285"/>
      <c r="X48" s="1285"/>
      <c r="Y48" s="1285"/>
      <c r="Z48" s="1285"/>
      <c r="AA48" s="1285"/>
      <c r="AB48" s="1285"/>
      <c r="AC48" s="2192"/>
      <c r="AD48" s="2192"/>
      <c r="AE48" s="2192"/>
      <c r="AF48" s="2192"/>
      <c r="AG48" s="261"/>
      <c r="AH48" s="261"/>
      <c r="AI48" s="261"/>
      <c r="AJ48" s="261"/>
      <c r="AK48" s="261"/>
      <c r="AL48" s="261"/>
      <c r="AM48" s="261"/>
      <c r="AN48" s="2190"/>
      <c r="AO48" s="2047"/>
      <c r="AP48" s="2209"/>
      <c r="AQ48" s="2047"/>
      <c r="AR48" s="1364"/>
      <c r="AS48" s="2252"/>
      <c r="AU48" s="435"/>
      <c r="AV48" s="435" t="str">
        <f t="shared" si="1"/>
        <v/>
      </c>
      <c r="AW48" s="435"/>
      <c r="AX48" s="435"/>
      <c r="AY48" s="1080">
        <v>0</v>
      </c>
    </row>
    <row r="49" spans="1:51" ht="21" customHeight="1">
      <c r="A49" s="1288" t="s">
        <v>250</v>
      </c>
      <c r="B49" s="1288" t="s">
        <v>251</v>
      </c>
      <c r="C49" s="1288" t="s">
        <v>252</v>
      </c>
      <c r="D49" s="1288" t="s">
        <v>541</v>
      </c>
      <c r="E49" s="2187"/>
      <c r="F49" s="2187"/>
      <c r="G49" s="2187"/>
      <c r="H49" s="2187"/>
      <c r="I49" s="2207"/>
      <c r="J49" s="2184"/>
      <c r="K49" s="1288"/>
      <c r="L49" s="1289"/>
      <c r="P49" s="2185"/>
      <c r="Q49" s="2185"/>
      <c r="R49" s="291"/>
      <c r="S49" s="1203"/>
      <c r="T49" s="223" t="s">
        <v>485</v>
      </c>
      <c r="U49" s="302"/>
      <c r="V49" s="302"/>
      <c r="W49" s="535"/>
      <c r="X49" s="535"/>
      <c r="Y49" s="535"/>
      <c r="Z49" s="535"/>
      <c r="AA49" s="535"/>
      <c r="AB49" s="535"/>
      <c r="AC49" s="302"/>
      <c r="AD49" s="302"/>
      <c r="AE49" s="302"/>
      <c r="AF49" s="302"/>
      <c r="AG49" s="302"/>
      <c r="AH49" s="535"/>
      <c r="AI49" s="535"/>
      <c r="AJ49" s="535"/>
      <c r="AK49" s="535"/>
      <c r="AL49" s="535"/>
      <c r="AM49" s="302"/>
      <c r="AN49" s="302"/>
      <c r="AO49" s="302"/>
      <c r="AP49" s="302"/>
      <c r="AQ49" s="302"/>
      <c r="AR49" s="302"/>
      <c r="AS49" s="1183" t="s">
        <v>486</v>
      </c>
      <c r="AU49" s="435"/>
      <c r="AV49" s="435" t="str">
        <f t="shared" si="1"/>
        <v>Добавить значение признака дифференциации</v>
      </c>
      <c r="AW49" s="435"/>
      <c r="AX49" s="435"/>
      <c r="AY49" s="1080">
        <v>20</v>
      </c>
    </row>
    <row r="50" spans="1:51" ht="21.95" customHeight="1">
      <c r="A50" s="1288" t="s">
        <v>250</v>
      </c>
      <c r="B50" s="1288" t="s">
        <v>251</v>
      </c>
      <c r="C50" s="1288" t="s">
        <v>252</v>
      </c>
      <c r="D50" s="1288" t="s">
        <v>541</v>
      </c>
      <c r="E50" s="2187"/>
      <c r="F50" s="2187"/>
      <c r="G50" s="2187"/>
      <c r="H50" s="2187"/>
      <c r="I50" s="2184"/>
      <c r="J50" s="1288"/>
      <c r="K50" s="1288"/>
      <c r="L50" s="1289"/>
      <c r="P50" s="2185"/>
      <c r="Q50" s="1406"/>
      <c r="R50" s="291"/>
      <c r="S50" s="1203"/>
      <c r="T50" s="300" t="s">
        <v>411</v>
      </c>
      <c r="U50" s="302"/>
      <c r="V50" s="302"/>
      <c r="W50" s="535"/>
      <c r="X50" s="535"/>
      <c r="Y50" s="535"/>
      <c r="Z50" s="535"/>
      <c r="AA50" s="535"/>
      <c r="AB50" s="535"/>
      <c r="AC50" s="302"/>
      <c r="AD50" s="302"/>
      <c r="AE50" s="302"/>
      <c r="AF50" s="301"/>
      <c r="AG50" s="302"/>
      <c r="AH50" s="535"/>
      <c r="AI50" s="535"/>
      <c r="AJ50" s="535"/>
      <c r="AK50" s="535"/>
      <c r="AL50" s="535"/>
      <c r="AM50" s="302"/>
      <c r="AN50" s="302"/>
      <c r="AO50" s="302"/>
      <c r="AP50" s="302"/>
      <c r="AQ50" s="301"/>
      <c r="AR50" s="302"/>
      <c r="AS50" s="1365"/>
      <c r="AU50" s="435"/>
      <c r="AV50" s="435" t="str">
        <f t="shared" si="1"/>
        <v>Добавить группу потребителей</v>
      </c>
      <c r="AW50" s="435"/>
      <c r="AX50" s="435"/>
      <c r="AY50" s="1080">
        <v>21</v>
      </c>
    </row>
    <row r="51" spans="1:51" ht="21.95" customHeight="1">
      <c r="A51" s="1288" t="s">
        <v>250</v>
      </c>
      <c r="B51" s="1288" t="s">
        <v>251</v>
      </c>
      <c r="C51" s="1288" t="s">
        <v>252</v>
      </c>
      <c r="D51" s="1288" t="s">
        <v>541</v>
      </c>
      <c r="E51" s="2187"/>
      <c r="F51" s="2187"/>
      <c r="G51" s="2187"/>
      <c r="H51" s="2186"/>
      <c r="I51" s="1288"/>
      <c r="J51" s="1288"/>
      <c r="K51" s="1288"/>
      <c r="L51" s="1289"/>
      <c r="M51" s="1290"/>
      <c r="N51" s="1290"/>
      <c r="O51" s="472"/>
      <c r="P51" s="295"/>
      <c r="Q51" s="310"/>
      <c r="R51" s="290"/>
      <c r="S51" s="1203"/>
      <c r="T51" s="307" t="s">
        <v>487</v>
      </c>
      <c r="U51" s="302"/>
      <c r="V51" s="302"/>
      <c r="W51" s="535"/>
      <c r="X51" s="535"/>
      <c r="Y51" s="535"/>
      <c r="Z51" s="535"/>
      <c r="AA51" s="535"/>
      <c r="AB51" s="535"/>
      <c r="AC51" s="302"/>
      <c r="AD51" s="302"/>
      <c r="AE51" s="302"/>
      <c r="AF51" s="301"/>
      <c r="AG51" s="302"/>
      <c r="AH51" s="535"/>
      <c r="AI51" s="535"/>
      <c r="AJ51" s="535"/>
      <c r="AK51" s="535"/>
      <c r="AL51" s="535"/>
      <c r="AM51" s="302"/>
      <c r="AN51" s="302"/>
      <c r="AO51" s="302"/>
      <c r="AP51" s="302"/>
      <c r="AQ51" s="301"/>
      <c r="AR51" s="302"/>
      <c r="AS51" s="239"/>
      <c r="AU51" s="435"/>
      <c r="AV51" s="435" t="str">
        <f t="shared" si="1"/>
        <v>Добавить наименование признака дифференциации</v>
      </c>
      <c r="AW51" s="435"/>
      <c r="AX51" s="435"/>
      <c r="AY51" s="1080">
        <v>21</v>
      </c>
    </row>
    <row r="52" spans="1:51" s="1567" customFormat="1" ht="0" hidden="1" customHeight="1">
      <c r="A52" s="1268" t="s">
        <v>250</v>
      </c>
      <c r="B52" s="1268" t="s">
        <v>251</v>
      </c>
      <c r="C52" s="1239"/>
      <c r="D52" s="1239"/>
      <c r="E52" s="2187"/>
      <c r="F52" s="2186"/>
      <c r="G52" s="1239"/>
      <c r="H52" s="1239"/>
      <c r="I52" s="1239"/>
      <c r="J52" s="1239"/>
      <c r="K52" s="1239"/>
      <c r="L52" s="1419"/>
      <c r="M52" s="1246"/>
      <c r="N52" s="1246"/>
      <c r="P52" s="1241"/>
      <c r="Q52" s="1242"/>
      <c r="R52" s="1241"/>
      <c r="S52" s="1247"/>
      <c r="T52" s="1250" t="s">
        <v>414</v>
      </c>
      <c r="U52" s="1249"/>
      <c r="V52" s="1249"/>
      <c r="W52" s="1249"/>
      <c r="X52" s="1249"/>
      <c r="Y52" s="1249"/>
      <c r="Z52" s="1249"/>
      <c r="AA52" s="1249"/>
      <c r="AB52" s="1249"/>
      <c r="AC52" s="1249"/>
      <c r="AD52" s="1249"/>
      <c r="AE52" s="1249"/>
      <c r="AF52" s="1249"/>
      <c r="AG52" s="1249"/>
      <c r="AH52" s="1249"/>
      <c r="AI52" s="1249"/>
      <c r="AJ52" s="1249"/>
      <c r="AK52" s="1249"/>
      <c r="AL52" s="1249"/>
      <c r="AM52" s="1249"/>
      <c r="AN52" s="1249"/>
      <c r="AO52" s="1249"/>
      <c r="AP52" s="1249"/>
      <c r="AQ52" s="1249"/>
      <c r="AR52" s="1249"/>
      <c r="AS52" s="1249"/>
      <c r="AU52" s="718"/>
      <c r="AV52" s="718" t="str">
        <f t="shared" si="1"/>
        <v>Добавить централизованную систему для дифференциации</v>
      </c>
      <c r="AW52" s="718"/>
      <c r="AX52" s="718"/>
      <c r="AY52" s="453">
        <v>0</v>
      </c>
    </row>
    <row r="53" spans="1:51" s="1567" customFormat="1" ht="0" hidden="1" customHeight="1">
      <c r="A53" s="1268" t="s">
        <v>250</v>
      </c>
      <c r="B53" s="1268"/>
      <c r="C53" s="1268"/>
      <c r="D53" s="1268"/>
      <c r="E53" s="2186"/>
      <c r="F53" s="1268"/>
      <c r="G53" s="1268"/>
      <c r="H53" s="1268"/>
      <c r="I53" s="1268"/>
      <c r="J53" s="1268"/>
      <c r="K53" s="1268"/>
      <c r="L53" s="1271"/>
      <c r="M53" s="1246"/>
      <c r="N53" s="1246"/>
      <c r="O53" s="453"/>
      <c r="P53" s="315"/>
      <c r="Q53" s="1269"/>
      <c r="R53" s="315"/>
      <c r="S53" s="1247"/>
      <c r="T53" s="1250" t="s">
        <v>415</v>
      </c>
      <c r="U53" s="1249"/>
      <c r="V53" s="1249"/>
      <c r="W53" s="1249"/>
      <c r="X53" s="1249"/>
      <c r="Y53" s="1249"/>
      <c r="Z53" s="1249"/>
      <c r="AA53" s="1249"/>
      <c r="AB53" s="1249"/>
      <c r="AC53" s="1249"/>
      <c r="AD53" s="1249"/>
      <c r="AE53" s="1249"/>
      <c r="AF53" s="1249"/>
      <c r="AG53" s="1249"/>
      <c r="AH53" s="1249"/>
      <c r="AI53" s="1249"/>
      <c r="AJ53" s="1249"/>
      <c r="AK53" s="1249"/>
      <c r="AL53" s="1249"/>
      <c r="AM53" s="1249"/>
      <c r="AN53" s="1249"/>
      <c r="AO53" s="1249"/>
      <c r="AP53" s="1249"/>
      <c r="AQ53" s="1249"/>
      <c r="AR53" s="1249"/>
      <c r="AS53" s="1249"/>
      <c r="AU53" s="435"/>
      <c r="AV53" s="435" t="str">
        <f t="shared" si="1"/>
        <v>Добавить территорию для дифференциации</v>
      </c>
      <c r="AW53" s="435"/>
      <c r="AX53" s="435"/>
      <c r="AY53" s="446">
        <v>0</v>
      </c>
    </row>
    <row r="54" spans="1:51" s="1567" customFormat="1" ht="0" hidden="1" customHeight="1">
      <c r="A54" s="1239"/>
      <c r="B54" s="1239"/>
      <c r="C54" s="1239"/>
      <c r="D54" s="1239"/>
      <c r="E54" s="1268"/>
      <c r="F54" s="1239"/>
      <c r="G54" s="1239"/>
      <c r="H54" s="1239"/>
      <c r="I54" s="1239"/>
      <c r="J54" s="1239"/>
      <c r="K54" s="1239"/>
      <c r="L54" s="1419"/>
      <c r="M54" s="1246"/>
      <c r="N54" s="1246"/>
      <c r="P54" s="1241"/>
      <c r="Q54" s="1242"/>
      <c r="R54" s="1241"/>
      <c r="S54" s="1247"/>
      <c r="T54" s="1250" t="s">
        <v>447</v>
      </c>
      <c r="U54" s="1249"/>
      <c r="V54" s="1249"/>
      <c r="W54" s="1249"/>
      <c r="X54" s="1249"/>
      <c r="Y54" s="1249"/>
      <c r="Z54" s="1249"/>
      <c r="AA54" s="1249"/>
      <c r="AB54" s="1249"/>
      <c r="AC54" s="1249"/>
      <c r="AD54" s="1249"/>
      <c r="AE54" s="1249"/>
      <c r="AF54" s="1249"/>
      <c r="AG54" s="1249"/>
      <c r="AH54" s="1249"/>
      <c r="AI54" s="1249"/>
      <c r="AJ54" s="1249"/>
      <c r="AK54" s="1249"/>
      <c r="AL54" s="1249"/>
      <c r="AM54" s="1249"/>
      <c r="AN54" s="1249"/>
      <c r="AO54" s="1249"/>
      <c r="AP54" s="1249"/>
      <c r="AQ54" s="1249"/>
      <c r="AR54" s="1249"/>
      <c r="AS54" s="1249"/>
      <c r="AU54" s="718"/>
      <c r="AV54" s="718" t="str">
        <f t="shared" si="1"/>
        <v>Добавить наименование тарифа</v>
      </c>
      <c r="AW54" s="718"/>
      <c r="AX54" s="718"/>
      <c r="AY54" s="453">
        <v>0</v>
      </c>
    </row>
    <row r="55" spans="1:51" ht="11.45" customHeight="1">
      <c r="M55" s="1085"/>
      <c r="N55" s="1085"/>
      <c r="O55" s="472"/>
      <c r="P55" s="1080"/>
      <c r="Q55" s="1080"/>
      <c r="R55" s="1080"/>
      <c r="S55" s="1080"/>
      <c r="AT55" s="1080"/>
      <c r="AU55" s="1080"/>
      <c r="AV55" s="1080"/>
      <c r="AW55" s="1080"/>
      <c r="AX55" s="1080"/>
      <c r="AY55" s="1080">
        <v>11</v>
      </c>
    </row>
    <row r="56" spans="1:51" ht="14.65" customHeight="1">
      <c r="O56" s="472"/>
      <c r="S56" s="1178"/>
      <c r="T56" s="2206"/>
      <c r="U56" s="2206"/>
      <c r="V56" s="2206"/>
      <c r="W56" s="2206"/>
      <c r="X56" s="2206"/>
      <c r="Y56" s="2206"/>
      <c r="Z56" s="2206"/>
      <c r="AA56" s="2206"/>
      <c r="AB56" s="2206"/>
      <c r="AC56" s="2206"/>
      <c r="AD56" s="2206"/>
      <c r="AE56" s="2206"/>
      <c r="AF56" s="2206"/>
      <c r="AG56" s="2206"/>
      <c r="AH56" s="2206"/>
      <c r="AI56" s="2206"/>
      <c r="AJ56" s="2206"/>
      <c r="AK56" s="2206"/>
      <c r="AL56" s="2206"/>
      <c r="AM56" s="2206"/>
      <c r="AN56" s="2206"/>
      <c r="AO56" s="2206"/>
      <c r="AP56" s="2206"/>
      <c r="AQ56" s="2206"/>
      <c r="AR56" s="2206"/>
      <c r="AS56" s="2206"/>
      <c r="AY56" s="1080">
        <v>14</v>
      </c>
    </row>
    <row r="57" spans="1:51" ht="14.65" customHeight="1">
      <c r="O57" s="472"/>
      <c r="AY57" s="1080">
        <v>14</v>
      </c>
    </row>
    <row r="58" spans="1:51" ht="14.65" customHeight="1">
      <c r="O58" s="472"/>
      <c r="S58" s="1178"/>
      <c r="T58" s="2206"/>
      <c r="U58" s="2206"/>
      <c r="V58" s="2206"/>
      <c r="W58" s="2206"/>
      <c r="X58" s="2206"/>
      <c r="Y58" s="2206"/>
      <c r="Z58" s="2206"/>
      <c r="AA58" s="2206"/>
      <c r="AB58" s="2206"/>
      <c r="AC58" s="2206"/>
      <c r="AD58" s="2206"/>
      <c r="AE58" s="2206"/>
      <c r="AF58" s="2206"/>
      <c r="AG58" s="2206"/>
      <c r="AH58" s="2206"/>
      <c r="AI58" s="2206"/>
      <c r="AJ58" s="2206"/>
      <c r="AK58" s="2206"/>
      <c r="AL58" s="2206"/>
      <c r="AM58" s="2206"/>
      <c r="AN58" s="2206"/>
      <c r="AO58" s="2206"/>
      <c r="AP58" s="2206"/>
      <c r="AQ58" s="2206"/>
      <c r="AR58" s="2206"/>
      <c r="AS58" s="2206"/>
      <c r="AY58" s="1080">
        <v>14</v>
      </c>
    </row>
    <row r="59" spans="1:51" ht="22.5" hidden="1" customHeight="1">
      <c r="A59" s="1085" t="s">
        <v>82</v>
      </c>
      <c r="B59" s="1085">
        <v>0</v>
      </c>
      <c r="C59" s="1085">
        <v>0</v>
      </c>
      <c r="D59" s="1085">
        <v>0</v>
      </c>
      <c r="E59" s="1085">
        <v>0</v>
      </c>
      <c r="F59" s="1085">
        <v>0</v>
      </c>
      <c r="G59" s="1085">
        <v>0</v>
      </c>
      <c r="H59" s="1085">
        <v>0</v>
      </c>
      <c r="I59" s="1085">
        <v>0</v>
      </c>
      <c r="J59" s="1085">
        <v>0</v>
      </c>
      <c r="K59" s="1085">
        <v>0</v>
      </c>
      <c r="L59" s="1403">
        <v>0</v>
      </c>
      <c r="M59" s="1287">
        <v>0</v>
      </c>
      <c r="N59" s="1287">
        <v>0</v>
      </c>
      <c r="O59" s="1287">
        <v>0</v>
      </c>
      <c r="P59" s="1398">
        <v>3</v>
      </c>
      <c r="Q59" s="280">
        <v>3</v>
      </c>
      <c r="R59" s="280">
        <v>3</v>
      </c>
      <c r="S59" s="516">
        <v>12</v>
      </c>
      <c r="T59" s="1080">
        <v>35</v>
      </c>
      <c r="U59" s="1080">
        <v>0</v>
      </c>
      <c r="V59" s="1080">
        <v>0</v>
      </c>
      <c r="W59" s="1556">
        <v>0</v>
      </c>
      <c r="X59" s="1556">
        <v>0</v>
      </c>
      <c r="Y59" s="1556">
        <v>0</v>
      </c>
      <c r="Z59" s="1556">
        <v>0</v>
      </c>
      <c r="AA59" s="1556">
        <v>0</v>
      </c>
      <c r="AB59" s="1556">
        <v>0</v>
      </c>
      <c r="AC59" s="1080">
        <v>0</v>
      </c>
      <c r="AD59" s="1080">
        <v>0</v>
      </c>
      <c r="AE59" s="1080">
        <v>0</v>
      </c>
      <c r="AF59" s="1080">
        <v>0</v>
      </c>
      <c r="AG59" s="1080">
        <v>19</v>
      </c>
      <c r="AH59" s="1556">
        <v>19</v>
      </c>
      <c r="AI59" s="1556">
        <v>19</v>
      </c>
      <c r="AJ59" s="1556">
        <v>19</v>
      </c>
      <c r="AK59" s="1556">
        <v>19</v>
      </c>
      <c r="AL59" s="1556">
        <v>19</v>
      </c>
      <c r="AM59" s="1080">
        <v>19</v>
      </c>
      <c r="AN59" s="1080">
        <v>11</v>
      </c>
      <c r="AO59" s="1080">
        <v>3</v>
      </c>
      <c r="AP59" s="1080">
        <v>11</v>
      </c>
      <c r="AQ59" s="1080">
        <v>0</v>
      </c>
      <c r="AR59" s="1080">
        <v>4</v>
      </c>
      <c r="AS59" s="1080">
        <v>115</v>
      </c>
      <c r="AT59" s="446">
        <v>10</v>
      </c>
      <c r="AU59" s="446">
        <v>10</v>
      </c>
      <c r="AV59" s="446">
        <v>10</v>
      </c>
      <c r="AW59" s="446">
        <v>10</v>
      </c>
      <c r="AX59" s="446">
        <v>10</v>
      </c>
      <c r="AY59" s="1080">
        <v>23</v>
      </c>
    </row>
  </sheetData>
  <sheetProtection formatColumns="0" formatRows="0" insertRows="0" deleteColumns="0" deleteRows="0" sort="0" autoFilter="0"/>
  <mergeCells count="113">
    <mergeCell ref="AS47:AS48"/>
    <mergeCell ref="T56:AS56"/>
    <mergeCell ref="T58:AS58"/>
    <mergeCell ref="K47:K48"/>
    <mergeCell ref="AC47:AC48"/>
    <mergeCell ref="AD47:AD48"/>
    <mergeCell ref="AE47:AE48"/>
    <mergeCell ref="AF47:AF48"/>
    <mergeCell ref="AN47:AN48"/>
    <mergeCell ref="V38:V40"/>
    <mergeCell ref="AD41:AE41"/>
    <mergeCell ref="AO41:AP41"/>
    <mergeCell ref="E42:E53"/>
    <mergeCell ref="V42:AF42"/>
    <mergeCell ref="AG42:AR42"/>
    <mergeCell ref="F43:F52"/>
    <mergeCell ref="V43:AF43"/>
    <mergeCell ref="AG43:AR43"/>
    <mergeCell ref="G44:G51"/>
    <mergeCell ref="V44:AF44"/>
    <mergeCell ref="AG44:AR44"/>
    <mergeCell ref="H45:H51"/>
    <mergeCell ref="I45:I50"/>
    <mergeCell ref="P45:P50"/>
    <mergeCell ref="V45:AF45"/>
    <mergeCell ref="AG45:AR45"/>
    <mergeCell ref="J46:J49"/>
    <mergeCell ref="Q46:Q49"/>
    <mergeCell ref="V46:AF46"/>
    <mergeCell ref="AG46:AR46"/>
    <mergeCell ref="AO47:AO48"/>
    <mergeCell ref="AP47:AP48"/>
    <mergeCell ref="AQ47:AQ48"/>
    <mergeCell ref="V28:AE28"/>
    <mergeCell ref="AG28:AP28"/>
    <mergeCell ref="AS36:AS40"/>
    <mergeCell ref="S37:S40"/>
    <mergeCell ref="T37:T40"/>
    <mergeCell ref="V37:AE37"/>
    <mergeCell ref="AF37:AF40"/>
    <mergeCell ref="AG37:AP37"/>
    <mergeCell ref="AQ37:AQ40"/>
    <mergeCell ref="S32:T32"/>
    <mergeCell ref="V32:AE32"/>
    <mergeCell ref="AG32:AP32"/>
    <mergeCell ref="S33:T33"/>
    <mergeCell ref="V33:AE33"/>
    <mergeCell ref="AG33:AP33"/>
    <mergeCell ref="AR37:AR40"/>
    <mergeCell ref="AD40:AE40"/>
    <mergeCell ref="AO40:AP40"/>
    <mergeCell ref="V35:AF35"/>
    <mergeCell ref="AG35:AQ35"/>
    <mergeCell ref="S36:AR36"/>
    <mergeCell ref="AN38:AP39"/>
    <mergeCell ref="AC38:AE39"/>
    <mergeCell ref="AL39:AM39"/>
    <mergeCell ref="S29:T29"/>
    <mergeCell ref="AG38:AG40"/>
    <mergeCell ref="AS7:AS8"/>
    <mergeCell ref="AN15:AN16"/>
    <mergeCell ref="AO15:AO16"/>
    <mergeCell ref="AP15:AP16"/>
    <mergeCell ref="AQ15:AQ16"/>
    <mergeCell ref="AD7:AD8"/>
    <mergeCell ref="AE7:AE8"/>
    <mergeCell ref="AF7:AF8"/>
    <mergeCell ref="AN7:AN8"/>
    <mergeCell ref="AO7:AO8"/>
    <mergeCell ref="AP7:AP8"/>
    <mergeCell ref="V29:AE29"/>
    <mergeCell ref="AG29:AP29"/>
    <mergeCell ref="S30:T30"/>
    <mergeCell ref="V30:AE30"/>
    <mergeCell ref="AG30:AP30"/>
    <mergeCell ref="S24:AP24"/>
    <mergeCell ref="S25:AP25"/>
    <mergeCell ref="S27:T27"/>
    <mergeCell ref="V27:AE27"/>
    <mergeCell ref="AG27:AP27"/>
    <mergeCell ref="S28:T28"/>
    <mergeCell ref="E2:E13"/>
    <mergeCell ref="V2:AF2"/>
    <mergeCell ref="AG2:AR2"/>
    <mergeCell ref="F3:F12"/>
    <mergeCell ref="V3:AF3"/>
    <mergeCell ref="AG3:AR3"/>
    <mergeCell ref="G4:G11"/>
    <mergeCell ref="V4:AF4"/>
    <mergeCell ref="AG4:AR4"/>
    <mergeCell ref="H5:H11"/>
    <mergeCell ref="I5:I10"/>
    <mergeCell ref="P5:P10"/>
    <mergeCell ref="V5:AF5"/>
    <mergeCell ref="AG5:AR5"/>
    <mergeCell ref="J6:J9"/>
    <mergeCell ref="Q6:Q9"/>
    <mergeCell ref="V6:AF6"/>
    <mergeCell ref="AG6:AR6"/>
    <mergeCell ref="K7:K8"/>
    <mergeCell ref="AC7:AC8"/>
    <mergeCell ref="AQ7:AQ8"/>
    <mergeCell ref="AH38:AJ38"/>
    <mergeCell ref="AK38:AM38"/>
    <mergeCell ref="AH39:AH40"/>
    <mergeCell ref="AI39:AJ39"/>
    <mergeCell ref="AK39:AK40"/>
    <mergeCell ref="X39:Y39"/>
    <mergeCell ref="W39:W40"/>
    <mergeCell ref="Z39:Z40"/>
    <mergeCell ref="AA39:AB39"/>
    <mergeCell ref="W38:Y38"/>
    <mergeCell ref="Z38:AB38"/>
  </mergeCells>
  <dataValidations count="7">
    <dataValidation allowBlank="1" showInputMessage="1" showErrorMessage="1" prompt="Для выбора выполните двойной щелчок левой клавиши мыши по соответствующей ячейке." sqref="AD65579 AD131115 AD196651 AD262187 AD327723 AD393259 AD458795 AD524331 AD589867 AD655403 AD720939 AD786475 AD852011 AD917547 AD983083 AF131115 AF458795 AF196651 AF262187 AF327723 AF393259 AF524331 AF589867 AF655403 AF720939 AF786475 AF852011 AF917547 AF983083 AF65579 AO65579 AO131115 AO196651 AO262187 AO327723 AO393259 AO458795 AO524331 AO589867 AO655403 AO720939 AO786475 AO852011 AO917547 AO983083 AQ524331 AQ196651 AQ589867 AQ655403 AQ15 AQ720939 AQ786475 AQ852011 AQ917547 AQ983083 AQ65579 AQ131115 AQ458795 AQ262187 AQ7 AO47 AQ327723 AO15 AO7 AD7 AF7 AQ393259 AQ47 AD47 AF47"/>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AC65579 AC131115 AC196651 AC262187 AC327723 AC393259 AC458795 AC524331 AC589867 AC655403 AC720939 AC786475 AC852011 AC917547 AC983083 AE65579 AE131115 AE196651 AE262187 AE327723 AE393259 AE458795 AE524331 AE589867 AE655403 AE720939 AE786475 AE852011 AE917547 AE983083 AN15 AN65579 AN131115 AN196651 AN262187 AN327723 AN393259 AN458795 AN524331 AN589867 AN655403 AN720939 AN786475 AN852011 AN917547 AN983083 AP65579 AP131115 AP196651 AP262187 AP327723 AP393259 AP458795 AP524331 AP589867 AP655403 AP720939 AP786475 AP852011 AP917547 AP983083 AP47 AN47 AP15 AP7 AN7 AC7 AE7 AC47 AE47"/>
    <dataValidation type="list" allowBlank="1" showInputMessage="1" showErrorMessage="1" errorTitle="Ошибка" error="Выберите значение из списка" sqref="T65579 T131115 T196651 T262187 T327723 T393259 T458795 T524331 T589867 T655403 T720939 T786475 T852011 T917547 T983083">
      <formula1>kind_of_heat_transfer</formula1>
    </dataValidation>
    <dataValidation type="textLength" operator="lessThanOrEqual" allowBlank="1" showInputMessage="1" showErrorMessage="1" errorTitle="Ошибка" error="Допускается ввод не более 900 символов!" sqref="AS65573:AS65580 AS131109:AS131116 AS196645:AS196652 AS262181:AS262188 AS327717:AS327724 AS393253:AS393260 AS458789:AS458796 AS524325:AS524332 AS589861:AS589868 AS655397:AS655404 AS720933:AS720940 AS786469:AS786476 AS852005:AS852012 AS917541:AS917548 AS983077:AS983084 T47 T7 AG45:AR45 AG5:AR5">
      <formula1>900</formula1>
    </dataValidation>
    <dataValidation type="list" allowBlank="1" showInputMessage="1" showErrorMessage="1" errorTitle="Ошибка" error="Выберите значение из списка" sqref="AG917545:AL917545 AG852009:AL852009 AG786473:AL786473 AG720937:AL720937 AG655401:AL655401 AG589865:AL589865 AG524329:AL524329 AG458793:AL458793 AG393257:AL393257 AG327721:AL327721 AG262185:AL262185 AG196649:AL196649 AG131113:AL131113 AG65577:AL65577 AG983081:AL983081 V983081:AB983081 V65577:AB65577 V131113:AB131113 V196649:AB196649 V262185:AB262185 V327721:AB327721 V393257:AB393257 V458793:AB458793 V524329:AB524329 V589865:AB589865 V655401:AB655401 V720937:AB720937 V786473:AB786473 V852009:AB852009 V917545:AB917545">
      <formula1>kind_of_scheme_in</formula1>
    </dataValidation>
    <dataValidation type="list" allowBlank="1" showInputMessage="1" errorTitle="Ошибка" error="Выберите значение из списка" prompt="Выберите значение из списка" sqref="V983082:AR983082 V65578:AR65578 V131114:AR131114 V196650:AR196650 V262186:AR262186 V327722:AR327722 V393258:AR393258 V458794:AR458794 V524330:AR524330 V589866:AR589866 V655402:AR655402 V720938:AR720938 V786474:AR786474 V852010:AR852010 V917546:AR917546">
      <formula1>kind_of_cons</formula1>
    </dataValidation>
    <dataValidation allowBlank="1" sqref="S131117:AS131123 S196653:AS196659 S262189:AS262195 S327725:AS327731 S393261:AS393267 S458797:AS458803 S524333:AS524339 S589869:AS589875 S655405:AS655411 S720941:AS720947 S786477:AS786483 S852013:AS852019 S917549:AS917555 S983085:AS983091 S65581:AS65587"/>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6" tint="0.39997558519241921"/>
  </sheetPr>
  <dimension ref="A1:AY59"/>
  <sheetViews>
    <sheetView showGridLines="0" zoomScale="90" workbookViewId="0">
      <pane xSplit="32" ySplit="41" topLeftCell="AG42" activePane="bottomRight" state="frozen"/>
      <selection pane="topRight" activeCell="AG1" sqref="AG1"/>
      <selection pane="bottomLeft" activeCell="A42" sqref="A42"/>
      <selection pane="bottomRight"/>
    </sheetView>
  </sheetViews>
  <sheetFormatPr defaultColWidth="10.5703125" defaultRowHeight="14.25" customHeight="1"/>
  <cols>
    <col min="1" max="1" width="10.5703125" style="1291" hidden="1"/>
    <col min="2" max="2" width="11" style="1291" hidden="1" customWidth="1"/>
    <col min="3" max="3" width="10.5703125" style="1291" hidden="1"/>
    <col min="4" max="4" width="11.85546875" style="1291" hidden="1" customWidth="1"/>
    <col min="5" max="5" width="10" style="1291" hidden="1" customWidth="1"/>
    <col min="6" max="6" width="8.7109375" style="1291" hidden="1" customWidth="1"/>
    <col min="7" max="7" width="7.5703125" style="1291" hidden="1" customWidth="1"/>
    <col min="8" max="8" width="11.42578125" style="1291" hidden="1" customWidth="1"/>
    <col min="9" max="9" width="14.140625" style="1291" hidden="1" customWidth="1"/>
    <col min="10" max="10" width="9.85546875" style="1291" hidden="1" customWidth="1"/>
    <col min="11" max="11" width="14.7109375" style="1291" hidden="1" customWidth="1"/>
    <col min="12" max="12" width="19.140625" style="2002" hidden="1" customWidth="1"/>
    <col min="13" max="14" width="12.28515625" style="1701" hidden="1" customWidth="1"/>
    <col min="15" max="15" width="23.42578125" style="1701" hidden="1" customWidth="1"/>
    <col min="16" max="16" width="3" style="2000" customWidth="1"/>
    <col min="17" max="18" width="3" style="280" customWidth="1"/>
    <col min="19" max="19" width="12" style="2001" customWidth="1"/>
    <col min="20" max="20" width="35" style="1560" customWidth="1"/>
    <col min="21" max="21" width="0.140625" style="1560" customWidth="1"/>
    <col min="22" max="28" width="19.7109375" style="1560" hidden="1" customWidth="1"/>
    <col min="29" max="29" width="11.7109375" style="1560" hidden="1" customWidth="1"/>
    <col min="30" max="30" width="3.7109375" style="1560" hidden="1" customWidth="1"/>
    <col min="31" max="31" width="11.7109375" style="1560" hidden="1" customWidth="1"/>
    <col min="32" max="32" width="8.5703125" style="1560" hidden="1" customWidth="1"/>
    <col min="33" max="33" width="19.7109375" style="1560" customWidth="1"/>
    <col min="34" max="39" width="19" style="1560" customWidth="1"/>
    <col min="40" max="40" width="11" style="1560" customWidth="1"/>
    <col min="41" max="41" width="3.7109375" style="1560" customWidth="1"/>
    <col min="42" max="42" width="11" style="1560" customWidth="1"/>
    <col min="43" max="43" width="8.5703125" style="1560" hidden="1" customWidth="1"/>
    <col min="44" max="44" width="4" style="1560" customWidth="1"/>
    <col min="45" max="45" width="115" style="1560" customWidth="1"/>
    <col min="46" max="50" width="10" style="1567" customWidth="1"/>
    <col min="51" max="51" width="10.5703125" style="1560" hidden="1"/>
  </cols>
  <sheetData>
    <row r="1" spans="1:51" ht="22.5" hidden="1" customHeight="1">
      <c r="AB1" s="263"/>
      <c r="AC1" s="263"/>
      <c r="AM1" s="263"/>
      <c r="AN1" s="263"/>
      <c r="AY1" s="1080" t="s">
        <v>14</v>
      </c>
    </row>
    <row r="2" spans="1:51" ht="23.25" hidden="1" customHeight="1">
      <c r="A2" s="1288"/>
      <c r="B2" s="1288"/>
      <c r="C2" s="1288"/>
      <c r="D2" s="1288"/>
      <c r="E2" s="2186">
        <v>1</v>
      </c>
      <c r="F2" s="1288"/>
      <c r="G2" s="1288"/>
      <c r="H2" s="1288"/>
      <c r="I2" s="1288"/>
      <c r="J2" s="1288"/>
      <c r="K2" s="1288"/>
      <c r="L2" s="1289"/>
      <c r="M2" s="1290"/>
      <c r="N2" s="1290"/>
      <c r="O2" s="1290"/>
      <c r="P2" s="296"/>
      <c r="Q2" s="295"/>
      <c r="R2" s="290"/>
      <c r="S2" s="1418" t="e">
        <f>INDEX(PT_DIFFERENTIATION_NUM_NTAR,MATCH(A2,PT_DIFFERENTIATION_NTAR_ID,0))</f>
        <v>#N/A</v>
      </c>
      <c r="T2" s="234" t="s">
        <v>124</v>
      </c>
      <c r="U2" s="236"/>
      <c r="V2" s="2172"/>
      <c r="W2" s="2173"/>
      <c r="X2" s="2173"/>
      <c r="Y2" s="2173"/>
      <c r="Z2" s="2173"/>
      <c r="AA2" s="2173"/>
      <c r="AB2" s="2173"/>
      <c r="AC2" s="2173"/>
      <c r="AD2" s="2173"/>
      <c r="AE2" s="2173"/>
      <c r="AF2" s="2174"/>
      <c r="AG2" s="2172" t="e">
        <f>INDEX(PT_DIFFERENTIATION_NTAR,MATCH(A2,PT_DIFFERENTIATION_NTAR_ID,0))</f>
        <v>#N/A</v>
      </c>
      <c r="AH2" s="2173"/>
      <c r="AI2" s="2173"/>
      <c r="AJ2" s="2173"/>
      <c r="AK2" s="2173"/>
      <c r="AL2" s="2173"/>
      <c r="AM2" s="2173"/>
      <c r="AN2" s="2173"/>
      <c r="AO2" s="2173"/>
      <c r="AP2" s="2173"/>
      <c r="AQ2" s="2173"/>
      <c r="AR2" s="2174"/>
      <c r="AS2" s="1183"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U2" s="435"/>
      <c r="AV2" s="435" t="str">
        <f t="shared" ref="AV2:AV13" si="0">IF(T2="","",T2)</f>
        <v>Наименование тарифа</v>
      </c>
      <c r="AW2" s="435"/>
      <c r="AX2" s="435"/>
      <c r="AY2" s="1080">
        <v>0</v>
      </c>
    </row>
    <row r="3" spans="1:51" ht="23.25" hidden="1" customHeight="1">
      <c r="A3" s="1288"/>
      <c r="B3" s="1288"/>
      <c r="C3" s="1288"/>
      <c r="D3" s="1288"/>
      <c r="E3" s="2187"/>
      <c r="F3" s="2186">
        <v>1</v>
      </c>
      <c r="G3" s="1288"/>
      <c r="H3" s="1288"/>
      <c r="I3" s="1288"/>
      <c r="J3" s="1288"/>
      <c r="K3" s="1288"/>
      <c r="L3" s="1289"/>
      <c r="M3" s="1290"/>
      <c r="N3" s="1290"/>
      <c r="O3" s="1290"/>
      <c r="P3" s="1412"/>
      <c r="Q3" s="287"/>
      <c r="R3" s="288"/>
      <c r="S3" s="1418" t="e">
        <f>INDEX(PT_DIFFERENTIATION_NUM_TER,MATCH(B3,PT_DIFFERENTIATION_TER_ID,0))</f>
        <v>#N/A</v>
      </c>
      <c r="T3" s="244" t="s">
        <v>396</v>
      </c>
      <c r="U3" s="236"/>
      <c r="V3" s="2172"/>
      <c r="W3" s="2173"/>
      <c r="X3" s="2173"/>
      <c r="Y3" s="2173"/>
      <c r="Z3" s="2173"/>
      <c r="AA3" s="2173"/>
      <c r="AB3" s="2173"/>
      <c r="AC3" s="2173"/>
      <c r="AD3" s="2173"/>
      <c r="AE3" s="2173"/>
      <c r="AF3" s="2174"/>
      <c r="AG3" s="2172" t="e">
        <f>INDEX(PT_DIFFERENTIATION_TER,MATCH(B3,PT_DIFFERENTIATION_TER_ID,0))</f>
        <v>#N/A</v>
      </c>
      <c r="AH3" s="2173"/>
      <c r="AI3" s="2173"/>
      <c r="AJ3" s="2173"/>
      <c r="AK3" s="2173"/>
      <c r="AL3" s="2173"/>
      <c r="AM3" s="2173"/>
      <c r="AN3" s="2173"/>
      <c r="AO3" s="2173"/>
      <c r="AP3" s="2173"/>
      <c r="AQ3" s="2173"/>
      <c r="AR3" s="2174"/>
      <c r="AS3" s="1183" t="s">
        <v>397</v>
      </c>
      <c r="AU3" s="435"/>
      <c r="AV3" s="435" t="str">
        <f t="shared" si="0"/>
        <v>Территория действия тарифа</v>
      </c>
      <c r="AW3" s="435"/>
      <c r="AX3" s="435"/>
      <c r="AY3" s="1080">
        <v>0</v>
      </c>
    </row>
    <row r="4" spans="1:51" ht="23.25" hidden="1" customHeight="1">
      <c r="A4" s="1288"/>
      <c r="B4" s="1288"/>
      <c r="C4" s="1288"/>
      <c r="D4" s="1288"/>
      <c r="E4" s="2187"/>
      <c r="F4" s="2187"/>
      <c r="G4" s="2186">
        <v>1</v>
      </c>
      <c r="H4" s="1288"/>
      <c r="I4" s="1288"/>
      <c r="J4" s="1288"/>
      <c r="K4" s="1288"/>
      <c r="L4" s="1289"/>
      <c r="M4" s="1290"/>
      <c r="N4" s="1290"/>
      <c r="O4" s="1290"/>
      <c r="P4" s="289"/>
      <c r="Q4" s="287"/>
      <c r="R4" s="288"/>
      <c r="S4" s="1418" t="e">
        <f>INDEX(PT_DIFFERENTIATION_NUM_CS,MATCH(C4,PT_DIFFERENTIATION_CS_ID,0))</f>
        <v>#N/A</v>
      </c>
      <c r="T4" s="245" t="s">
        <v>529</v>
      </c>
      <c r="U4" s="236"/>
      <c r="V4" s="2172"/>
      <c r="W4" s="2173"/>
      <c r="X4" s="2173"/>
      <c r="Y4" s="2173"/>
      <c r="Z4" s="2173"/>
      <c r="AA4" s="2173"/>
      <c r="AB4" s="2173"/>
      <c r="AC4" s="2173"/>
      <c r="AD4" s="2173"/>
      <c r="AE4" s="2173"/>
      <c r="AF4" s="2174"/>
      <c r="AG4" s="2172" t="e">
        <f>INDEX(PT_DIFFERENTIATION_CS,MATCH(C4,PT_DIFFERENTIATION_CS_ID,0))</f>
        <v>#N/A</v>
      </c>
      <c r="AH4" s="2173"/>
      <c r="AI4" s="2173"/>
      <c r="AJ4" s="2173"/>
      <c r="AK4" s="2173"/>
      <c r="AL4" s="2173"/>
      <c r="AM4" s="2173"/>
      <c r="AN4" s="2173"/>
      <c r="AO4" s="2173"/>
      <c r="AP4" s="2173"/>
      <c r="AQ4" s="2173"/>
      <c r="AR4" s="2174"/>
      <c r="AS4" s="1183" t="s">
        <v>530</v>
      </c>
      <c r="AU4" s="435"/>
      <c r="AV4" s="435" t="str">
        <f t="shared" si="0"/>
        <v>Наименование централизованной системы горячего водоснабжения</v>
      </c>
      <c r="AW4" s="435"/>
      <c r="AX4" s="435"/>
      <c r="AY4" s="1080">
        <v>0</v>
      </c>
    </row>
    <row r="5" spans="1:51" ht="23.25" hidden="1" customHeight="1">
      <c r="A5" s="1288"/>
      <c r="B5" s="1288"/>
      <c r="C5" s="1288"/>
      <c r="D5" s="1288"/>
      <c r="E5" s="2187"/>
      <c r="F5" s="2187"/>
      <c r="G5" s="2187"/>
      <c r="H5" s="2187"/>
      <c r="I5" s="2184" t="e">
        <f>S4&amp;".1"</f>
        <v>#N/A</v>
      </c>
      <c r="J5" s="1288"/>
      <c r="K5" s="1288"/>
      <c r="L5" s="1289"/>
      <c r="P5" s="2185">
        <v>1</v>
      </c>
      <c r="Q5" s="1406"/>
      <c r="R5" s="291"/>
      <c r="S5" s="1418" t="e">
        <f>$I5</f>
        <v>#N/A</v>
      </c>
      <c r="T5" s="221" t="s">
        <v>482</v>
      </c>
      <c r="U5" s="236"/>
      <c r="V5" s="2253"/>
      <c r="W5" s="2254"/>
      <c r="X5" s="2254"/>
      <c r="Y5" s="2254"/>
      <c r="Z5" s="2254"/>
      <c r="AA5" s="2254"/>
      <c r="AB5" s="2254"/>
      <c r="AC5" s="2254"/>
      <c r="AD5" s="2254"/>
      <c r="AE5" s="2254"/>
      <c r="AF5" s="2255"/>
      <c r="AG5" s="2256"/>
      <c r="AH5" s="2257"/>
      <c r="AI5" s="2257"/>
      <c r="AJ5" s="2257"/>
      <c r="AK5" s="2257"/>
      <c r="AL5" s="2257"/>
      <c r="AM5" s="2257"/>
      <c r="AN5" s="2257"/>
      <c r="AO5" s="2257"/>
      <c r="AP5" s="2257"/>
      <c r="AQ5" s="2257"/>
      <c r="AR5" s="2258"/>
      <c r="AS5" s="1183" t="s">
        <v>483</v>
      </c>
      <c r="AU5" s="435"/>
      <c r="AV5" s="435" t="str">
        <f t="shared" si="0"/>
        <v>Наименование признака дифференциации</v>
      </c>
      <c r="AW5" s="435"/>
      <c r="AX5" s="435"/>
      <c r="AY5" s="1080">
        <v>0</v>
      </c>
    </row>
    <row r="6" spans="1:51" ht="23.25" hidden="1" customHeight="1">
      <c r="A6" s="1288"/>
      <c r="B6" s="1288"/>
      <c r="C6" s="1288"/>
      <c r="D6" s="1288"/>
      <c r="E6" s="2187"/>
      <c r="F6" s="2187"/>
      <c r="G6" s="2187"/>
      <c r="H6" s="2187"/>
      <c r="I6" s="2207"/>
      <c r="J6" s="2184" t="e">
        <f>I5&amp;".1"</f>
        <v>#N/A</v>
      </c>
      <c r="K6" s="1288"/>
      <c r="L6" s="1289" t="s">
        <v>405</v>
      </c>
      <c r="P6" s="2185"/>
      <c r="Q6" s="2185">
        <v>1</v>
      </c>
      <c r="R6" s="292"/>
      <c r="S6" s="1418" t="e">
        <f>$J6</f>
        <v>#N/A</v>
      </c>
      <c r="T6" s="222" t="s">
        <v>406</v>
      </c>
      <c r="U6" s="236"/>
      <c r="V6" s="2175"/>
      <c r="W6" s="2176"/>
      <c r="X6" s="2176"/>
      <c r="Y6" s="2176"/>
      <c r="Z6" s="2176"/>
      <c r="AA6" s="2176"/>
      <c r="AB6" s="2176"/>
      <c r="AC6" s="2176"/>
      <c r="AD6" s="2176"/>
      <c r="AE6" s="2176"/>
      <c r="AF6" s="2177"/>
      <c r="AG6" s="2175"/>
      <c r="AH6" s="2176"/>
      <c r="AI6" s="2176"/>
      <c r="AJ6" s="2176"/>
      <c r="AK6" s="2176"/>
      <c r="AL6" s="2176"/>
      <c r="AM6" s="2176"/>
      <c r="AN6" s="2176"/>
      <c r="AO6" s="2176"/>
      <c r="AP6" s="2176"/>
      <c r="AQ6" s="2176"/>
      <c r="AR6" s="2177"/>
      <c r="AS6" s="1232" t="s">
        <v>484</v>
      </c>
      <c r="AU6" s="435"/>
      <c r="AV6" s="435" t="str">
        <f t="shared" si="0"/>
        <v>Группа потребителей</v>
      </c>
      <c r="AW6" s="435"/>
      <c r="AX6" s="435"/>
      <c r="AY6" s="1080">
        <v>0</v>
      </c>
    </row>
    <row r="7" spans="1:51" ht="23.25" hidden="1" customHeight="1">
      <c r="A7" s="1288"/>
      <c r="B7" s="1288"/>
      <c r="C7" s="1288"/>
      <c r="D7" s="1288"/>
      <c r="E7" s="2187"/>
      <c r="F7" s="2187"/>
      <c r="G7" s="2187"/>
      <c r="H7" s="2187"/>
      <c r="I7" s="2207"/>
      <c r="J7" s="2207"/>
      <c r="K7" s="2184" t="e">
        <f>J6&amp;".1"</f>
        <v>#N/A</v>
      </c>
      <c r="L7" s="1289"/>
      <c r="P7" s="2185"/>
      <c r="Q7" s="2185"/>
      <c r="R7" s="292">
        <v>1</v>
      </c>
      <c r="S7" s="1418" t="e">
        <f>$K7</f>
        <v>#N/A</v>
      </c>
      <c r="T7" s="1362"/>
      <c r="U7" s="236"/>
      <c r="V7" s="686"/>
      <c r="W7" s="686"/>
      <c r="X7" s="686"/>
      <c r="Y7" s="686"/>
      <c r="Z7" s="686"/>
      <c r="AA7" s="686"/>
      <c r="AB7" s="1182"/>
      <c r="AC7" s="2189"/>
      <c r="AD7" s="2047" t="s">
        <v>66</v>
      </c>
      <c r="AE7" s="2189"/>
      <c r="AF7" s="2047" t="s">
        <v>66</v>
      </c>
      <c r="AG7" s="686"/>
      <c r="AH7" s="686"/>
      <c r="AI7" s="686"/>
      <c r="AJ7" s="686"/>
      <c r="AK7" s="686"/>
      <c r="AL7" s="686"/>
      <c r="AM7" s="1182"/>
      <c r="AN7" s="2189"/>
      <c r="AO7" s="2047" t="s">
        <v>66</v>
      </c>
      <c r="AP7" s="2208"/>
      <c r="AQ7" s="2047" t="s">
        <v>66</v>
      </c>
      <c r="AR7" s="1363"/>
      <c r="AS7" s="2252"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T7" s="446" t="e">
        <f ca="1">STRCHECKDATE(V8:AR8)</f>
        <v>#NAME?</v>
      </c>
      <c r="AU7" s="435"/>
      <c r="AV7" s="435" t="str">
        <f t="shared" si="0"/>
        <v/>
      </c>
      <c r="AW7" s="435"/>
      <c r="AX7" s="435"/>
      <c r="AY7" s="1080">
        <v>0</v>
      </c>
    </row>
    <row r="8" spans="1:51" ht="14.25" hidden="1" customHeight="1">
      <c r="A8" s="1288"/>
      <c r="B8" s="1288"/>
      <c r="C8" s="1288"/>
      <c r="D8" s="1288"/>
      <c r="E8" s="2187"/>
      <c r="F8" s="2187"/>
      <c r="G8" s="2187"/>
      <c r="H8" s="2187"/>
      <c r="I8" s="2207"/>
      <c r="J8" s="2207"/>
      <c r="K8" s="2184"/>
      <c r="L8" s="1289"/>
      <c r="P8" s="2185"/>
      <c r="Q8" s="2185"/>
      <c r="R8" s="292"/>
      <c r="S8" s="1415"/>
      <c r="T8" s="236"/>
      <c r="U8" s="236"/>
      <c r="V8" s="261"/>
      <c r="W8" s="261"/>
      <c r="X8" s="261"/>
      <c r="Y8" s="261"/>
      <c r="Z8" s="261"/>
      <c r="AA8" s="261"/>
      <c r="AB8" s="264" t="str">
        <f>AC7&amp;"-"&amp;AE7</f>
        <v>-</v>
      </c>
      <c r="AC8" s="2190"/>
      <c r="AD8" s="2047"/>
      <c r="AE8" s="2190"/>
      <c r="AF8" s="2047"/>
      <c r="AG8" s="261"/>
      <c r="AH8" s="261"/>
      <c r="AI8" s="261"/>
      <c r="AJ8" s="261"/>
      <c r="AK8" s="261"/>
      <c r="AL8" s="261"/>
      <c r="AM8" s="264" t="str">
        <f>AN7&amp;"-"&amp;AP7</f>
        <v>-</v>
      </c>
      <c r="AN8" s="2190"/>
      <c r="AO8" s="2047"/>
      <c r="AP8" s="2209"/>
      <c r="AQ8" s="2047"/>
      <c r="AR8" s="1364"/>
      <c r="AS8" s="2252"/>
      <c r="AU8" s="435"/>
      <c r="AV8" s="435" t="str">
        <f t="shared" si="0"/>
        <v/>
      </c>
      <c r="AW8" s="435"/>
      <c r="AX8" s="435"/>
      <c r="AY8" s="1080">
        <v>0</v>
      </c>
    </row>
    <row r="9" spans="1:51" ht="21" hidden="1" customHeight="1">
      <c r="A9" s="1288"/>
      <c r="B9" s="1288"/>
      <c r="C9" s="1288"/>
      <c r="D9" s="1288"/>
      <c r="E9" s="2187"/>
      <c r="F9" s="2187"/>
      <c r="G9" s="2187"/>
      <c r="H9" s="2187"/>
      <c r="I9" s="2207"/>
      <c r="J9" s="2184"/>
      <c r="K9" s="1288"/>
      <c r="L9" s="1289"/>
      <c r="P9" s="2185"/>
      <c r="Q9" s="2185"/>
      <c r="R9" s="291"/>
      <c r="S9" s="1203"/>
      <c r="T9" s="223" t="s">
        <v>485</v>
      </c>
      <c r="U9" s="302"/>
      <c r="V9" s="302"/>
      <c r="W9" s="535"/>
      <c r="X9" s="535"/>
      <c r="Y9" s="535"/>
      <c r="Z9" s="535"/>
      <c r="AA9" s="535"/>
      <c r="AB9" s="302"/>
      <c r="AC9" s="302"/>
      <c r="AD9" s="302"/>
      <c r="AE9" s="302"/>
      <c r="AF9" s="302"/>
      <c r="AG9" s="302"/>
      <c r="AH9" s="535"/>
      <c r="AI9" s="535"/>
      <c r="AJ9" s="535"/>
      <c r="AK9" s="535"/>
      <c r="AL9" s="535"/>
      <c r="AM9" s="302"/>
      <c r="AN9" s="302"/>
      <c r="AO9" s="302"/>
      <c r="AP9" s="302"/>
      <c r="AQ9" s="302"/>
      <c r="AR9" s="302"/>
      <c r="AS9" s="1183" t="s">
        <v>486</v>
      </c>
      <c r="AU9" s="435"/>
      <c r="AV9" s="435" t="str">
        <f t="shared" si="0"/>
        <v>Добавить значение признака дифференциации</v>
      </c>
      <c r="AW9" s="435"/>
      <c r="AX9" s="435"/>
      <c r="AY9" s="1080">
        <v>0</v>
      </c>
    </row>
    <row r="10" spans="1:51" ht="21" hidden="1" customHeight="1">
      <c r="A10" s="1288"/>
      <c r="B10" s="1288"/>
      <c r="C10" s="1288"/>
      <c r="D10" s="1288"/>
      <c r="E10" s="2187"/>
      <c r="F10" s="2187"/>
      <c r="G10" s="2187"/>
      <c r="H10" s="2187"/>
      <c r="I10" s="2184"/>
      <c r="J10" s="1288"/>
      <c r="K10" s="1288"/>
      <c r="L10" s="1289"/>
      <c r="P10" s="2185"/>
      <c r="Q10" s="1406"/>
      <c r="R10" s="291"/>
      <c r="S10" s="1203"/>
      <c r="T10" s="300" t="s">
        <v>411</v>
      </c>
      <c r="U10" s="302"/>
      <c r="V10" s="302"/>
      <c r="W10" s="535"/>
      <c r="X10" s="535"/>
      <c r="Y10" s="535"/>
      <c r="Z10" s="535"/>
      <c r="AA10" s="535"/>
      <c r="AB10" s="302"/>
      <c r="AC10" s="302"/>
      <c r="AD10" s="302"/>
      <c r="AE10" s="302"/>
      <c r="AF10" s="301"/>
      <c r="AG10" s="302"/>
      <c r="AH10" s="535"/>
      <c r="AI10" s="535"/>
      <c r="AJ10" s="535"/>
      <c r="AK10" s="535"/>
      <c r="AL10" s="535"/>
      <c r="AM10" s="302"/>
      <c r="AN10" s="302"/>
      <c r="AO10" s="302"/>
      <c r="AP10" s="302"/>
      <c r="AQ10" s="301"/>
      <c r="AR10" s="302"/>
      <c r="AS10" s="1365"/>
      <c r="AU10" s="435"/>
      <c r="AV10" s="435" t="str">
        <f t="shared" si="0"/>
        <v>Добавить группу потребителей</v>
      </c>
      <c r="AW10" s="435"/>
      <c r="AX10" s="435"/>
      <c r="AY10" s="1080">
        <v>0</v>
      </c>
    </row>
    <row r="11" spans="1:51" ht="21" hidden="1" customHeight="1">
      <c r="A11" s="1288"/>
      <c r="B11" s="1288"/>
      <c r="C11" s="1288"/>
      <c r="D11" s="1288"/>
      <c r="E11" s="2187"/>
      <c r="F11" s="2187"/>
      <c r="G11" s="2187"/>
      <c r="H11" s="2186"/>
      <c r="I11" s="1288"/>
      <c r="J11" s="1288"/>
      <c r="K11" s="1288"/>
      <c r="L11" s="1289"/>
      <c r="M11" s="1290"/>
      <c r="N11" s="1290"/>
      <c r="O11" s="472"/>
      <c r="P11" s="295"/>
      <c r="Q11" s="310"/>
      <c r="R11" s="290"/>
      <c r="S11" s="1203"/>
      <c r="T11" s="307" t="s">
        <v>487</v>
      </c>
      <c r="U11" s="302"/>
      <c r="V11" s="302"/>
      <c r="W11" s="535"/>
      <c r="X11" s="535"/>
      <c r="Y11" s="535"/>
      <c r="Z11" s="535"/>
      <c r="AA11" s="535"/>
      <c r="AB11" s="302"/>
      <c r="AC11" s="302"/>
      <c r="AD11" s="302"/>
      <c r="AE11" s="302"/>
      <c r="AF11" s="301"/>
      <c r="AG11" s="302"/>
      <c r="AH11" s="535"/>
      <c r="AI11" s="535"/>
      <c r="AJ11" s="535"/>
      <c r="AK11" s="535"/>
      <c r="AL11" s="535"/>
      <c r="AM11" s="302"/>
      <c r="AN11" s="302"/>
      <c r="AO11" s="302"/>
      <c r="AP11" s="302"/>
      <c r="AQ11" s="301"/>
      <c r="AR11" s="302"/>
      <c r="AS11" s="239"/>
      <c r="AU11" s="435"/>
      <c r="AV11" s="435" t="str">
        <f t="shared" si="0"/>
        <v>Добавить наименование признака дифференциации</v>
      </c>
      <c r="AW11" s="435"/>
      <c r="AX11" s="435"/>
      <c r="AY11" s="1080">
        <v>0</v>
      </c>
    </row>
    <row r="12" spans="1:51" s="1567" customFormat="1" ht="14.25" hidden="1" customHeight="1">
      <c r="A12" s="1268"/>
      <c r="B12" s="1268"/>
      <c r="C12" s="1239"/>
      <c r="D12" s="1239"/>
      <c r="E12" s="2187"/>
      <c r="F12" s="2186"/>
      <c r="G12" s="1239"/>
      <c r="H12" s="1239"/>
      <c r="I12" s="1239"/>
      <c r="J12" s="1239"/>
      <c r="K12" s="1239"/>
      <c r="L12" s="1419"/>
      <c r="M12" s="1246"/>
      <c r="N12" s="1246"/>
      <c r="P12" s="1241"/>
      <c r="Q12" s="1242"/>
      <c r="R12" s="1241"/>
      <c r="S12" s="1247"/>
      <c r="T12" s="1250" t="s">
        <v>414</v>
      </c>
      <c r="U12" s="1249"/>
      <c r="V12" s="1249"/>
      <c r="W12" s="1249"/>
      <c r="X12" s="1249"/>
      <c r="Y12" s="1249"/>
      <c r="Z12" s="1249"/>
      <c r="AA12" s="1249"/>
      <c r="AB12" s="1249"/>
      <c r="AC12" s="1249"/>
      <c r="AD12" s="1249"/>
      <c r="AE12" s="1249"/>
      <c r="AF12" s="1249"/>
      <c r="AG12" s="1249"/>
      <c r="AH12" s="1249"/>
      <c r="AI12" s="1249"/>
      <c r="AJ12" s="1249"/>
      <c r="AK12" s="1249"/>
      <c r="AL12" s="1249"/>
      <c r="AM12" s="1249"/>
      <c r="AN12" s="1249"/>
      <c r="AO12" s="1249"/>
      <c r="AP12" s="1249"/>
      <c r="AQ12" s="1249"/>
      <c r="AR12" s="1249"/>
      <c r="AS12" s="1249"/>
      <c r="AU12" s="718"/>
      <c r="AV12" s="718" t="str">
        <f t="shared" si="0"/>
        <v>Добавить централизованную систему для дифференциации</v>
      </c>
      <c r="AW12" s="718"/>
      <c r="AX12" s="718"/>
      <c r="AY12" s="453">
        <v>0</v>
      </c>
    </row>
    <row r="13" spans="1:51" s="1567" customFormat="1" ht="14.25" hidden="1" customHeight="1">
      <c r="A13" s="1268"/>
      <c r="B13" s="1268"/>
      <c r="C13" s="1268"/>
      <c r="D13" s="1268"/>
      <c r="E13" s="2186"/>
      <c r="F13" s="1268"/>
      <c r="G13" s="1268"/>
      <c r="H13" s="1268"/>
      <c r="I13" s="1268"/>
      <c r="J13" s="1268"/>
      <c r="K13" s="1268"/>
      <c r="L13" s="1271"/>
      <c r="M13" s="1246"/>
      <c r="N13" s="1246"/>
      <c r="O13" s="453"/>
      <c r="P13" s="315"/>
      <c r="Q13" s="1269"/>
      <c r="R13" s="315"/>
      <c r="S13" s="1247"/>
      <c r="T13" s="1250" t="s">
        <v>415</v>
      </c>
      <c r="U13" s="1249"/>
      <c r="V13" s="1249"/>
      <c r="W13" s="1249"/>
      <c r="X13" s="1249"/>
      <c r="Y13" s="1249"/>
      <c r="Z13" s="1249"/>
      <c r="AA13" s="1249"/>
      <c r="AB13" s="1249"/>
      <c r="AC13" s="1249"/>
      <c r="AD13" s="1249"/>
      <c r="AE13" s="1249"/>
      <c r="AF13" s="1249"/>
      <c r="AG13" s="1249"/>
      <c r="AH13" s="1249"/>
      <c r="AI13" s="1249"/>
      <c r="AJ13" s="1249"/>
      <c r="AK13" s="1249"/>
      <c r="AL13" s="1249"/>
      <c r="AM13" s="1249"/>
      <c r="AN13" s="1249"/>
      <c r="AO13" s="1249"/>
      <c r="AP13" s="1249"/>
      <c r="AQ13" s="1249"/>
      <c r="AR13" s="1249"/>
      <c r="AS13" s="1249"/>
      <c r="AU13" s="435"/>
      <c r="AV13" s="435" t="str">
        <f t="shared" si="0"/>
        <v>Добавить территорию для дифференциации</v>
      </c>
      <c r="AW13" s="435"/>
      <c r="AX13" s="435"/>
      <c r="AY13" s="446">
        <v>0</v>
      </c>
    </row>
    <row r="14" spans="1:51" ht="14.25" hidden="1" customHeight="1">
      <c r="AF14" s="263"/>
      <c r="AQ14" s="263"/>
      <c r="AY14" s="1080">
        <v>0</v>
      </c>
    </row>
    <row r="15" spans="1:51" ht="14.25" hidden="1" customHeight="1">
      <c r="AG15" s="1285"/>
      <c r="AH15" s="1285"/>
      <c r="AI15" s="1285"/>
      <c r="AJ15" s="1285"/>
      <c r="AK15" s="1285"/>
      <c r="AL15" s="1285"/>
      <c r="AM15" s="1286"/>
      <c r="AN15" s="2191"/>
      <c r="AO15" s="2192" t="s">
        <v>66</v>
      </c>
      <c r="AP15" s="2191"/>
      <c r="AQ15" s="2192" t="s">
        <v>66</v>
      </c>
      <c r="AY15" s="1080">
        <v>0</v>
      </c>
    </row>
    <row r="16" spans="1:51" ht="14.25" hidden="1" customHeight="1">
      <c r="AG16" s="1285"/>
      <c r="AH16" s="1285"/>
      <c r="AI16" s="1285"/>
      <c r="AJ16" s="1285"/>
      <c r="AK16" s="1285"/>
      <c r="AL16" s="1285"/>
      <c r="AM16" s="264" t="str">
        <f>AN15&amp;"-"&amp;AP15</f>
        <v>-</v>
      </c>
      <c r="AN16" s="2192"/>
      <c r="AO16" s="2192"/>
      <c r="AP16" s="2192"/>
      <c r="AQ16" s="2192"/>
      <c r="AY16" s="1080">
        <v>0</v>
      </c>
    </row>
    <row r="17" spans="1:51" ht="14.25" hidden="1" customHeight="1">
      <c r="AQ17" s="263"/>
      <c r="AY17" s="1080">
        <v>0</v>
      </c>
    </row>
    <row r="18" spans="1:51" s="1291" customFormat="1" ht="22.5" hidden="1" customHeight="1">
      <c r="L18" s="1403"/>
      <c r="M18" s="1287"/>
      <c r="N18" s="1287"/>
      <c r="O18" s="1292" t="s">
        <v>416</v>
      </c>
      <c r="P18" s="1287"/>
      <c r="Q18" s="1296"/>
      <c r="R18" s="1296"/>
      <c r="S18" s="664"/>
      <c r="AC18" s="1292"/>
      <c r="AE18" s="1292"/>
      <c r="AN18" s="1292"/>
      <c r="AP18" s="1292"/>
      <c r="AT18" s="446"/>
      <c r="AU18" s="446"/>
      <c r="AV18" s="446"/>
      <c r="AW18" s="446"/>
      <c r="AX18" s="446"/>
      <c r="AY18" s="1085">
        <v>0</v>
      </c>
    </row>
    <row r="19" spans="1:51" s="1291" customFormat="1" ht="14.25" hidden="1" customHeight="1">
      <c r="L19" s="1403"/>
      <c r="M19" s="1287"/>
      <c r="N19" s="1287"/>
      <c r="O19" s="1287"/>
      <c r="P19" s="1287"/>
      <c r="Q19" s="1296"/>
      <c r="R19" s="1296"/>
      <c r="S19" s="664"/>
      <c r="AT19" s="446"/>
      <c r="AU19" s="446"/>
      <c r="AV19" s="446"/>
      <c r="AW19" s="446"/>
      <c r="AX19" s="446"/>
      <c r="AY19" s="1085">
        <v>0</v>
      </c>
    </row>
    <row r="20" spans="1:51" s="1291" customFormat="1" ht="12" hidden="1" customHeight="1">
      <c r="L20" s="1403"/>
      <c r="M20" s="1287"/>
      <c r="N20" s="1287"/>
      <c r="O20" s="1289" t="s">
        <v>417</v>
      </c>
      <c r="P20" s="1287"/>
      <c r="Q20" s="1367"/>
      <c r="R20" s="1367"/>
      <c r="S20" s="664"/>
      <c r="T20" s="1085" t="s">
        <v>418</v>
      </c>
      <c r="AD20" s="122" t="s">
        <v>419</v>
      </c>
      <c r="AF20" s="122" t="s">
        <v>420</v>
      </c>
      <c r="AG20" s="1085" t="s">
        <v>418</v>
      </c>
      <c r="AO20" s="122" t="s">
        <v>421</v>
      </c>
      <c r="AQ20" s="122" t="s">
        <v>420</v>
      </c>
      <c r="AY20" s="1085">
        <v>0</v>
      </c>
    </row>
    <row r="21" spans="1:51" ht="14.25" hidden="1" customHeight="1">
      <c r="O21" s="1289"/>
      <c r="AY21" s="1080">
        <v>0</v>
      </c>
    </row>
    <row r="22" spans="1:51" ht="14.25" hidden="1" customHeight="1">
      <c r="O22" s="1289"/>
      <c r="AY22" s="1080">
        <v>0</v>
      </c>
    </row>
    <row r="23" spans="1:51" ht="14.65" customHeight="1">
      <c r="Q23" s="311"/>
      <c r="R23" s="311"/>
      <c r="S23" s="1200"/>
      <c r="T23" s="298"/>
      <c r="U23" s="298"/>
      <c r="V23" s="444"/>
      <c r="AB23" s="444"/>
      <c r="AC23" s="444"/>
      <c r="AD23" s="444"/>
      <c r="AE23" s="444"/>
      <c r="AF23" s="444"/>
      <c r="AG23" s="444"/>
      <c r="AM23" s="444"/>
      <c r="AN23" s="444"/>
      <c r="AO23" s="444"/>
      <c r="AP23" s="444"/>
      <c r="AQ23" s="444"/>
      <c r="AY23" s="1080">
        <v>14</v>
      </c>
    </row>
    <row r="24" spans="1:51" ht="26.25" customHeight="1">
      <c r="Q24" s="311"/>
      <c r="R24" s="311"/>
      <c r="S24" s="2170" t="str">
        <f>IF(TEMPLATE_GROUP="P",PT_P_FORM_HOTVSNA_4_NAME_FORM,PT_R_FORM_HOTVSNA_16_NAME_FORM)</f>
        <v>Форма 13. Информация о предложении организации горячего водоснабжения об установлении расчетной величины тарифов в сфере горячего водоснабжения на очередной период регулирования</v>
      </c>
      <c r="T24" s="2170"/>
      <c r="U24" s="2170"/>
      <c r="V24" s="2170"/>
      <c r="W24" s="2170"/>
      <c r="X24" s="2170"/>
      <c r="Y24" s="2170"/>
      <c r="Z24" s="2170"/>
      <c r="AA24" s="2170"/>
      <c r="AB24" s="2170"/>
      <c r="AC24" s="2170"/>
      <c r="AD24" s="2170"/>
      <c r="AE24" s="2170"/>
      <c r="AF24" s="2170"/>
      <c r="AG24" s="2170"/>
      <c r="AH24" s="2170"/>
      <c r="AI24" s="2170"/>
      <c r="AJ24" s="2170"/>
      <c r="AK24" s="2170"/>
      <c r="AL24" s="2170"/>
      <c r="AM24" s="2170"/>
      <c r="AN24" s="2170"/>
      <c r="AO24" s="2170"/>
      <c r="AP24" s="2170"/>
      <c r="AQ24" s="1168"/>
      <c r="AY24" s="1080">
        <v>25</v>
      </c>
    </row>
    <row r="25" spans="1:51" ht="14.65" customHeight="1">
      <c r="Q25" s="311"/>
      <c r="R25" s="311"/>
      <c r="S25" s="2115" t="str">
        <f>IF(org=0,"Не определено",org)</f>
        <v>ООО "ЗЕНИТ ЭНЕРГО"</v>
      </c>
      <c r="T25" s="2115"/>
      <c r="U25" s="2115"/>
      <c r="V25" s="2115"/>
      <c r="W25" s="2115"/>
      <c r="X25" s="2115"/>
      <c r="Y25" s="2115"/>
      <c r="Z25" s="2115"/>
      <c r="AA25" s="2115"/>
      <c r="AB25" s="2115"/>
      <c r="AC25" s="2115"/>
      <c r="AD25" s="2115"/>
      <c r="AE25" s="2115"/>
      <c r="AF25" s="2115"/>
      <c r="AG25" s="2115"/>
      <c r="AH25" s="2115"/>
      <c r="AI25" s="2115"/>
      <c r="AJ25" s="2115"/>
      <c r="AK25" s="2115"/>
      <c r="AL25" s="2115"/>
      <c r="AM25" s="2115"/>
      <c r="AN25" s="2115"/>
      <c r="AO25" s="2115"/>
      <c r="AP25" s="2115"/>
      <c r="AQ25" s="1168"/>
      <c r="AY25" s="1080">
        <v>14</v>
      </c>
    </row>
    <row r="26" spans="1:51" ht="14.25" hidden="1" customHeight="1">
      <c r="Q26" s="311"/>
      <c r="R26" s="311"/>
      <c r="S26" s="1200"/>
      <c r="T26" s="298"/>
      <c r="U26" s="298"/>
      <c r="V26" s="258"/>
      <c r="W26" s="258"/>
      <c r="X26" s="258"/>
      <c r="Y26" s="258"/>
      <c r="Z26" s="258"/>
      <c r="AA26" s="258"/>
      <c r="AB26" s="258"/>
      <c r="AC26" s="258"/>
      <c r="AD26" s="258"/>
      <c r="AE26" s="258"/>
      <c r="AF26" s="258"/>
      <c r="AG26" s="258"/>
      <c r="AH26" s="258"/>
      <c r="AI26" s="258"/>
      <c r="AJ26" s="258"/>
      <c r="AK26" s="258"/>
      <c r="AL26" s="258"/>
      <c r="AM26" s="258"/>
      <c r="AN26" s="258"/>
      <c r="AO26" s="258"/>
      <c r="AP26" s="258"/>
      <c r="AQ26" s="258"/>
      <c r="AR26" s="444"/>
      <c r="AY26" s="1080">
        <v>0</v>
      </c>
    </row>
    <row r="27" spans="1:51" s="1777" customFormat="1" ht="25.5" hidden="1" customHeight="1">
      <c r="A27" s="1293"/>
      <c r="B27" s="1293"/>
      <c r="C27" s="1293"/>
      <c r="D27" s="1293"/>
      <c r="E27" s="1293"/>
      <c r="F27" s="1293"/>
      <c r="G27" s="1293"/>
      <c r="H27" s="1293"/>
      <c r="I27" s="1293"/>
      <c r="J27" s="1293"/>
      <c r="K27" s="1293"/>
      <c r="L27" s="1294"/>
      <c r="M27" s="1293"/>
      <c r="N27" s="1293"/>
      <c r="O27" s="1293"/>
      <c r="S27" s="2178" t="s">
        <v>42</v>
      </c>
      <c r="T27" s="2178"/>
      <c r="U27" s="1297"/>
      <c r="V27" s="2179" t="str">
        <f>IF(TITLE_NAME_OR_PR_CHANGE="",IF(TITLE_NAME_OR_PR="","",TITLE_NAME_OR_PR),TITLE_NAME_OR_PR_CHANGE)</f>
        <v/>
      </c>
      <c r="W27" s="2179"/>
      <c r="X27" s="2179"/>
      <c r="Y27" s="2179"/>
      <c r="Z27" s="2179"/>
      <c r="AA27" s="2179"/>
      <c r="AB27" s="2179"/>
      <c r="AC27" s="2179"/>
      <c r="AD27" s="2179"/>
      <c r="AE27" s="2179"/>
      <c r="AF27" s="262"/>
      <c r="AG27" s="2179" t="str">
        <f>IF(TITLE_NAME_OR_PR_CHANGE="",IF(TITLE_NAME_OR_PR="","",TITLE_NAME_OR_PR),TITLE_NAME_OR_PR_CHANGE)</f>
        <v/>
      </c>
      <c r="AH27" s="2179"/>
      <c r="AI27" s="2179"/>
      <c r="AJ27" s="2179"/>
      <c r="AK27" s="2179"/>
      <c r="AL27" s="2179"/>
      <c r="AM27" s="2179"/>
      <c r="AN27" s="2179"/>
      <c r="AO27" s="2179"/>
      <c r="AP27" s="2179"/>
      <c r="AQ27" s="262"/>
      <c r="AR27" s="262"/>
      <c r="AS27" s="216"/>
      <c r="AT27" s="303"/>
      <c r="AU27" s="303"/>
      <c r="AV27" s="303"/>
      <c r="AW27" s="303"/>
      <c r="AX27" s="303"/>
      <c r="AY27" s="353">
        <v>0</v>
      </c>
    </row>
    <row r="28" spans="1:51" s="1777" customFormat="1" ht="18.75" hidden="1" customHeight="1">
      <c r="A28" s="1293"/>
      <c r="B28" s="1293"/>
      <c r="C28" s="1293"/>
      <c r="D28" s="1293"/>
      <c r="E28" s="1293"/>
      <c r="F28" s="1293"/>
      <c r="G28" s="1293"/>
      <c r="H28" s="1293"/>
      <c r="I28" s="1293"/>
      <c r="J28" s="1293"/>
      <c r="K28" s="1293"/>
      <c r="L28" s="1294"/>
      <c r="M28" s="1293"/>
      <c r="N28" s="1293"/>
      <c r="O28" s="1293"/>
      <c r="S28" s="2178" t="s">
        <v>422</v>
      </c>
      <c r="T28" s="2178"/>
      <c r="U28" s="1297"/>
      <c r="V28" s="2188" t="str">
        <f>IF(TITLE_DATE_PR_CHANGE="",IF(TITLE_DATE_PR="","",TITLE_DATE_PR),TITLE_DATE_PR_CHANGE)</f>
        <v/>
      </c>
      <c r="W28" s="2188"/>
      <c r="X28" s="2188"/>
      <c r="Y28" s="2188"/>
      <c r="Z28" s="2188"/>
      <c r="AA28" s="2188"/>
      <c r="AB28" s="2188"/>
      <c r="AC28" s="2188"/>
      <c r="AD28" s="2188"/>
      <c r="AE28" s="2188"/>
      <c r="AF28" s="262"/>
      <c r="AG28" s="2188" t="str">
        <f>IF(TITLE_DATE_PR_CHANGE="",IF(TITLE_DATE_PR="","",TITLE_DATE_PR),TITLE_DATE_PR_CHANGE)</f>
        <v/>
      </c>
      <c r="AH28" s="2188"/>
      <c r="AI28" s="2188"/>
      <c r="AJ28" s="2188"/>
      <c r="AK28" s="2188"/>
      <c r="AL28" s="2188"/>
      <c r="AM28" s="2188"/>
      <c r="AN28" s="2188"/>
      <c r="AO28" s="2188"/>
      <c r="AP28" s="2188"/>
      <c r="AQ28" s="262"/>
      <c r="AR28" s="262"/>
      <c r="AS28" s="216"/>
      <c r="AT28" s="303"/>
      <c r="AU28" s="303"/>
      <c r="AV28" s="303"/>
      <c r="AW28" s="303"/>
      <c r="AX28" s="303"/>
      <c r="AY28" s="353">
        <v>0</v>
      </c>
    </row>
    <row r="29" spans="1:51" s="1777" customFormat="1" ht="18.75" hidden="1" customHeight="1">
      <c r="A29" s="1293"/>
      <c r="B29" s="1293"/>
      <c r="C29" s="1293"/>
      <c r="D29" s="1293"/>
      <c r="E29" s="1293"/>
      <c r="F29" s="1293"/>
      <c r="G29" s="1293"/>
      <c r="H29" s="1293"/>
      <c r="I29" s="1293"/>
      <c r="J29" s="1293"/>
      <c r="K29" s="1293"/>
      <c r="L29" s="1294"/>
      <c r="M29" s="1293"/>
      <c r="N29" s="1293"/>
      <c r="O29" s="1293"/>
      <c r="S29" s="2178" t="s">
        <v>423</v>
      </c>
      <c r="T29" s="2178"/>
      <c r="U29" s="1297"/>
      <c r="V29" s="2179" t="str">
        <f>IF(TITLE_NUMBER_PR_CHANGE="",IF(TITLE_NUMBER_PR="","",TITLE_NUMBER_PR),TITLE_NUMBER_PR_CHANGE)</f>
        <v/>
      </c>
      <c r="W29" s="2179"/>
      <c r="X29" s="2179"/>
      <c r="Y29" s="2179"/>
      <c r="Z29" s="2179"/>
      <c r="AA29" s="2179"/>
      <c r="AB29" s="2179"/>
      <c r="AC29" s="2179"/>
      <c r="AD29" s="2179"/>
      <c r="AE29" s="2179"/>
      <c r="AF29" s="262"/>
      <c r="AG29" s="2179" t="str">
        <f>IF(TITLE_NUMBER_PR_CHANGE="",IF(TITLE_NUMBER_PR="","",TITLE_NUMBER_PR),TITLE_NUMBER_PR_CHANGE)</f>
        <v/>
      </c>
      <c r="AH29" s="2179"/>
      <c r="AI29" s="2179"/>
      <c r="AJ29" s="2179"/>
      <c r="AK29" s="2179"/>
      <c r="AL29" s="2179"/>
      <c r="AM29" s="2179"/>
      <c r="AN29" s="2179"/>
      <c r="AO29" s="2179"/>
      <c r="AP29" s="2179"/>
      <c r="AQ29" s="262"/>
      <c r="AR29" s="262"/>
      <c r="AS29" s="216"/>
      <c r="AT29" s="303"/>
      <c r="AU29" s="303"/>
      <c r="AV29" s="303"/>
      <c r="AW29" s="303"/>
      <c r="AX29" s="303"/>
      <c r="AY29" s="353">
        <v>0</v>
      </c>
    </row>
    <row r="30" spans="1:51" s="1777" customFormat="1" ht="18.75" hidden="1" customHeight="1">
      <c r="A30" s="1293"/>
      <c r="B30" s="1293"/>
      <c r="C30" s="1293"/>
      <c r="D30" s="1293"/>
      <c r="E30" s="1293"/>
      <c r="F30" s="1293"/>
      <c r="G30" s="1293"/>
      <c r="H30" s="1293"/>
      <c r="I30" s="1293"/>
      <c r="J30" s="1293"/>
      <c r="K30" s="1293"/>
      <c r="L30" s="1294"/>
      <c r="M30" s="1293"/>
      <c r="N30" s="1293"/>
      <c r="O30" s="1293"/>
      <c r="S30" s="2178" t="s">
        <v>43</v>
      </c>
      <c r="T30" s="2178"/>
      <c r="U30" s="1297"/>
      <c r="V30" s="2179" t="str">
        <f>IF(TITLE_IST_PUB_CHANGE="",IF(TITLE_IST_PUB="","",TITLE_IST_PUB),TITLE_IST_PUB_CHANGE)</f>
        <v/>
      </c>
      <c r="W30" s="2179"/>
      <c r="X30" s="2179"/>
      <c r="Y30" s="2179"/>
      <c r="Z30" s="2179"/>
      <c r="AA30" s="2179"/>
      <c r="AB30" s="2179"/>
      <c r="AC30" s="2179"/>
      <c r="AD30" s="2179"/>
      <c r="AE30" s="2179"/>
      <c r="AF30" s="262"/>
      <c r="AG30" s="2179" t="str">
        <f>IF(TITLE_IST_PUB_CHANGE="",IF(TITLE_IST_PUB="","",TITLE_IST_PUB),TITLE_IST_PUB_CHANGE)</f>
        <v/>
      </c>
      <c r="AH30" s="2179"/>
      <c r="AI30" s="2179"/>
      <c r="AJ30" s="2179"/>
      <c r="AK30" s="2179"/>
      <c r="AL30" s="2179"/>
      <c r="AM30" s="2179"/>
      <c r="AN30" s="2179"/>
      <c r="AO30" s="2179"/>
      <c r="AP30" s="2179"/>
      <c r="AQ30" s="262"/>
      <c r="AR30" s="262"/>
      <c r="AS30" s="216"/>
      <c r="AT30" s="303"/>
      <c r="AU30" s="303"/>
      <c r="AV30" s="303"/>
      <c r="AW30" s="303"/>
      <c r="AX30" s="303"/>
      <c r="AY30" s="353">
        <v>0</v>
      </c>
    </row>
    <row r="31" spans="1:51" ht="14.25" hidden="1" customHeight="1">
      <c r="Q31" s="311"/>
      <c r="R31" s="311"/>
      <c r="S31" s="1200"/>
      <c r="T31" s="298"/>
      <c r="U31" s="298"/>
      <c r="V31" s="258"/>
      <c r="W31" s="258"/>
      <c r="X31" s="258"/>
      <c r="Y31" s="258"/>
      <c r="Z31" s="258"/>
      <c r="AA31" s="258"/>
      <c r="AB31" s="258"/>
      <c r="AC31" s="258"/>
      <c r="AD31" s="258"/>
      <c r="AE31" s="258"/>
      <c r="AF31" s="258"/>
      <c r="AG31" s="258"/>
      <c r="AH31" s="258"/>
      <c r="AI31" s="258"/>
      <c r="AJ31" s="258"/>
      <c r="AK31" s="258"/>
      <c r="AL31" s="258"/>
      <c r="AM31" s="258"/>
      <c r="AN31" s="258"/>
      <c r="AO31" s="258"/>
      <c r="AP31" s="258"/>
      <c r="AQ31" s="258"/>
      <c r="AR31" s="444"/>
      <c r="AY31" s="1080">
        <v>0</v>
      </c>
    </row>
    <row r="32" spans="1:51" s="1777" customFormat="1" ht="18.75" hidden="1" customHeight="1">
      <c r="A32" s="1293"/>
      <c r="B32" s="1293"/>
      <c r="C32" s="1293"/>
      <c r="D32" s="1293"/>
      <c r="E32" s="1293"/>
      <c r="F32" s="1293"/>
      <c r="G32" s="1293"/>
      <c r="H32" s="1293"/>
      <c r="I32" s="1293"/>
      <c r="J32" s="1293"/>
      <c r="K32" s="1293"/>
      <c r="L32" s="1294"/>
      <c r="M32" s="1293"/>
      <c r="N32" s="1293"/>
      <c r="O32" s="1293"/>
      <c r="S32" s="2178" t="s">
        <v>424</v>
      </c>
      <c r="T32" s="2178"/>
      <c r="U32" s="1297"/>
      <c r="V32" s="2188" t="str">
        <f>IF(TITLE_DATE_PR_CHANGE="",IF(TITLE_DATE_PR="","",TITLE_DATE_PR),TITLE_DATE_PR_CHANGE)</f>
        <v/>
      </c>
      <c r="W32" s="2188"/>
      <c r="X32" s="2188"/>
      <c r="Y32" s="2188"/>
      <c r="Z32" s="2188"/>
      <c r="AA32" s="2188"/>
      <c r="AB32" s="2188"/>
      <c r="AC32" s="2188"/>
      <c r="AD32" s="2188"/>
      <c r="AE32" s="2188"/>
      <c r="AF32" s="262"/>
      <c r="AG32" s="2188" t="str">
        <f>IF(TITLE_DATE_PR_CHANGE="",IF(TITLE_DATE_PR="","",TITLE_DATE_PR),TITLE_DATE_PR_CHANGE)</f>
        <v/>
      </c>
      <c r="AH32" s="2188"/>
      <c r="AI32" s="2188"/>
      <c r="AJ32" s="2188"/>
      <c r="AK32" s="2188"/>
      <c r="AL32" s="2188"/>
      <c r="AM32" s="2188"/>
      <c r="AN32" s="2188"/>
      <c r="AO32" s="2188"/>
      <c r="AP32" s="2188"/>
      <c r="AQ32" s="262"/>
      <c r="AR32" s="262"/>
      <c r="AS32" s="216"/>
      <c r="AT32" s="303"/>
      <c r="AU32" s="303"/>
      <c r="AV32" s="303"/>
      <c r="AW32" s="303"/>
      <c r="AX32" s="303"/>
      <c r="AY32" s="353">
        <v>0</v>
      </c>
    </row>
    <row r="33" spans="1:51" s="1777" customFormat="1" ht="18.75" hidden="1" customHeight="1">
      <c r="A33" s="1293"/>
      <c r="B33" s="1293"/>
      <c r="C33" s="1293"/>
      <c r="D33" s="1293"/>
      <c r="E33" s="1293"/>
      <c r="F33" s="1293"/>
      <c r="G33" s="1293"/>
      <c r="H33" s="1293"/>
      <c r="I33" s="1293"/>
      <c r="J33" s="1293"/>
      <c r="K33" s="1293"/>
      <c r="L33" s="1294"/>
      <c r="M33" s="1293"/>
      <c r="N33" s="1293"/>
      <c r="O33" s="1293"/>
      <c r="S33" s="2178" t="s">
        <v>425</v>
      </c>
      <c r="T33" s="2178"/>
      <c r="U33" s="1297"/>
      <c r="V33" s="2179" t="str">
        <f>IF(TITLE_NUMBER_PR_CHANGE="",IF(TITLE_NUMBER_PR="","",TITLE_NUMBER_PR),TITLE_NUMBER_PR_CHANGE)</f>
        <v/>
      </c>
      <c r="W33" s="2179"/>
      <c r="X33" s="2179"/>
      <c r="Y33" s="2179"/>
      <c r="Z33" s="2179"/>
      <c r="AA33" s="2179"/>
      <c r="AB33" s="2179"/>
      <c r="AC33" s="2179"/>
      <c r="AD33" s="2179"/>
      <c r="AE33" s="2179"/>
      <c r="AF33" s="262"/>
      <c r="AG33" s="2179" t="str">
        <f>IF(TITLE_NUMBER_PR_CHANGE="",IF(TITLE_NUMBER_PR="","",TITLE_NUMBER_PR),TITLE_NUMBER_PR_CHANGE)</f>
        <v/>
      </c>
      <c r="AH33" s="2179"/>
      <c r="AI33" s="2179"/>
      <c r="AJ33" s="2179"/>
      <c r="AK33" s="2179"/>
      <c r="AL33" s="2179"/>
      <c r="AM33" s="2179"/>
      <c r="AN33" s="2179"/>
      <c r="AO33" s="2179"/>
      <c r="AP33" s="2179"/>
      <c r="AQ33" s="262"/>
      <c r="AR33" s="262"/>
      <c r="AS33" s="216"/>
      <c r="AT33" s="303"/>
      <c r="AU33" s="303"/>
      <c r="AV33" s="303"/>
      <c r="AW33" s="303"/>
      <c r="AX33" s="303"/>
      <c r="AY33" s="353">
        <v>0</v>
      </c>
    </row>
    <row r="34" spans="1:51" s="1777" customFormat="1" ht="1.1499999999999999" customHeight="1">
      <c r="A34" s="1293"/>
      <c r="B34" s="1293"/>
      <c r="C34" s="1293"/>
      <c r="D34" s="1293"/>
      <c r="E34" s="1293"/>
      <c r="F34" s="1293"/>
      <c r="G34" s="1293"/>
      <c r="H34" s="1293"/>
      <c r="I34" s="1293"/>
      <c r="J34" s="1293"/>
      <c r="K34" s="1293"/>
      <c r="L34" s="1294"/>
      <c r="M34" s="1293"/>
      <c r="N34" s="1293"/>
      <c r="O34" s="1293"/>
      <c r="S34" s="259"/>
      <c r="T34" s="259"/>
      <c r="U34" s="1413"/>
      <c r="V34" s="262"/>
      <c r="W34" s="1560"/>
      <c r="X34" s="1560"/>
      <c r="Y34" s="1560"/>
      <c r="Z34" s="1560"/>
      <c r="AA34" s="1560"/>
      <c r="AB34" s="262"/>
      <c r="AC34" s="262"/>
      <c r="AD34" s="262"/>
      <c r="AE34" s="262"/>
      <c r="AF34" s="214" t="s">
        <v>426</v>
      </c>
      <c r="AG34" s="262"/>
      <c r="AH34" s="1560"/>
      <c r="AI34" s="1560"/>
      <c r="AJ34" s="1560"/>
      <c r="AK34" s="1560"/>
      <c r="AL34" s="1560"/>
      <c r="AM34" s="262"/>
      <c r="AN34" s="262"/>
      <c r="AO34" s="262"/>
      <c r="AP34" s="262"/>
      <c r="AQ34" s="214" t="s">
        <v>426</v>
      </c>
      <c r="AT34" s="303"/>
      <c r="AU34" s="303"/>
      <c r="AV34" s="303"/>
      <c r="AW34" s="303"/>
      <c r="AX34" s="303"/>
      <c r="AY34" s="353">
        <v>1</v>
      </c>
    </row>
    <row r="35" spans="1:51" ht="14.65" customHeight="1">
      <c r="Q35" s="311"/>
      <c r="R35" s="311"/>
      <c r="S35" s="1200"/>
      <c r="T35" s="298"/>
      <c r="U35" s="1169"/>
      <c r="V35" s="2180"/>
      <c r="W35" s="2180"/>
      <c r="X35" s="2180"/>
      <c r="Y35" s="2180"/>
      <c r="Z35" s="2180"/>
      <c r="AA35" s="2180"/>
      <c r="AB35" s="2180"/>
      <c r="AC35" s="2180"/>
      <c r="AD35" s="2180"/>
      <c r="AE35" s="2180"/>
      <c r="AF35" s="2180"/>
      <c r="AG35" s="2180"/>
      <c r="AH35" s="2180"/>
      <c r="AI35" s="2180"/>
      <c r="AJ35" s="2180"/>
      <c r="AK35" s="2180"/>
      <c r="AL35" s="2180"/>
      <c r="AM35" s="2180"/>
      <c r="AN35" s="2180"/>
      <c r="AO35" s="2180"/>
      <c r="AP35" s="2180"/>
      <c r="AQ35" s="2180"/>
      <c r="AY35" s="1080">
        <v>14</v>
      </c>
    </row>
    <row r="36" spans="1:51" ht="14.65" customHeight="1">
      <c r="Q36" s="311"/>
      <c r="R36" s="311"/>
      <c r="S36" s="2066" t="s">
        <v>299</v>
      </c>
      <c r="T36" s="2066"/>
      <c r="U36" s="2066"/>
      <c r="V36" s="2066"/>
      <c r="W36" s="2066"/>
      <c r="X36" s="2066"/>
      <c r="Y36" s="2066"/>
      <c r="Z36" s="2066"/>
      <c r="AA36" s="2066"/>
      <c r="AB36" s="2066"/>
      <c r="AC36" s="2066"/>
      <c r="AD36" s="2066"/>
      <c r="AE36" s="2066"/>
      <c r="AF36" s="2066"/>
      <c r="AG36" s="2066"/>
      <c r="AH36" s="2066"/>
      <c r="AI36" s="2066"/>
      <c r="AJ36" s="2066"/>
      <c r="AK36" s="2066"/>
      <c r="AL36" s="2066"/>
      <c r="AM36" s="2066"/>
      <c r="AN36" s="2066"/>
      <c r="AO36" s="2066"/>
      <c r="AP36" s="2066"/>
      <c r="AQ36" s="2066"/>
      <c r="AR36" s="2066"/>
      <c r="AS36" s="2066" t="s">
        <v>300</v>
      </c>
      <c r="AY36" s="1080">
        <v>14</v>
      </c>
    </row>
    <row r="37" spans="1:51" ht="14.65" customHeight="1">
      <c r="Q37" s="311"/>
      <c r="R37" s="311"/>
      <c r="S37" s="2194" t="s">
        <v>88</v>
      </c>
      <c r="T37" s="2145" t="s">
        <v>427</v>
      </c>
      <c r="U37" s="237"/>
      <c r="V37" s="2195" t="s">
        <v>428</v>
      </c>
      <c r="W37" s="2196"/>
      <c r="X37" s="2196"/>
      <c r="Y37" s="2196"/>
      <c r="Z37" s="2196"/>
      <c r="AA37" s="2196"/>
      <c r="AB37" s="2196"/>
      <c r="AC37" s="2196"/>
      <c r="AD37" s="2196"/>
      <c r="AE37" s="2197"/>
      <c r="AF37" s="2198" t="s">
        <v>429</v>
      </c>
      <c r="AG37" s="2195" t="s">
        <v>428</v>
      </c>
      <c r="AH37" s="2196"/>
      <c r="AI37" s="2196"/>
      <c r="AJ37" s="2196"/>
      <c r="AK37" s="2196"/>
      <c r="AL37" s="2196"/>
      <c r="AM37" s="2196"/>
      <c r="AN37" s="2196"/>
      <c r="AO37" s="2196"/>
      <c r="AP37" s="2197"/>
      <c r="AQ37" s="2198" t="s">
        <v>430</v>
      </c>
      <c r="AR37" s="2201" t="s">
        <v>431</v>
      </c>
      <c r="AS37" s="2066"/>
      <c r="AY37" s="1080">
        <v>14</v>
      </c>
    </row>
    <row r="38" spans="1:51" s="1560" customFormat="1" ht="19.899999999999999" customHeight="1">
      <c r="A38" s="1291"/>
      <c r="B38" s="1291"/>
      <c r="C38" s="1291"/>
      <c r="D38" s="1291"/>
      <c r="E38" s="1291"/>
      <c r="F38" s="1291"/>
      <c r="G38" s="1291"/>
      <c r="H38" s="1291"/>
      <c r="I38" s="1291"/>
      <c r="J38" s="1291"/>
      <c r="K38" s="1291"/>
      <c r="L38" s="1901"/>
      <c r="M38" s="1287"/>
      <c r="N38" s="1287"/>
      <c r="O38" s="1287"/>
      <c r="P38" s="1902"/>
      <c r="Q38" s="311"/>
      <c r="R38" s="311"/>
      <c r="S38" s="2194"/>
      <c r="T38" s="2145"/>
      <c r="U38" s="959"/>
      <c r="V38" s="2066" t="s">
        <v>531</v>
      </c>
      <c r="W38" s="2268" t="s">
        <v>532</v>
      </c>
      <c r="X38" s="2268"/>
      <c r="Y38" s="2268"/>
      <c r="Z38" s="2268" t="s">
        <v>533</v>
      </c>
      <c r="AA38" s="2268"/>
      <c r="AB38" s="2268"/>
      <c r="AC38" s="2131" t="s">
        <v>435</v>
      </c>
      <c r="AD38" s="2226"/>
      <c r="AE38" s="2132"/>
      <c r="AF38" s="2199"/>
      <c r="AG38" s="2066" t="s">
        <v>531</v>
      </c>
      <c r="AH38" s="2268" t="s">
        <v>532</v>
      </c>
      <c r="AI38" s="2268"/>
      <c r="AJ38" s="2268"/>
      <c r="AK38" s="2268" t="s">
        <v>533</v>
      </c>
      <c r="AL38" s="2268"/>
      <c r="AM38" s="2268"/>
      <c r="AN38" s="2131" t="s">
        <v>435</v>
      </c>
      <c r="AO38" s="2226"/>
      <c r="AP38" s="2132"/>
      <c r="AQ38" s="2199"/>
      <c r="AR38" s="2202"/>
      <c r="AS38" s="2066"/>
      <c r="AT38" s="1561"/>
      <c r="AU38" s="1561"/>
      <c r="AV38" s="1561"/>
      <c r="AW38" s="1561"/>
      <c r="AX38" s="1561"/>
      <c r="AY38" s="1556">
        <v>19</v>
      </c>
    </row>
    <row r="39" spans="1:51" ht="19.899999999999999" customHeight="1">
      <c r="Q39" s="311"/>
      <c r="R39" s="311"/>
      <c r="S39" s="2194"/>
      <c r="T39" s="2145"/>
      <c r="U39" s="959"/>
      <c r="V39" s="2066"/>
      <c r="W39" s="2268" t="s">
        <v>534</v>
      </c>
      <c r="X39" s="2268" t="s">
        <v>535</v>
      </c>
      <c r="Y39" s="2268"/>
      <c r="Z39" s="2268" t="s">
        <v>536</v>
      </c>
      <c r="AA39" s="2268" t="s">
        <v>535</v>
      </c>
      <c r="AB39" s="2268"/>
      <c r="AC39" s="2136"/>
      <c r="AD39" s="2227"/>
      <c r="AE39" s="2137"/>
      <c r="AF39" s="2199"/>
      <c r="AG39" s="2066"/>
      <c r="AH39" s="2268" t="s">
        <v>534</v>
      </c>
      <c r="AI39" s="2268" t="s">
        <v>535</v>
      </c>
      <c r="AJ39" s="2268"/>
      <c r="AK39" s="2268" t="s">
        <v>536</v>
      </c>
      <c r="AL39" s="2268" t="s">
        <v>535</v>
      </c>
      <c r="AM39" s="2268"/>
      <c r="AN39" s="2136"/>
      <c r="AO39" s="2227"/>
      <c r="AP39" s="2137"/>
      <c r="AQ39" s="2199"/>
      <c r="AR39" s="2202"/>
      <c r="AS39" s="2066"/>
      <c r="AY39" s="1080">
        <v>19</v>
      </c>
    </row>
    <row r="40" spans="1:51" ht="61.9" customHeight="1">
      <c r="A40" s="1295"/>
      <c r="B40" s="1295" t="s">
        <v>136</v>
      </c>
      <c r="C40" s="1295" t="s">
        <v>137</v>
      </c>
      <c r="D40" s="1295" t="s">
        <v>138</v>
      </c>
      <c r="E40" s="1289" t="s">
        <v>436</v>
      </c>
      <c r="F40" s="1289" t="s">
        <v>437</v>
      </c>
      <c r="G40" s="1289" t="s">
        <v>438</v>
      </c>
      <c r="H40" s="1289"/>
      <c r="I40" s="1289" t="s">
        <v>489</v>
      </c>
      <c r="J40" s="1289" t="s">
        <v>441</v>
      </c>
      <c r="K40" s="1289" t="s">
        <v>490</v>
      </c>
      <c r="L40" s="1289" t="s">
        <v>417</v>
      </c>
      <c r="Q40" s="311"/>
      <c r="R40" s="311"/>
      <c r="S40" s="2194"/>
      <c r="T40" s="2145"/>
      <c r="U40" s="238"/>
      <c r="V40" s="2066"/>
      <c r="W40" s="2268"/>
      <c r="X40" s="1904" t="s">
        <v>537</v>
      </c>
      <c r="Y40" s="1904" t="s">
        <v>538</v>
      </c>
      <c r="Z40" s="2268"/>
      <c r="AA40" s="1904" t="s">
        <v>539</v>
      </c>
      <c r="AB40" s="1904" t="s">
        <v>540</v>
      </c>
      <c r="AC40" s="1414" t="s">
        <v>445</v>
      </c>
      <c r="AD40" s="2154" t="s">
        <v>446</v>
      </c>
      <c r="AE40" s="2156"/>
      <c r="AF40" s="2200"/>
      <c r="AG40" s="2066"/>
      <c r="AH40" s="2268"/>
      <c r="AI40" s="1904" t="s">
        <v>537</v>
      </c>
      <c r="AJ40" s="1904" t="s">
        <v>538</v>
      </c>
      <c r="AK40" s="2268"/>
      <c r="AL40" s="1904" t="s">
        <v>539</v>
      </c>
      <c r="AM40" s="1904" t="s">
        <v>540</v>
      </c>
      <c r="AN40" s="1414" t="s">
        <v>445</v>
      </c>
      <c r="AO40" s="2154" t="s">
        <v>446</v>
      </c>
      <c r="AP40" s="2156"/>
      <c r="AQ40" s="2200"/>
      <c r="AR40" s="2203"/>
      <c r="AS40" s="2066"/>
      <c r="AY40" s="1080">
        <v>59</v>
      </c>
    </row>
    <row r="41" spans="1:51" s="1566" customFormat="1" ht="11.25" hidden="1" customHeight="1">
      <c r="A41" s="1295"/>
      <c r="B41" s="1295"/>
      <c r="C41" s="1295"/>
      <c r="D41" s="1295"/>
      <c r="E41" s="1295"/>
      <c r="F41" s="1295"/>
      <c r="G41" s="1295"/>
      <c r="H41" s="1295"/>
      <c r="I41" s="1295"/>
      <c r="J41" s="1295"/>
      <c r="K41" s="1295"/>
      <c r="L41" s="1289"/>
      <c r="M41" s="1287"/>
      <c r="N41" s="1287"/>
      <c r="O41" s="1287"/>
      <c r="P41" s="1171"/>
      <c r="Q41" s="1172"/>
      <c r="R41" s="1179">
        <v>1</v>
      </c>
      <c r="S41" s="1202" t="s">
        <v>109</v>
      </c>
      <c r="T41" s="1180" t="s">
        <v>110</v>
      </c>
      <c r="U41" s="1170" t="str">
        <f ca="1">OFFSET(U41,0,-1)</f>
        <v>2</v>
      </c>
      <c r="V41" s="1407">
        <f ca="1">OFFSET(V41,0,-1)+1</f>
        <v>3</v>
      </c>
      <c r="W41" s="1900"/>
      <c r="X41" s="1900"/>
      <c r="Y41" s="1900"/>
      <c r="Z41" s="1900"/>
      <c r="AA41" s="1900"/>
      <c r="AB41" s="1407">
        <f ca="1">OFFSET(AB41,0,-1)+1</f>
        <v>1</v>
      </c>
      <c r="AC41" s="1407">
        <f ca="1">OFFSET(AC41,0,-1)+1</f>
        <v>2</v>
      </c>
      <c r="AD41" s="2193">
        <f ca="1">OFFSET(AD41,0,-1)+1</f>
        <v>3</v>
      </c>
      <c r="AE41" s="2193"/>
      <c r="AF41" s="1407">
        <f ca="1">OFFSET(AF41,0,-2)+1</f>
        <v>4</v>
      </c>
      <c r="AG41" s="1407">
        <f ca="1">OFFSET(AG41,0,-1)+1</f>
        <v>5</v>
      </c>
      <c r="AH41" s="1900"/>
      <c r="AI41" s="1900"/>
      <c r="AJ41" s="1900"/>
      <c r="AK41" s="1900"/>
      <c r="AL41" s="1900"/>
      <c r="AM41" s="1407">
        <f ca="1">OFFSET(AM41,0,-1)+1</f>
        <v>1</v>
      </c>
      <c r="AN41" s="1407">
        <f ca="1">OFFSET(AN41,0,-1)+1</f>
        <v>2</v>
      </c>
      <c r="AO41" s="2193">
        <f ca="1">OFFSET(AO41,0,-1)+1</f>
        <v>3</v>
      </c>
      <c r="AP41" s="2193"/>
      <c r="AQ41" s="1407">
        <f ca="1">OFFSET(AQ41,0,-2)+1</f>
        <v>4</v>
      </c>
      <c r="AR41" s="1170">
        <f ca="1">OFFSET(AR41,0,-1)</f>
        <v>4</v>
      </c>
      <c r="AS41" s="1407">
        <f ca="1">OFFSET(AS41,0,-1)+1</f>
        <v>5</v>
      </c>
      <c r="AT41" s="446"/>
      <c r="AU41" s="446"/>
      <c r="AV41" s="446"/>
      <c r="AW41" s="446"/>
      <c r="AX41" s="446"/>
      <c r="AY41" s="431">
        <v>0</v>
      </c>
    </row>
    <row r="42" spans="1:51" ht="24" customHeight="1">
      <c r="A42" s="1288" t="s">
        <v>255</v>
      </c>
      <c r="B42" s="1288"/>
      <c r="C42" s="1288"/>
      <c r="D42" s="1288"/>
      <c r="E42" s="2186">
        <v>1</v>
      </c>
      <c r="F42" s="1288"/>
      <c r="G42" s="1288"/>
      <c r="H42" s="1288"/>
      <c r="I42" s="1288"/>
      <c r="J42" s="1288"/>
      <c r="K42" s="1288"/>
      <c r="L42" s="1289"/>
      <c r="M42" s="1290"/>
      <c r="N42" s="1290"/>
      <c r="O42" s="1290"/>
      <c r="P42" s="296"/>
      <c r="Q42" s="295"/>
      <c r="R42" s="290"/>
      <c r="S42" s="1418">
        <f>INDEX(PT_DIFFERENTIATION_NUM_NTAR,MATCH(A42,PT_DIFFERENTIATION_NTAR_ID,0))</f>
        <v>0</v>
      </c>
      <c r="T42" s="234" t="s">
        <v>124</v>
      </c>
      <c r="U42" s="236"/>
      <c r="V42" s="2172"/>
      <c r="W42" s="2173"/>
      <c r="X42" s="2173"/>
      <c r="Y42" s="2173"/>
      <c r="Z42" s="2173"/>
      <c r="AA42" s="2173"/>
      <c r="AB42" s="2173"/>
      <c r="AC42" s="2173"/>
      <c r="AD42" s="2173"/>
      <c r="AE42" s="2173"/>
      <c r="AF42" s="2174"/>
      <c r="AG42" s="2172" t="str">
        <f>INDEX(PT_DIFFERENTIATION_NTAR,MATCH(A42,PT_DIFFERENTIATION_NTAR_ID,0))</f>
        <v/>
      </c>
      <c r="AH42" s="2173"/>
      <c r="AI42" s="2173"/>
      <c r="AJ42" s="2173"/>
      <c r="AK42" s="2173"/>
      <c r="AL42" s="2173"/>
      <c r="AM42" s="2173"/>
      <c r="AN42" s="2173"/>
      <c r="AO42" s="2173"/>
      <c r="AP42" s="2173"/>
      <c r="AQ42" s="2173"/>
      <c r="AR42" s="2174"/>
      <c r="AS42" s="1183"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U42" s="435"/>
      <c r="AV42" s="435" t="str">
        <f t="shared" ref="AV42:AV54" si="1">IF(T42="","",T42)</f>
        <v>Наименование тарифа</v>
      </c>
      <c r="AW42" s="435"/>
      <c r="AX42" s="435"/>
      <c r="AY42" s="1080">
        <v>23</v>
      </c>
    </row>
    <row r="43" spans="1:51" ht="24" customHeight="1">
      <c r="A43" s="1288" t="s">
        <v>255</v>
      </c>
      <c r="B43" s="1288" t="s">
        <v>256</v>
      </c>
      <c r="C43" s="1288"/>
      <c r="D43" s="1288"/>
      <c r="E43" s="2187"/>
      <c r="F43" s="2186">
        <v>1</v>
      </c>
      <c r="G43" s="1288"/>
      <c r="H43" s="1288"/>
      <c r="I43" s="1288"/>
      <c r="J43" s="1288"/>
      <c r="K43" s="1288"/>
      <c r="L43" s="1289"/>
      <c r="M43" s="1290"/>
      <c r="N43" s="1290"/>
      <c r="O43" s="1290"/>
      <c r="P43" s="1412"/>
      <c r="Q43" s="287"/>
      <c r="R43" s="288"/>
      <c r="S43" s="1418" t="str">
        <f>INDEX(PT_DIFFERENTIATION_NUM_TER,MATCH(B43,PT_DIFFERENTIATION_TER_ID,0))</f>
        <v>.</v>
      </c>
      <c r="T43" s="244" t="s">
        <v>396</v>
      </c>
      <c r="U43" s="236"/>
      <c r="V43" s="2172"/>
      <c r="W43" s="2173"/>
      <c r="X43" s="2173"/>
      <c r="Y43" s="2173"/>
      <c r="Z43" s="2173"/>
      <c r="AA43" s="2173"/>
      <c r="AB43" s="2173"/>
      <c r="AC43" s="2173"/>
      <c r="AD43" s="2173"/>
      <c r="AE43" s="2173"/>
      <c r="AF43" s="2174"/>
      <c r="AG43" s="2172" t="str">
        <f>INDEX(PT_DIFFERENTIATION_TER,MATCH(B43,PT_DIFFERENTIATION_TER_ID,0))</f>
        <v/>
      </c>
      <c r="AH43" s="2173"/>
      <c r="AI43" s="2173"/>
      <c r="AJ43" s="2173"/>
      <c r="AK43" s="2173"/>
      <c r="AL43" s="2173"/>
      <c r="AM43" s="2173"/>
      <c r="AN43" s="2173"/>
      <c r="AO43" s="2173"/>
      <c r="AP43" s="2173"/>
      <c r="AQ43" s="2173"/>
      <c r="AR43" s="2174"/>
      <c r="AS43" s="1183" t="s">
        <v>397</v>
      </c>
      <c r="AU43" s="435"/>
      <c r="AV43" s="435" t="str">
        <f t="shared" si="1"/>
        <v>Территория действия тарифа</v>
      </c>
      <c r="AW43" s="435"/>
      <c r="AX43" s="435"/>
      <c r="AY43" s="1080">
        <v>23</v>
      </c>
    </row>
    <row r="44" spans="1:51" ht="24" customHeight="1">
      <c r="A44" s="1288" t="s">
        <v>255</v>
      </c>
      <c r="B44" s="1288" t="s">
        <v>256</v>
      </c>
      <c r="C44" s="1288" t="s">
        <v>257</v>
      </c>
      <c r="D44" s="1288"/>
      <c r="E44" s="2187"/>
      <c r="F44" s="2187"/>
      <c r="G44" s="2186">
        <v>1</v>
      </c>
      <c r="H44" s="1288"/>
      <c r="I44" s="1288"/>
      <c r="J44" s="1288"/>
      <c r="K44" s="1288"/>
      <c r="L44" s="1289"/>
      <c r="M44" s="1290"/>
      <c r="N44" s="1290"/>
      <c r="O44" s="1290"/>
      <c r="P44" s="289"/>
      <c r="Q44" s="287"/>
      <c r="R44" s="288"/>
      <c r="S44" s="1418" t="str">
        <f>INDEX(PT_DIFFERENTIATION_NUM_CS,MATCH(C44,PT_DIFFERENTIATION_CS_ID,0))</f>
        <v>..</v>
      </c>
      <c r="T44" s="245" t="s">
        <v>529</v>
      </c>
      <c r="U44" s="236"/>
      <c r="V44" s="2172"/>
      <c r="W44" s="2173"/>
      <c r="X44" s="2173"/>
      <c r="Y44" s="2173"/>
      <c r="Z44" s="2173"/>
      <c r="AA44" s="2173"/>
      <c r="AB44" s="2173"/>
      <c r="AC44" s="2173"/>
      <c r="AD44" s="2173"/>
      <c r="AE44" s="2173"/>
      <c r="AF44" s="2174"/>
      <c r="AG44" s="2172" t="str">
        <f>INDEX(PT_DIFFERENTIATION_CS,MATCH(C44,PT_DIFFERENTIATION_CS_ID,0))</f>
        <v/>
      </c>
      <c r="AH44" s="2173"/>
      <c r="AI44" s="2173"/>
      <c r="AJ44" s="2173"/>
      <c r="AK44" s="2173"/>
      <c r="AL44" s="2173"/>
      <c r="AM44" s="2173"/>
      <c r="AN44" s="2173"/>
      <c r="AO44" s="2173"/>
      <c r="AP44" s="2173"/>
      <c r="AQ44" s="2173"/>
      <c r="AR44" s="2174"/>
      <c r="AS44" s="1183" t="s">
        <v>530</v>
      </c>
      <c r="AU44" s="435"/>
      <c r="AV44" s="435" t="str">
        <f t="shared" si="1"/>
        <v>Наименование централизованной системы горячего водоснабжения</v>
      </c>
      <c r="AW44" s="435"/>
      <c r="AX44" s="435"/>
      <c r="AY44" s="1080">
        <v>23</v>
      </c>
    </row>
    <row r="45" spans="1:51" ht="24" customHeight="1">
      <c r="A45" s="1288" t="s">
        <v>255</v>
      </c>
      <c r="B45" s="1288" t="s">
        <v>256</v>
      </c>
      <c r="C45" s="1288" t="s">
        <v>257</v>
      </c>
      <c r="D45" s="1288" t="s">
        <v>542</v>
      </c>
      <c r="E45" s="2187"/>
      <c r="F45" s="2187"/>
      <c r="G45" s="2187"/>
      <c r="H45" s="2187"/>
      <c r="I45" s="2184" t="str">
        <f>S44&amp;".1"</f>
        <v>...1</v>
      </c>
      <c r="J45" s="1288"/>
      <c r="K45" s="1288"/>
      <c r="L45" s="1289"/>
      <c r="P45" s="2185">
        <v>1</v>
      </c>
      <c r="Q45" s="1406"/>
      <c r="R45" s="291"/>
      <c r="S45" s="1418" t="str">
        <f>$I45</f>
        <v>...1</v>
      </c>
      <c r="T45" s="221" t="s">
        <v>482</v>
      </c>
      <c r="U45" s="236"/>
      <c r="V45" s="2253"/>
      <c r="W45" s="2254"/>
      <c r="X45" s="2254"/>
      <c r="Y45" s="2254"/>
      <c r="Z45" s="2254"/>
      <c r="AA45" s="2254"/>
      <c r="AB45" s="2254"/>
      <c r="AC45" s="2254"/>
      <c r="AD45" s="2254"/>
      <c r="AE45" s="2254"/>
      <c r="AF45" s="2255"/>
      <c r="AG45" s="2256"/>
      <c r="AH45" s="2257"/>
      <c r="AI45" s="2257"/>
      <c r="AJ45" s="2257"/>
      <c r="AK45" s="2257"/>
      <c r="AL45" s="2257"/>
      <c r="AM45" s="2257"/>
      <c r="AN45" s="2257"/>
      <c r="AO45" s="2257"/>
      <c r="AP45" s="2257"/>
      <c r="AQ45" s="2257"/>
      <c r="AR45" s="2258"/>
      <c r="AS45" s="1183" t="s">
        <v>483</v>
      </c>
      <c r="AU45" s="435"/>
      <c r="AV45" s="435" t="str">
        <f t="shared" si="1"/>
        <v>Наименование признака дифференциации</v>
      </c>
      <c r="AW45" s="435"/>
      <c r="AX45" s="435"/>
      <c r="AY45" s="1080">
        <v>23</v>
      </c>
    </row>
    <row r="46" spans="1:51" ht="24" customHeight="1">
      <c r="A46" s="1288" t="s">
        <v>255</v>
      </c>
      <c r="B46" s="1288" t="s">
        <v>256</v>
      </c>
      <c r="C46" s="1288" t="s">
        <v>257</v>
      </c>
      <c r="D46" s="1288" t="s">
        <v>542</v>
      </c>
      <c r="E46" s="2187"/>
      <c r="F46" s="2187"/>
      <c r="G46" s="2187"/>
      <c r="H46" s="2187"/>
      <c r="I46" s="2207"/>
      <c r="J46" s="2184" t="str">
        <f>I45&amp;".1"</f>
        <v>...1.1</v>
      </c>
      <c r="K46" s="1288"/>
      <c r="L46" s="1289" t="s">
        <v>405</v>
      </c>
      <c r="P46" s="2185"/>
      <c r="Q46" s="2185">
        <v>1</v>
      </c>
      <c r="R46" s="292"/>
      <c r="S46" s="1418" t="str">
        <f>$J46</f>
        <v>...1.1</v>
      </c>
      <c r="T46" s="222" t="s">
        <v>406</v>
      </c>
      <c r="U46" s="236"/>
      <c r="V46" s="2175"/>
      <c r="W46" s="2176"/>
      <c r="X46" s="2176"/>
      <c r="Y46" s="2176"/>
      <c r="Z46" s="2176"/>
      <c r="AA46" s="2176"/>
      <c r="AB46" s="2176"/>
      <c r="AC46" s="2176"/>
      <c r="AD46" s="2176"/>
      <c r="AE46" s="2176"/>
      <c r="AF46" s="2177"/>
      <c r="AG46" s="2175"/>
      <c r="AH46" s="2176"/>
      <c r="AI46" s="2176"/>
      <c r="AJ46" s="2176"/>
      <c r="AK46" s="2176"/>
      <c r="AL46" s="2176"/>
      <c r="AM46" s="2176"/>
      <c r="AN46" s="2176"/>
      <c r="AO46" s="2176"/>
      <c r="AP46" s="2176"/>
      <c r="AQ46" s="2176"/>
      <c r="AR46" s="2177"/>
      <c r="AS46" s="1232" t="s">
        <v>484</v>
      </c>
      <c r="AU46" s="435"/>
      <c r="AV46" s="435" t="str">
        <f t="shared" si="1"/>
        <v>Группа потребителей</v>
      </c>
      <c r="AW46" s="435"/>
      <c r="AX46" s="435"/>
      <c r="AY46" s="1080">
        <v>23</v>
      </c>
    </row>
    <row r="47" spans="1:51" ht="24" customHeight="1">
      <c r="A47" s="1288" t="s">
        <v>255</v>
      </c>
      <c r="B47" s="1288" t="s">
        <v>256</v>
      </c>
      <c r="C47" s="1288" t="s">
        <v>257</v>
      </c>
      <c r="D47" s="1288" t="s">
        <v>542</v>
      </c>
      <c r="E47" s="2187"/>
      <c r="F47" s="2187"/>
      <c r="G47" s="2187"/>
      <c r="H47" s="2187"/>
      <c r="I47" s="2207"/>
      <c r="J47" s="2207"/>
      <c r="K47" s="2184" t="str">
        <f>J46&amp;".1"</f>
        <v>...1.1.1</v>
      </c>
      <c r="L47" s="1289"/>
      <c r="P47" s="2185"/>
      <c r="Q47" s="2185"/>
      <c r="R47" s="292">
        <v>1</v>
      </c>
      <c r="S47" s="1418" t="str">
        <f>$K47</f>
        <v>...1.1.1</v>
      </c>
      <c r="T47" s="1362"/>
      <c r="U47" s="236"/>
      <c r="V47" s="1285"/>
      <c r="W47" s="1285"/>
      <c r="X47" s="1285"/>
      <c r="Y47" s="1285"/>
      <c r="Z47" s="1285"/>
      <c r="AA47" s="1285"/>
      <c r="AB47" s="1286"/>
      <c r="AC47" s="2191"/>
      <c r="AD47" s="2192" t="s">
        <v>66</v>
      </c>
      <c r="AE47" s="2191"/>
      <c r="AF47" s="2192" t="s">
        <v>66</v>
      </c>
      <c r="AG47" s="686"/>
      <c r="AH47" s="686"/>
      <c r="AI47" s="686"/>
      <c r="AJ47" s="686"/>
      <c r="AK47" s="686"/>
      <c r="AL47" s="686"/>
      <c r="AM47" s="1182"/>
      <c r="AN47" s="2189"/>
      <c r="AO47" s="2047" t="s">
        <v>66</v>
      </c>
      <c r="AP47" s="2208"/>
      <c r="AQ47" s="2047" t="s">
        <v>19</v>
      </c>
      <c r="AR47" s="1363"/>
      <c r="AS47" s="2252"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T47" s="446" t="e">
        <f ca="1">STRCHECKDATE(V48:AR48)</f>
        <v>#NAME?</v>
      </c>
      <c r="AU47" s="435"/>
      <c r="AV47" s="435" t="str">
        <f t="shared" si="1"/>
        <v/>
      </c>
      <c r="AW47" s="435"/>
      <c r="AX47" s="435"/>
      <c r="AY47" s="1080">
        <v>23</v>
      </c>
    </row>
    <row r="48" spans="1:51" ht="0" hidden="1" customHeight="1">
      <c r="A48" s="1288" t="s">
        <v>255</v>
      </c>
      <c r="B48" s="1288" t="s">
        <v>256</v>
      </c>
      <c r="C48" s="1288" t="s">
        <v>257</v>
      </c>
      <c r="D48" s="1288" t="s">
        <v>542</v>
      </c>
      <c r="E48" s="2187"/>
      <c r="F48" s="2187"/>
      <c r="G48" s="2187"/>
      <c r="H48" s="2187"/>
      <c r="I48" s="2207"/>
      <c r="J48" s="2207"/>
      <c r="K48" s="2184"/>
      <c r="L48" s="1289"/>
      <c r="P48" s="2185"/>
      <c r="Q48" s="2185"/>
      <c r="R48" s="292"/>
      <c r="S48" s="1415"/>
      <c r="T48" s="236"/>
      <c r="U48" s="236"/>
      <c r="V48" s="1285"/>
      <c r="W48" s="1285"/>
      <c r="X48" s="1285"/>
      <c r="Y48" s="1285"/>
      <c r="Z48" s="1285"/>
      <c r="AA48" s="1285"/>
      <c r="AB48" s="264" t="str">
        <f>AC47&amp;"-"&amp;AE47</f>
        <v>-</v>
      </c>
      <c r="AC48" s="2192"/>
      <c r="AD48" s="2192"/>
      <c r="AE48" s="2192"/>
      <c r="AF48" s="2192"/>
      <c r="AG48" s="261"/>
      <c r="AH48" s="261"/>
      <c r="AI48" s="261"/>
      <c r="AJ48" s="261"/>
      <c r="AK48" s="261"/>
      <c r="AL48" s="261"/>
      <c r="AM48" s="264" t="str">
        <f>AN47&amp;"-"&amp;AP47</f>
        <v>-</v>
      </c>
      <c r="AN48" s="2190"/>
      <c r="AO48" s="2047"/>
      <c r="AP48" s="2209"/>
      <c r="AQ48" s="2047"/>
      <c r="AR48" s="1364"/>
      <c r="AS48" s="2252"/>
      <c r="AU48" s="435"/>
      <c r="AV48" s="435" t="str">
        <f t="shared" si="1"/>
        <v/>
      </c>
      <c r="AW48" s="435"/>
      <c r="AX48" s="435"/>
      <c r="AY48" s="1080">
        <v>0</v>
      </c>
    </row>
    <row r="49" spans="1:51" ht="21" customHeight="1">
      <c r="A49" s="1288" t="s">
        <v>255</v>
      </c>
      <c r="B49" s="1288" t="s">
        <v>256</v>
      </c>
      <c r="C49" s="1288" t="s">
        <v>257</v>
      </c>
      <c r="D49" s="1288" t="s">
        <v>542</v>
      </c>
      <c r="E49" s="2187"/>
      <c r="F49" s="2187"/>
      <c r="G49" s="2187"/>
      <c r="H49" s="2187"/>
      <c r="I49" s="2207"/>
      <c r="J49" s="2184"/>
      <c r="K49" s="1288"/>
      <c r="L49" s="1289"/>
      <c r="P49" s="2185"/>
      <c r="Q49" s="2185"/>
      <c r="R49" s="291"/>
      <c r="S49" s="1203"/>
      <c r="T49" s="223" t="s">
        <v>485</v>
      </c>
      <c r="U49" s="302"/>
      <c r="V49" s="302"/>
      <c r="W49" s="535"/>
      <c r="X49" s="535"/>
      <c r="Y49" s="535"/>
      <c r="Z49" s="535"/>
      <c r="AA49" s="535"/>
      <c r="AB49" s="302"/>
      <c r="AC49" s="302"/>
      <c r="AD49" s="302"/>
      <c r="AE49" s="302"/>
      <c r="AF49" s="302"/>
      <c r="AG49" s="302"/>
      <c r="AH49" s="535"/>
      <c r="AI49" s="535"/>
      <c r="AJ49" s="535"/>
      <c r="AK49" s="535"/>
      <c r="AL49" s="535"/>
      <c r="AM49" s="302"/>
      <c r="AN49" s="302"/>
      <c r="AO49" s="302"/>
      <c r="AP49" s="302"/>
      <c r="AQ49" s="302"/>
      <c r="AR49" s="302"/>
      <c r="AS49" s="1183" t="s">
        <v>486</v>
      </c>
      <c r="AU49" s="435"/>
      <c r="AV49" s="435" t="str">
        <f t="shared" si="1"/>
        <v>Добавить значение признака дифференциации</v>
      </c>
      <c r="AW49" s="435"/>
      <c r="AX49" s="435"/>
      <c r="AY49" s="1080">
        <v>20</v>
      </c>
    </row>
    <row r="50" spans="1:51" ht="21.95" customHeight="1">
      <c r="A50" s="1288" t="s">
        <v>255</v>
      </c>
      <c r="B50" s="1288" t="s">
        <v>256</v>
      </c>
      <c r="C50" s="1288" t="s">
        <v>257</v>
      </c>
      <c r="D50" s="1288" t="s">
        <v>542</v>
      </c>
      <c r="E50" s="2187"/>
      <c r="F50" s="2187"/>
      <c r="G50" s="2187"/>
      <c r="H50" s="2187"/>
      <c r="I50" s="2184"/>
      <c r="J50" s="1288"/>
      <c r="K50" s="1288"/>
      <c r="L50" s="1289"/>
      <c r="P50" s="2185"/>
      <c r="Q50" s="1406"/>
      <c r="R50" s="291"/>
      <c r="S50" s="1203"/>
      <c r="T50" s="300" t="s">
        <v>411</v>
      </c>
      <c r="U50" s="302"/>
      <c r="V50" s="302"/>
      <c r="W50" s="535"/>
      <c r="X50" s="535"/>
      <c r="Y50" s="535"/>
      <c r="Z50" s="535"/>
      <c r="AA50" s="535"/>
      <c r="AB50" s="302"/>
      <c r="AC50" s="302"/>
      <c r="AD50" s="302"/>
      <c r="AE50" s="302"/>
      <c r="AF50" s="301"/>
      <c r="AG50" s="302"/>
      <c r="AH50" s="535"/>
      <c r="AI50" s="535"/>
      <c r="AJ50" s="535"/>
      <c r="AK50" s="535"/>
      <c r="AL50" s="535"/>
      <c r="AM50" s="302"/>
      <c r="AN50" s="302"/>
      <c r="AO50" s="302"/>
      <c r="AP50" s="302"/>
      <c r="AQ50" s="301"/>
      <c r="AR50" s="302"/>
      <c r="AS50" s="1365"/>
      <c r="AU50" s="435"/>
      <c r="AV50" s="435" t="str">
        <f t="shared" si="1"/>
        <v>Добавить группу потребителей</v>
      </c>
      <c r="AW50" s="435"/>
      <c r="AX50" s="435"/>
      <c r="AY50" s="1080">
        <v>21</v>
      </c>
    </row>
    <row r="51" spans="1:51" ht="21.95" customHeight="1">
      <c r="A51" s="1288" t="s">
        <v>255</v>
      </c>
      <c r="B51" s="1288" t="s">
        <v>256</v>
      </c>
      <c r="C51" s="1288" t="s">
        <v>257</v>
      </c>
      <c r="D51" s="1288" t="s">
        <v>542</v>
      </c>
      <c r="E51" s="2187"/>
      <c r="F51" s="2187"/>
      <c r="G51" s="2187"/>
      <c r="H51" s="2186"/>
      <c r="I51" s="1288"/>
      <c r="J51" s="1288"/>
      <c r="K51" s="1288"/>
      <c r="L51" s="1289"/>
      <c r="M51" s="1290"/>
      <c r="N51" s="1290"/>
      <c r="O51" s="472"/>
      <c r="P51" s="295"/>
      <c r="Q51" s="310"/>
      <c r="R51" s="290"/>
      <c r="S51" s="1203"/>
      <c r="T51" s="307" t="s">
        <v>487</v>
      </c>
      <c r="U51" s="302"/>
      <c r="V51" s="302"/>
      <c r="W51" s="535"/>
      <c r="X51" s="535"/>
      <c r="Y51" s="535"/>
      <c r="Z51" s="535"/>
      <c r="AA51" s="535"/>
      <c r="AB51" s="302"/>
      <c r="AC51" s="302"/>
      <c r="AD51" s="302"/>
      <c r="AE51" s="302"/>
      <c r="AF51" s="301"/>
      <c r="AG51" s="302"/>
      <c r="AH51" s="535"/>
      <c r="AI51" s="535"/>
      <c r="AJ51" s="535"/>
      <c r="AK51" s="535"/>
      <c r="AL51" s="535"/>
      <c r="AM51" s="302"/>
      <c r="AN51" s="302"/>
      <c r="AO51" s="302"/>
      <c r="AP51" s="302"/>
      <c r="AQ51" s="301"/>
      <c r="AR51" s="302"/>
      <c r="AS51" s="239"/>
      <c r="AU51" s="435"/>
      <c r="AV51" s="435" t="str">
        <f t="shared" si="1"/>
        <v>Добавить наименование признака дифференциации</v>
      </c>
      <c r="AW51" s="435"/>
      <c r="AX51" s="435"/>
      <c r="AY51" s="1080">
        <v>21</v>
      </c>
    </row>
    <row r="52" spans="1:51" s="1567" customFormat="1" ht="0" hidden="1" customHeight="1">
      <c r="A52" s="1268" t="s">
        <v>255</v>
      </c>
      <c r="B52" s="1268" t="s">
        <v>256</v>
      </c>
      <c r="C52" s="1239"/>
      <c r="D52" s="1239"/>
      <c r="E52" s="2187"/>
      <c r="F52" s="2186"/>
      <c r="G52" s="1239"/>
      <c r="H52" s="1239"/>
      <c r="I52" s="1239"/>
      <c r="J52" s="1239"/>
      <c r="K52" s="1239"/>
      <c r="L52" s="1419"/>
      <c r="M52" s="1246"/>
      <c r="N52" s="1246"/>
      <c r="P52" s="1241"/>
      <c r="Q52" s="1242"/>
      <c r="R52" s="1241"/>
      <c r="S52" s="1247"/>
      <c r="T52" s="1250" t="s">
        <v>414</v>
      </c>
      <c r="U52" s="1249"/>
      <c r="V52" s="1249"/>
      <c r="W52" s="1249"/>
      <c r="X52" s="1249"/>
      <c r="Y52" s="1249"/>
      <c r="Z52" s="1249"/>
      <c r="AA52" s="1249"/>
      <c r="AB52" s="1249"/>
      <c r="AC52" s="1249"/>
      <c r="AD52" s="1249"/>
      <c r="AE52" s="1249"/>
      <c r="AF52" s="1249"/>
      <c r="AG52" s="1249"/>
      <c r="AH52" s="1249"/>
      <c r="AI52" s="1249"/>
      <c r="AJ52" s="1249"/>
      <c r="AK52" s="1249"/>
      <c r="AL52" s="1249"/>
      <c r="AM52" s="1249"/>
      <c r="AN52" s="1249"/>
      <c r="AO52" s="1249"/>
      <c r="AP52" s="1249"/>
      <c r="AQ52" s="1249"/>
      <c r="AR52" s="1249"/>
      <c r="AS52" s="1249"/>
      <c r="AU52" s="718"/>
      <c r="AV52" s="718" t="str">
        <f t="shared" si="1"/>
        <v>Добавить централизованную систему для дифференциации</v>
      </c>
      <c r="AW52" s="718"/>
      <c r="AX52" s="718"/>
      <c r="AY52" s="453">
        <v>0</v>
      </c>
    </row>
    <row r="53" spans="1:51" s="1567" customFormat="1" ht="0" hidden="1" customHeight="1">
      <c r="A53" s="1268" t="s">
        <v>255</v>
      </c>
      <c r="B53" s="1268"/>
      <c r="C53" s="1268"/>
      <c r="D53" s="1268"/>
      <c r="E53" s="2186"/>
      <c r="F53" s="1268"/>
      <c r="G53" s="1268"/>
      <c r="H53" s="1268"/>
      <c r="I53" s="1268"/>
      <c r="J53" s="1268"/>
      <c r="K53" s="1268"/>
      <c r="L53" s="1271"/>
      <c r="M53" s="1246"/>
      <c r="N53" s="1246"/>
      <c r="O53" s="453"/>
      <c r="P53" s="315"/>
      <c r="Q53" s="1269"/>
      <c r="R53" s="315"/>
      <c r="S53" s="1247"/>
      <c r="T53" s="1250" t="s">
        <v>415</v>
      </c>
      <c r="U53" s="1249"/>
      <c r="V53" s="1249"/>
      <c r="W53" s="1249"/>
      <c r="X53" s="1249"/>
      <c r="Y53" s="1249"/>
      <c r="Z53" s="1249"/>
      <c r="AA53" s="1249"/>
      <c r="AB53" s="1249"/>
      <c r="AC53" s="1249"/>
      <c r="AD53" s="1249"/>
      <c r="AE53" s="1249"/>
      <c r="AF53" s="1249"/>
      <c r="AG53" s="1249"/>
      <c r="AH53" s="1249"/>
      <c r="AI53" s="1249"/>
      <c r="AJ53" s="1249"/>
      <c r="AK53" s="1249"/>
      <c r="AL53" s="1249"/>
      <c r="AM53" s="1249"/>
      <c r="AN53" s="1249"/>
      <c r="AO53" s="1249"/>
      <c r="AP53" s="1249"/>
      <c r="AQ53" s="1249"/>
      <c r="AR53" s="1249"/>
      <c r="AS53" s="1249"/>
      <c r="AU53" s="435"/>
      <c r="AV53" s="435" t="str">
        <f t="shared" si="1"/>
        <v>Добавить территорию для дифференциации</v>
      </c>
      <c r="AW53" s="435"/>
      <c r="AX53" s="435"/>
      <c r="AY53" s="446">
        <v>0</v>
      </c>
    </row>
    <row r="54" spans="1:51" s="1567" customFormat="1" ht="0" hidden="1" customHeight="1">
      <c r="A54" s="1239"/>
      <c r="B54" s="1239"/>
      <c r="C54" s="1239"/>
      <c r="D54" s="1239"/>
      <c r="E54" s="1268"/>
      <c r="F54" s="1239"/>
      <c r="G54" s="1239"/>
      <c r="H54" s="1239"/>
      <c r="I54" s="1239"/>
      <c r="J54" s="1239"/>
      <c r="K54" s="1239"/>
      <c r="L54" s="1419"/>
      <c r="M54" s="1246"/>
      <c r="N54" s="1246"/>
      <c r="P54" s="1241"/>
      <c r="Q54" s="1242"/>
      <c r="R54" s="1241"/>
      <c r="S54" s="1247"/>
      <c r="T54" s="1250" t="s">
        <v>447</v>
      </c>
      <c r="U54" s="1249"/>
      <c r="V54" s="1249"/>
      <c r="W54" s="1249"/>
      <c r="X54" s="1249"/>
      <c r="Y54" s="1249"/>
      <c r="Z54" s="1249"/>
      <c r="AA54" s="1249"/>
      <c r="AB54" s="1249"/>
      <c r="AC54" s="1249"/>
      <c r="AD54" s="1249"/>
      <c r="AE54" s="1249"/>
      <c r="AF54" s="1249"/>
      <c r="AG54" s="1249"/>
      <c r="AH54" s="1249"/>
      <c r="AI54" s="1249"/>
      <c r="AJ54" s="1249"/>
      <c r="AK54" s="1249"/>
      <c r="AL54" s="1249"/>
      <c r="AM54" s="1249"/>
      <c r="AN54" s="1249"/>
      <c r="AO54" s="1249"/>
      <c r="AP54" s="1249"/>
      <c r="AQ54" s="1249"/>
      <c r="AR54" s="1249"/>
      <c r="AS54" s="1249"/>
      <c r="AU54" s="718"/>
      <c r="AV54" s="718" t="str">
        <f t="shared" si="1"/>
        <v>Добавить наименование тарифа</v>
      </c>
      <c r="AW54" s="718"/>
      <c r="AX54" s="718"/>
      <c r="AY54" s="453">
        <v>0</v>
      </c>
    </row>
    <row r="55" spans="1:51" ht="11.45" customHeight="1">
      <c r="M55" s="1085"/>
      <c r="N55" s="1085"/>
      <c r="O55" s="472"/>
      <c r="P55" s="1080"/>
      <c r="Q55" s="1080"/>
      <c r="R55" s="1080"/>
      <c r="S55" s="1080"/>
      <c r="AT55" s="1080"/>
      <c r="AU55" s="1080"/>
      <c r="AV55" s="1080"/>
      <c r="AW55" s="1080"/>
      <c r="AX55" s="1080"/>
      <c r="AY55" s="1080">
        <v>11</v>
      </c>
    </row>
    <row r="56" spans="1:51" ht="14.65" customHeight="1">
      <c r="O56" s="472"/>
      <c r="S56" s="1178"/>
      <c r="T56" s="2206"/>
      <c r="U56" s="2206"/>
      <c r="V56" s="2206"/>
      <c r="W56" s="2206"/>
      <c r="X56" s="2206"/>
      <c r="Y56" s="2206"/>
      <c r="Z56" s="2206"/>
      <c r="AA56" s="2206"/>
      <c r="AB56" s="2206"/>
      <c r="AC56" s="2206"/>
      <c r="AD56" s="2206"/>
      <c r="AE56" s="2206"/>
      <c r="AF56" s="2206"/>
      <c r="AG56" s="2206"/>
      <c r="AH56" s="2206"/>
      <c r="AI56" s="2206"/>
      <c r="AJ56" s="2206"/>
      <c r="AK56" s="2206"/>
      <c r="AL56" s="2206"/>
      <c r="AM56" s="2206"/>
      <c r="AN56" s="2206"/>
      <c r="AO56" s="2206"/>
      <c r="AP56" s="2206"/>
      <c r="AQ56" s="2206"/>
      <c r="AR56" s="2206"/>
      <c r="AS56" s="2206"/>
      <c r="AY56" s="1080">
        <v>14</v>
      </c>
    </row>
    <row r="57" spans="1:51" ht="14.65" customHeight="1">
      <c r="O57" s="472"/>
      <c r="AY57" s="1080">
        <v>14</v>
      </c>
    </row>
    <row r="58" spans="1:51" ht="14.65" customHeight="1">
      <c r="O58" s="472"/>
      <c r="S58" s="1178"/>
      <c r="T58" s="2206"/>
      <c r="U58" s="2206"/>
      <c r="V58" s="2206"/>
      <c r="W58" s="2206"/>
      <c r="X58" s="2206"/>
      <c r="Y58" s="2206"/>
      <c r="Z58" s="2206"/>
      <c r="AA58" s="2206"/>
      <c r="AB58" s="2206"/>
      <c r="AC58" s="2206"/>
      <c r="AD58" s="2206"/>
      <c r="AE58" s="2206"/>
      <c r="AF58" s="2206"/>
      <c r="AG58" s="2206"/>
      <c r="AH58" s="2206"/>
      <c r="AI58" s="2206"/>
      <c r="AJ58" s="2206"/>
      <c r="AK58" s="2206"/>
      <c r="AL58" s="2206"/>
      <c r="AM58" s="2206"/>
      <c r="AN58" s="2206"/>
      <c r="AO58" s="2206"/>
      <c r="AP58" s="2206"/>
      <c r="AQ58" s="2206"/>
      <c r="AR58" s="2206"/>
      <c r="AS58" s="2206"/>
      <c r="AY58" s="1080">
        <v>14</v>
      </c>
    </row>
    <row r="59" spans="1:51" ht="22.5" hidden="1" customHeight="1">
      <c r="A59" s="1085" t="s">
        <v>82</v>
      </c>
      <c r="B59" s="1085">
        <v>0</v>
      </c>
      <c r="C59" s="1085">
        <v>0</v>
      </c>
      <c r="D59" s="1085">
        <v>0</v>
      </c>
      <c r="E59" s="1085">
        <v>0</v>
      </c>
      <c r="F59" s="1085">
        <v>0</v>
      </c>
      <c r="G59" s="1085">
        <v>0</v>
      </c>
      <c r="H59" s="1085">
        <v>0</v>
      </c>
      <c r="I59" s="1085">
        <v>0</v>
      </c>
      <c r="J59" s="1085">
        <v>0</v>
      </c>
      <c r="K59" s="1085">
        <v>0</v>
      </c>
      <c r="L59" s="1403">
        <v>0</v>
      </c>
      <c r="M59" s="1287">
        <v>0</v>
      </c>
      <c r="N59" s="1287">
        <v>0</v>
      </c>
      <c r="O59" s="1287">
        <v>0</v>
      </c>
      <c r="P59" s="1398">
        <v>3</v>
      </c>
      <c r="Q59" s="280">
        <v>3</v>
      </c>
      <c r="R59" s="280">
        <v>3</v>
      </c>
      <c r="S59" s="516">
        <v>12</v>
      </c>
      <c r="T59" s="1080">
        <v>35</v>
      </c>
      <c r="U59" s="1080">
        <v>0</v>
      </c>
      <c r="V59" s="1080">
        <v>0</v>
      </c>
      <c r="W59" s="1556">
        <v>0</v>
      </c>
      <c r="X59" s="1556">
        <v>0</v>
      </c>
      <c r="Y59" s="1556">
        <v>0</v>
      </c>
      <c r="Z59" s="1556">
        <v>0</v>
      </c>
      <c r="AA59" s="1556">
        <v>0</v>
      </c>
      <c r="AB59" s="1080">
        <v>0</v>
      </c>
      <c r="AC59" s="1080">
        <v>0</v>
      </c>
      <c r="AD59" s="1080">
        <v>0</v>
      </c>
      <c r="AE59" s="1080">
        <v>0</v>
      </c>
      <c r="AF59" s="1080">
        <v>0</v>
      </c>
      <c r="AG59" s="1080">
        <v>19</v>
      </c>
      <c r="AH59" s="1556">
        <v>19</v>
      </c>
      <c r="AI59" s="1556">
        <v>19</v>
      </c>
      <c r="AJ59" s="1556">
        <v>19</v>
      </c>
      <c r="AK59" s="1556">
        <v>19</v>
      </c>
      <c r="AL59" s="1556">
        <v>19</v>
      </c>
      <c r="AM59" s="1080">
        <v>19</v>
      </c>
      <c r="AN59" s="1080">
        <v>11</v>
      </c>
      <c r="AO59" s="1080">
        <v>3</v>
      </c>
      <c r="AP59" s="1080">
        <v>11</v>
      </c>
      <c r="AQ59" s="1080">
        <v>0</v>
      </c>
      <c r="AR59" s="1080">
        <v>4</v>
      </c>
      <c r="AS59" s="1080">
        <v>115</v>
      </c>
      <c r="AT59" s="446">
        <v>10</v>
      </c>
      <c r="AU59" s="446">
        <v>10</v>
      </c>
      <c r="AV59" s="446">
        <v>10</v>
      </c>
      <c r="AW59" s="446">
        <v>10</v>
      </c>
      <c r="AX59" s="446">
        <v>10</v>
      </c>
      <c r="AY59" s="1080">
        <v>23</v>
      </c>
    </row>
  </sheetData>
  <sheetProtection formatColumns="0" formatRows="0" insertRows="0" deleteColumns="0" deleteRows="0" sort="0" autoFilter="0"/>
  <mergeCells count="113">
    <mergeCell ref="AS47:AS48"/>
    <mergeCell ref="T56:AS56"/>
    <mergeCell ref="T58:AS58"/>
    <mergeCell ref="V46:AF46"/>
    <mergeCell ref="AG46:AR46"/>
    <mergeCell ref="AO47:AO48"/>
    <mergeCell ref="AP47:AP48"/>
    <mergeCell ref="AQ47:AQ48"/>
    <mergeCell ref="AS36:AS40"/>
    <mergeCell ref="AR37:AR40"/>
    <mergeCell ref="AL39:AM39"/>
    <mergeCell ref="V38:V40"/>
    <mergeCell ref="W38:Y38"/>
    <mergeCell ref="Z38:AB38"/>
    <mergeCell ref="W39:W40"/>
    <mergeCell ref="X39:Y39"/>
    <mergeCell ref="Z39:Z40"/>
    <mergeCell ref="AG38:AG40"/>
    <mergeCell ref="AK39:AK40"/>
    <mergeCell ref="K47:K48"/>
    <mergeCell ref="AC47:AC48"/>
    <mergeCell ref="AD47:AD48"/>
    <mergeCell ref="AE47:AE48"/>
    <mergeCell ref="AF47:AF48"/>
    <mergeCell ref="AN47:AN48"/>
    <mergeCell ref="AD41:AE41"/>
    <mergeCell ref="AO41:AP41"/>
    <mergeCell ref="E42:E53"/>
    <mergeCell ref="V42:AF42"/>
    <mergeCell ref="AG42:AR42"/>
    <mergeCell ref="F43:F52"/>
    <mergeCell ref="V43:AF43"/>
    <mergeCell ref="AG43:AR43"/>
    <mergeCell ref="G44:G51"/>
    <mergeCell ref="V44:AF44"/>
    <mergeCell ref="AG44:AR44"/>
    <mergeCell ref="H45:H51"/>
    <mergeCell ref="I45:I50"/>
    <mergeCell ref="P45:P50"/>
    <mergeCell ref="V45:AF45"/>
    <mergeCell ref="AG45:AR45"/>
    <mergeCell ref="J46:J49"/>
    <mergeCell ref="Q46:Q49"/>
    <mergeCell ref="S37:S40"/>
    <mergeCell ref="T37:T40"/>
    <mergeCell ref="V37:AE37"/>
    <mergeCell ref="AF37:AF40"/>
    <mergeCell ref="AG37:AP37"/>
    <mergeCell ref="AQ37:AQ40"/>
    <mergeCell ref="S32:T32"/>
    <mergeCell ref="V32:AE32"/>
    <mergeCell ref="AG32:AP32"/>
    <mergeCell ref="S33:T33"/>
    <mergeCell ref="V33:AE33"/>
    <mergeCell ref="AG33:AP33"/>
    <mergeCell ref="AD40:AE40"/>
    <mergeCell ref="AO40:AP40"/>
    <mergeCell ref="V35:AF35"/>
    <mergeCell ref="AG35:AQ35"/>
    <mergeCell ref="S36:AR36"/>
    <mergeCell ref="AA39:AB39"/>
    <mergeCell ref="AN38:AP39"/>
    <mergeCell ref="AC38:AE39"/>
    <mergeCell ref="AH38:AJ38"/>
    <mergeCell ref="AK38:AM38"/>
    <mergeCell ref="AH39:AH40"/>
    <mergeCell ref="AI39:AJ39"/>
    <mergeCell ref="S29:T29"/>
    <mergeCell ref="V29:AE29"/>
    <mergeCell ref="AG29:AP29"/>
    <mergeCell ref="S30:T30"/>
    <mergeCell ref="V30:AE30"/>
    <mergeCell ref="AG30:AP30"/>
    <mergeCell ref="S24:AP24"/>
    <mergeCell ref="S25:AP25"/>
    <mergeCell ref="S27:T27"/>
    <mergeCell ref="V27:AE27"/>
    <mergeCell ref="AG27:AP27"/>
    <mergeCell ref="S28:T28"/>
    <mergeCell ref="V28:AE28"/>
    <mergeCell ref="AG28:AP28"/>
    <mergeCell ref="AS7:AS8"/>
    <mergeCell ref="AN15:AN16"/>
    <mergeCell ref="AO15:AO16"/>
    <mergeCell ref="AP15:AP16"/>
    <mergeCell ref="AQ15:AQ16"/>
    <mergeCell ref="AD7:AD8"/>
    <mergeCell ref="AE7:AE8"/>
    <mergeCell ref="AF7:AF8"/>
    <mergeCell ref="AN7:AN8"/>
    <mergeCell ref="AO7:AO8"/>
    <mergeCell ref="AP7:AP8"/>
    <mergeCell ref="E2:E13"/>
    <mergeCell ref="V2:AF2"/>
    <mergeCell ref="AG2:AR2"/>
    <mergeCell ref="F3:F12"/>
    <mergeCell ref="V3:AF3"/>
    <mergeCell ref="AG3:AR3"/>
    <mergeCell ref="G4:G11"/>
    <mergeCell ref="V4:AF4"/>
    <mergeCell ref="AG4:AR4"/>
    <mergeCell ref="H5:H11"/>
    <mergeCell ref="I5:I10"/>
    <mergeCell ref="P5:P10"/>
    <mergeCell ref="V5:AF5"/>
    <mergeCell ref="AG5:AR5"/>
    <mergeCell ref="J6:J9"/>
    <mergeCell ref="Q6:Q9"/>
    <mergeCell ref="V6:AF6"/>
    <mergeCell ref="AG6:AR6"/>
    <mergeCell ref="K7:K8"/>
    <mergeCell ref="AC7:AC8"/>
    <mergeCell ref="AQ7:AQ8"/>
  </mergeCells>
  <dataValidations count="8">
    <dataValidation allowBlank="1" promptTitle="checkPeriodRange" sqref="AB65580 AB131116 AB196652 AB262188 AB327724 AB393260 AB458796 AB524332 AB589868 AB655404 AB720940 AB786476 AB852012 AB917548 AB983084 AM16 AM65580 AM131116 AM196652 AM262188 AM327724 AM393260 AM458796 AM524332 AM589868 AM655404 AM720940 AM786476 AM852012 AM917548 AM983084 AM48 AM8 AB8 AB48"/>
    <dataValidation type="list" allowBlank="1" showInputMessage="1" showErrorMessage="1" errorTitle="Ошибка" error="Выберите значение из списка" sqref="V983081:AA983081 V65577:AA65577 V131113:AA131113 V196649:AA196649 V262185:AA262185 V327721:AA327721 V393257:AA393257 V458793:AA458793 V524329:AA524329 V589865:AA589865 V655401:AA655401 V720937:AA720937 V786473:AA786473 V852009:AA852009 V917545:AA917545 AG983081:AL983081 AG65577:AL65577 AG131113:AL131113 AG196649:AL196649 AG262185:AL262185 AG327721:AL327721 AG393257:AL393257 AG458793:AL458793 AG524329:AL524329 AG589865:AL589865 AG655401:AL655401 AG720937:AL720937 AG786473:AL786473 AG852009:AL852009 AG917545:AL917545">
      <formula1>kind_of_scheme_in</formula1>
    </dataValidation>
    <dataValidation type="textLength" operator="lessThanOrEqual" allowBlank="1" showInputMessage="1" showErrorMessage="1" errorTitle="Ошибка" error="Допускается ввод не более 900 символов!" sqref="AS65573:AS65580 AS131109:AS131116 AS196645:AS196652 AS262181:AS262188 AS327717:AS327724 AS393253:AS393260 AS458789:AS458796 AS524325:AS524332 AS589861:AS589868 AS655397:AS655404 AS720933:AS720940 AS786469:AS786476 AS852005:AS852012 AS917541:AS917548 AS983077:AS983084 T47 T7 AG45:AR45 AG5:AR5">
      <formula1>900</formula1>
    </dataValidation>
    <dataValidation type="list" allowBlank="1" showInputMessage="1" showErrorMessage="1" errorTitle="Ошибка" error="Выберите значение из списка" sqref="T65579 T131115 T196651 T262187 T327723 T393259 T458795 T524331 T589867 T655403 T720939 T786475 T852011 T917547 T983083">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AC65579 AC131115 AC196651 AC262187 AC327723 AC393259 AC458795 AC524331 AC589867 AC655403 AC720939 AC786475 AC852011 AC917547 AC983083 AE65579 AE131115 AE196651 AE262187 AE327723 AE393259 AE458795 AE524331 AE589867 AE655403 AE720939 AE786475 AE852011 AE917547 AE983083 AN15 AN65579 AN131115 AN196651 AN262187 AN327723 AN393259 AN458795 AN524331 AN589867 AN655403 AN720939 AN786475 AN852011 AN917547 AN983083 AP65579 AP131115 AP196651 AP262187 AP327723 AP393259 AP458795 AP524331 AP589867 AP655403 AP720939 AP786475 AP852011 AP917547 AP983083 AP47 AN47 AP15 AP7 AN7 AC7 AE7 AC47 AE47"/>
    <dataValidation allowBlank="1" showInputMessage="1" showErrorMessage="1" prompt="Для выбора выполните двойной щелчок левой клавиши мыши по соответствующей ячейке." sqref="AD65579 AD131115 AD196651 AD262187 AD327723 AD393259 AD458795 AD524331 AD589867 AD655403 AD720939 AD786475 AD852011 AD917547 AD983083 AF131115 AF458795 AF196651 AF262187 AF327723 AF393259 AF524331 AF589867 AF655403 AF720939 AF786475 AF852011 AF917547 AF983083 AF65579 AO65579 AO131115 AO196651 AO262187 AO327723 AO393259 AO458795 AO524331 AO589867 AO655403 AO720939 AO786475 AO852011 AO917547 AO983083 AQ524331 AQ196651 AQ589867 AQ655403 AQ15 AQ720939 AQ786475 AQ852011 AQ917547 AQ983083 AQ65579 AQ131115 AQ458795 AQ262187 AQ7 AO47 AQ327723 AO15 AO7 AD7 AF7 AQ393259 AQ47 AD47 AF47"/>
    <dataValidation allowBlank="1" sqref="S131117:AS131123 S196653:AS196659 S262189:AS262195 S327725:AS327731 S393261:AS393267 S458797:AS458803 S524333:AS524339 S589869:AS589875 S655405:AS655411 S720941:AS720947 S786477:AS786483 S852013:AS852019 S917549:AS917555 S983085:AS983091 S65581:AS65587"/>
    <dataValidation type="list" allowBlank="1" showInputMessage="1" errorTitle="Ошибка" error="Выберите значение из списка" prompt="Выберите значение из списка" sqref="V983082:AR983082 V65578:AR65578 V131114:AR131114 V196650:AR196650 V262186:AR262186 V327722:AR327722 V393258:AR393258 V458794:AR458794 V524330:AR524330 V589866:AR589866 V655402:AR655402 V720938:AR720938 V786474:AR786474 V852010:AR852010 V917546:AR917546">
      <formula1>kind_of_cons</formula1>
    </dataValidation>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6" tint="0.39997558519241921"/>
  </sheetPr>
  <dimension ref="A1:BI69"/>
  <sheetViews>
    <sheetView showGridLines="0" zoomScale="90" workbookViewId="0">
      <pane xSplit="29" ySplit="45" topLeftCell="AD46" activePane="bottomRight" state="frozen"/>
      <selection pane="topRight" activeCell="AD1" sqref="AD1"/>
      <selection pane="bottomLeft" activeCell="A46" sqref="A46"/>
      <selection pane="bottomRight"/>
    </sheetView>
  </sheetViews>
  <sheetFormatPr defaultColWidth="10.5703125" defaultRowHeight="14.25" customHeight="1"/>
  <cols>
    <col min="1" max="1" width="11.5703125" style="1291" hidden="1" customWidth="1"/>
    <col min="2" max="2" width="11" style="1291" hidden="1" customWidth="1"/>
    <col min="3" max="3" width="10.5703125" style="1291" hidden="1"/>
    <col min="4" max="4" width="12.85546875" style="1291" hidden="1" customWidth="1"/>
    <col min="5" max="5" width="10" style="1291" hidden="1" customWidth="1"/>
    <col min="6" max="6" width="8.7109375" style="1291" hidden="1" customWidth="1"/>
    <col min="7" max="7" width="7.5703125" style="1291" hidden="1" customWidth="1"/>
    <col min="8" max="8" width="11.42578125" style="1291" hidden="1" customWidth="1"/>
    <col min="9" max="9" width="12" style="1291" hidden="1" customWidth="1"/>
    <col min="10" max="10" width="9.85546875" style="1291" hidden="1" customWidth="1"/>
    <col min="11" max="11" width="11.42578125" style="1291" hidden="1" customWidth="1"/>
    <col min="12" max="12" width="19.140625" style="2002" hidden="1" customWidth="1"/>
    <col min="13" max="14" width="12.28515625" style="1701" hidden="1" customWidth="1"/>
    <col min="15" max="15" width="23.42578125" style="1701" hidden="1" customWidth="1"/>
    <col min="16" max="16" width="3.7109375" style="1701" hidden="1" customWidth="1"/>
    <col min="17" max="17" width="3.7109375" style="1296" hidden="1" customWidth="1"/>
    <col min="18" max="18" width="3" style="280" customWidth="1"/>
    <col min="19" max="19" width="12" style="2001" customWidth="1"/>
    <col min="20" max="20" width="31" style="1560" customWidth="1"/>
    <col min="21" max="21" width="0.140625" style="1560" customWidth="1"/>
    <col min="22" max="25" width="21.7109375" style="1560" hidden="1" customWidth="1"/>
    <col min="26" max="26" width="11.7109375" style="1560" hidden="1" customWidth="1"/>
    <col min="27" max="27" width="3.7109375" style="1560" hidden="1" customWidth="1"/>
    <col min="28" max="28" width="11.7109375" style="1560" hidden="1" customWidth="1"/>
    <col min="29" max="29" width="8.5703125" style="1560" hidden="1" customWidth="1"/>
    <col min="30" max="30" width="3.7109375" style="1560" customWidth="1"/>
    <col min="31" max="32" width="3" style="1560" customWidth="1"/>
    <col min="33" max="33" width="24" style="1560" customWidth="1"/>
    <col min="34" max="34" width="3.7109375" style="1560" customWidth="1"/>
    <col min="35" max="36" width="3" style="1560" customWidth="1"/>
    <col min="37" max="37" width="24" style="1560" customWidth="1"/>
    <col min="38" max="38" width="3.7109375" style="1560" customWidth="1"/>
    <col min="39" max="40" width="3" style="1560" customWidth="1"/>
    <col min="41" max="41" width="18" style="1560" customWidth="1"/>
    <col min="42" max="42" width="3.7109375" style="1560" customWidth="1"/>
    <col min="43" max="44" width="3" style="1560" customWidth="1"/>
    <col min="45" max="45" width="18" style="1560" customWidth="1"/>
    <col min="46" max="49" width="21" style="1560" customWidth="1"/>
    <col min="50" max="50" width="11" style="1560" customWidth="1"/>
    <col min="51" max="51" width="3.7109375" style="1560" customWidth="1"/>
    <col min="52" max="52" width="11" style="1560" customWidth="1"/>
    <col min="53" max="53" width="8.5703125" style="1560" hidden="1" customWidth="1"/>
    <col min="54" max="54" width="4" style="1560" customWidth="1"/>
    <col min="55" max="55" width="115" style="1560" customWidth="1"/>
    <col min="56" max="60" width="10" style="1567" customWidth="1"/>
    <col min="61" max="61" width="10.5703125" style="1560" hidden="1"/>
  </cols>
  <sheetData>
    <row r="1" spans="1:61" ht="22.5" hidden="1" customHeight="1">
      <c r="W1" s="263"/>
      <c r="Y1" s="263"/>
      <c r="Z1" s="263"/>
      <c r="AW1" s="263"/>
      <c r="AX1" s="263"/>
      <c r="BI1" s="1080" t="s">
        <v>14</v>
      </c>
    </row>
    <row r="2" spans="1:61" ht="21" hidden="1" customHeight="1">
      <c r="A2" s="1288"/>
      <c r="B2" s="1288"/>
      <c r="C2" s="1288"/>
      <c r="D2" s="1288"/>
      <c r="E2" s="2186">
        <v>1</v>
      </c>
      <c r="F2" s="1288"/>
      <c r="G2" s="1288"/>
      <c r="H2" s="1288"/>
      <c r="I2" s="1288"/>
      <c r="J2" s="1288"/>
      <c r="K2" s="1288"/>
      <c r="L2" s="1289"/>
      <c r="M2" s="1290"/>
      <c r="N2" s="1290"/>
      <c r="O2" s="1290"/>
      <c r="P2" s="1334"/>
      <c r="Q2" s="802"/>
      <c r="R2" s="290"/>
      <c r="S2" s="1418" t="e">
        <f>INDEX(PT_DIFFERENTIATION_NUM_NTAR,MATCH(A2,PT_DIFFERENTIATION_NTAR_ID,0))</f>
        <v>#N/A</v>
      </c>
      <c r="T2" s="234" t="s">
        <v>124</v>
      </c>
      <c r="U2" s="236"/>
      <c r="V2" s="2173"/>
      <c r="W2" s="2173"/>
      <c r="X2" s="2173"/>
      <c r="Y2" s="2173"/>
      <c r="Z2" s="2173"/>
      <c r="AA2" s="2173"/>
      <c r="AB2" s="2173"/>
      <c r="AC2" s="2174"/>
      <c r="AD2" s="2172" t="e">
        <f>INDEX(PT_DIFFERENTIATION_NTAR,MATCH(A2,PT_DIFFERENTIATION_NTAR_ID,0))</f>
        <v>#N/A</v>
      </c>
      <c r="AE2" s="2173"/>
      <c r="AF2" s="2173"/>
      <c r="AG2" s="2173"/>
      <c r="AH2" s="2173"/>
      <c r="AI2" s="2173"/>
      <c r="AJ2" s="2173"/>
      <c r="AK2" s="2173"/>
      <c r="AL2" s="2173"/>
      <c r="AM2" s="2173"/>
      <c r="AN2" s="2173"/>
      <c r="AO2" s="2173"/>
      <c r="AP2" s="2173"/>
      <c r="AQ2" s="2173"/>
      <c r="AR2" s="2173"/>
      <c r="AS2" s="2173"/>
      <c r="AT2" s="2173"/>
      <c r="AU2" s="2173"/>
      <c r="AV2" s="2173"/>
      <c r="AW2" s="2173"/>
      <c r="AX2" s="2173"/>
      <c r="AY2" s="2173"/>
      <c r="AZ2" s="2173"/>
      <c r="BA2" s="2173"/>
      <c r="BB2" s="2174"/>
      <c r="BC2" s="1183"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BE2" s="435"/>
      <c r="BF2" s="435" t="str">
        <f t="shared" ref="BF2:BF8" si="0">IF(T2="","",T2)</f>
        <v>Наименование тарифа</v>
      </c>
      <c r="BG2" s="435"/>
      <c r="BH2" s="435"/>
      <c r="BI2" s="1080">
        <v>0</v>
      </c>
    </row>
    <row r="3" spans="1:61" ht="21" hidden="1" customHeight="1">
      <c r="A3" s="1288"/>
      <c r="B3" s="1288"/>
      <c r="C3" s="1288"/>
      <c r="D3" s="1288"/>
      <c r="E3" s="2187"/>
      <c r="F3" s="2186">
        <v>1</v>
      </c>
      <c r="G3" s="1288"/>
      <c r="H3" s="1288"/>
      <c r="I3" s="1288"/>
      <c r="J3" s="1288"/>
      <c r="K3" s="1288"/>
      <c r="L3" s="1289"/>
      <c r="M3" s="1290"/>
      <c r="N3" s="1290"/>
      <c r="O3" s="1290"/>
      <c r="P3" s="1335"/>
      <c r="Q3" s="1336"/>
      <c r="R3" s="288"/>
      <c r="S3" s="1418" t="e">
        <f>INDEX(PT_DIFFERENTIATION_NUM_TER,MATCH(B3,PT_DIFFERENTIATION_TER_ID,0))</f>
        <v>#N/A</v>
      </c>
      <c r="T3" s="244" t="s">
        <v>396</v>
      </c>
      <c r="U3" s="236"/>
      <c r="V3" s="2173"/>
      <c r="W3" s="2173"/>
      <c r="X3" s="2173"/>
      <c r="Y3" s="2173"/>
      <c r="Z3" s="2173"/>
      <c r="AA3" s="2173"/>
      <c r="AB3" s="2173"/>
      <c r="AC3" s="2174"/>
      <c r="AD3" s="2172" t="e">
        <f>INDEX(PT_DIFFERENTIATION_TER,MATCH(B3,PT_DIFFERENTIATION_TER_ID,0))</f>
        <v>#N/A</v>
      </c>
      <c r="AE3" s="2173"/>
      <c r="AF3" s="2173"/>
      <c r="AG3" s="2173"/>
      <c r="AH3" s="2173"/>
      <c r="AI3" s="2173"/>
      <c r="AJ3" s="2173"/>
      <c r="AK3" s="2173"/>
      <c r="AL3" s="2173"/>
      <c r="AM3" s="2173"/>
      <c r="AN3" s="2173"/>
      <c r="AO3" s="2173"/>
      <c r="AP3" s="2173"/>
      <c r="AQ3" s="2173"/>
      <c r="AR3" s="2173"/>
      <c r="AS3" s="2173"/>
      <c r="AT3" s="2173"/>
      <c r="AU3" s="2173"/>
      <c r="AV3" s="2173"/>
      <c r="AW3" s="2173"/>
      <c r="AX3" s="2173"/>
      <c r="AY3" s="2173"/>
      <c r="AZ3" s="2173"/>
      <c r="BA3" s="2173"/>
      <c r="BB3" s="2174"/>
      <c r="BC3" s="1183" t="s">
        <v>397</v>
      </c>
      <c r="BE3" s="435"/>
      <c r="BF3" s="435" t="str">
        <f t="shared" si="0"/>
        <v>Территория действия тарифа</v>
      </c>
      <c r="BG3" s="435"/>
      <c r="BH3" s="435"/>
      <c r="BI3" s="1080">
        <v>0</v>
      </c>
    </row>
    <row r="4" spans="1:61" ht="33.75" hidden="1" customHeight="1">
      <c r="A4" s="1288"/>
      <c r="B4" s="1288"/>
      <c r="C4" s="1288"/>
      <c r="D4" s="1288"/>
      <c r="E4" s="2187"/>
      <c r="F4" s="2187"/>
      <c r="G4" s="2186">
        <v>1</v>
      </c>
      <c r="H4" s="1288"/>
      <c r="I4" s="1288"/>
      <c r="J4" s="1288"/>
      <c r="K4" s="1288"/>
      <c r="L4" s="1289"/>
      <c r="M4" s="1290"/>
      <c r="N4" s="1290"/>
      <c r="O4" s="1290"/>
      <c r="P4" s="1337"/>
      <c r="Q4" s="1336"/>
      <c r="R4" s="288"/>
      <c r="S4" s="1418" t="e">
        <f>INDEX(PT_DIFFERENTIATION_NUM_CS,MATCH(C4,PT_DIFFERENTIATION_CS_ID,0))</f>
        <v>#N/A</v>
      </c>
      <c r="T4" s="245" t="s">
        <v>529</v>
      </c>
      <c r="U4" s="236"/>
      <c r="V4" s="2173"/>
      <c r="W4" s="2173"/>
      <c r="X4" s="2173"/>
      <c r="Y4" s="2173"/>
      <c r="Z4" s="2173"/>
      <c r="AA4" s="2173"/>
      <c r="AB4" s="2173"/>
      <c r="AC4" s="2174"/>
      <c r="AD4" s="2172" t="e">
        <f>INDEX(PT_DIFFERENTIATION_CS,MATCH(C4,PT_DIFFERENTIATION_CS_ID,0))</f>
        <v>#N/A</v>
      </c>
      <c r="AE4" s="2173"/>
      <c r="AF4" s="2173"/>
      <c r="AG4" s="2173"/>
      <c r="AH4" s="2173"/>
      <c r="AI4" s="2173"/>
      <c r="AJ4" s="2173"/>
      <c r="AK4" s="2173"/>
      <c r="AL4" s="2173"/>
      <c r="AM4" s="2173"/>
      <c r="AN4" s="2173"/>
      <c r="AO4" s="2173"/>
      <c r="AP4" s="2173"/>
      <c r="AQ4" s="2173"/>
      <c r="AR4" s="2173"/>
      <c r="AS4" s="2173"/>
      <c r="AT4" s="2173"/>
      <c r="AU4" s="2173"/>
      <c r="AV4" s="2173"/>
      <c r="AW4" s="2173"/>
      <c r="AX4" s="2173"/>
      <c r="AY4" s="2173"/>
      <c r="AZ4" s="2173"/>
      <c r="BA4" s="2173"/>
      <c r="BB4" s="2174"/>
      <c r="BC4" s="1183" t="s">
        <v>530</v>
      </c>
      <c r="BE4" s="435"/>
      <c r="BF4" s="435" t="str">
        <f t="shared" si="0"/>
        <v>Наименование централизованной системы горячего водоснабжения</v>
      </c>
      <c r="BG4" s="435"/>
      <c r="BH4" s="435"/>
      <c r="BI4" s="1080">
        <v>0</v>
      </c>
    </row>
    <row r="5" spans="1:61" s="1567" customFormat="1" ht="14.25" hidden="1" customHeight="1">
      <c r="A5" s="1268"/>
      <c r="B5" s="1268"/>
      <c r="C5" s="1268"/>
      <c r="D5" s="1268"/>
      <c r="E5" s="2187"/>
      <c r="F5" s="2187"/>
      <c r="G5" s="2187"/>
      <c r="H5" s="2186">
        <v>1</v>
      </c>
      <c r="I5" s="1268"/>
      <c r="J5" s="1268"/>
      <c r="K5" s="1268"/>
      <c r="L5" s="1271"/>
      <c r="M5" s="1240"/>
      <c r="N5" s="1240"/>
      <c r="O5" s="1240"/>
      <c r="P5" s="1422"/>
      <c r="Q5" s="1423"/>
      <c r="R5" s="292"/>
      <c r="S5" s="970"/>
      <c r="T5" s="1424"/>
      <c r="U5" s="1309"/>
      <c r="V5" s="2216"/>
      <c r="W5" s="2216"/>
      <c r="X5" s="2216"/>
      <c r="Y5" s="2216"/>
      <c r="Z5" s="2216"/>
      <c r="AA5" s="2216"/>
      <c r="AB5" s="2216"/>
      <c r="AC5" s="2217"/>
      <c r="AD5" s="2215"/>
      <c r="AE5" s="2216"/>
      <c r="AF5" s="2216"/>
      <c r="AG5" s="2216"/>
      <c r="AH5" s="2216"/>
      <c r="AI5" s="2216"/>
      <c r="AJ5" s="2216"/>
      <c r="AK5" s="2216"/>
      <c r="AL5" s="2216"/>
      <c r="AM5" s="2216"/>
      <c r="AN5" s="2216"/>
      <c r="AO5" s="2216"/>
      <c r="AP5" s="2216"/>
      <c r="AQ5" s="2216"/>
      <c r="AR5" s="2216"/>
      <c r="AS5" s="2216"/>
      <c r="AT5" s="2216"/>
      <c r="AU5" s="2216"/>
      <c r="AV5" s="2216"/>
      <c r="AW5" s="2216"/>
      <c r="AX5" s="2216"/>
      <c r="AY5" s="2216"/>
      <c r="AZ5" s="2216"/>
      <c r="BA5" s="2216"/>
      <c r="BB5" s="2217"/>
      <c r="BC5" s="1310" t="s">
        <v>401</v>
      </c>
      <c r="BE5" s="435"/>
      <c r="BF5" s="435" t="str">
        <f t="shared" si="0"/>
        <v/>
      </c>
      <c r="BG5" s="435"/>
      <c r="BH5" s="435"/>
      <c r="BI5" s="446">
        <v>0</v>
      </c>
    </row>
    <row r="6" spans="1:61" s="1567" customFormat="1" ht="14.25" hidden="1" customHeight="1">
      <c r="A6" s="1268"/>
      <c r="B6" s="1268"/>
      <c r="C6" s="1268"/>
      <c r="D6" s="1268"/>
      <c r="E6" s="2187"/>
      <c r="F6" s="2187"/>
      <c r="G6" s="2187"/>
      <c r="H6" s="2187"/>
      <c r="I6" s="2184" t="str">
        <f>S5&amp;".1"</f>
        <v>.1</v>
      </c>
      <c r="J6" s="1268"/>
      <c r="K6" s="1268"/>
      <c r="L6" s="1271" t="s">
        <v>402</v>
      </c>
      <c r="M6" s="445"/>
      <c r="N6" s="445"/>
      <c r="O6" s="445"/>
      <c r="P6" s="2185">
        <v>1</v>
      </c>
      <c r="Q6" s="1406"/>
      <c r="R6" s="291"/>
      <c r="S6" s="970"/>
      <c r="T6" s="1308"/>
      <c r="U6" s="1309"/>
      <c r="V6" s="2216"/>
      <c r="W6" s="2216"/>
      <c r="X6" s="2216"/>
      <c r="Y6" s="2216"/>
      <c r="Z6" s="2216"/>
      <c r="AA6" s="2216"/>
      <c r="AB6" s="2216"/>
      <c r="AC6" s="2217"/>
      <c r="AD6" s="2215"/>
      <c r="AE6" s="2216"/>
      <c r="AF6" s="2216"/>
      <c r="AG6" s="2216"/>
      <c r="AH6" s="2216"/>
      <c r="AI6" s="2216"/>
      <c r="AJ6" s="2216"/>
      <c r="AK6" s="2216"/>
      <c r="AL6" s="2216"/>
      <c r="AM6" s="2216"/>
      <c r="AN6" s="2216"/>
      <c r="AO6" s="2216"/>
      <c r="AP6" s="2216"/>
      <c r="AQ6" s="2216"/>
      <c r="AR6" s="2216"/>
      <c r="AS6" s="2216"/>
      <c r="AT6" s="2216"/>
      <c r="AU6" s="2216"/>
      <c r="AV6" s="2216"/>
      <c r="AW6" s="2216"/>
      <c r="AX6" s="2216"/>
      <c r="AY6" s="2216"/>
      <c r="AZ6" s="2216"/>
      <c r="BA6" s="2216"/>
      <c r="BB6" s="2217"/>
      <c r="BC6" s="1310"/>
      <c r="BE6" s="435"/>
      <c r="BF6" s="435" t="str">
        <f t="shared" si="0"/>
        <v/>
      </c>
      <c r="BG6" s="435"/>
      <c r="BH6" s="435"/>
      <c r="BI6" s="446">
        <v>0</v>
      </c>
    </row>
    <row r="7" spans="1:61" s="1567" customFormat="1" ht="14.25" hidden="1" customHeight="1">
      <c r="A7" s="1268"/>
      <c r="B7" s="1268"/>
      <c r="C7" s="1268"/>
      <c r="D7" s="1268"/>
      <c r="E7" s="2187"/>
      <c r="F7" s="2187"/>
      <c r="G7" s="2187"/>
      <c r="H7" s="2187"/>
      <c r="I7" s="2207"/>
      <c r="J7" s="2184" t="str">
        <f>S5&amp;".1"</f>
        <v>.1</v>
      </c>
      <c r="K7" s="1268"/>
      <c r="L7" s="1271"/>
      <c r="M7" s="445"/>
      <c r="N7" s="445"/>
      <c r="O7" s="445"/>
      <c r="P7" s="2185"/>
      <c r="Q7" s="2185">
        <v>1</v>
      </c>
      <c r="R7" s="292"/>
      <c r="S7" s="970"/>
      <c r="T7" s="1324"/>
      <c r="U7" s="1309"/>
      <c r="V7" s="2216"/>
      <c r="W7" s="2216"/>
      <c r="X7" s="2216"/>
      <c r="Y7" s="2216"/>
      <c r="Z7" s="2216"/>
      <c r="AA7" s="2216"/>
      <c r="AB7" s="2216"/>
      <c r="AC7" s="2217"/>
      <c r="AD7" s="2215"/>
      <c r="AE7" s="2216"/>
      <c r="AF7" s="2216"/>
      <c r="AG7" s="2216"/>
      <c r="AH7" s="2216"/>
      <c r="AI7" s="2216"/>
      <c r="AJ7" s="2216"/>
      <c r="AK7" s="2216"/>
      <c r="AL7" s="2216"/>
      <c r="AM7" s="2216"/>
      <c r="AN7" s="2216"/>
      <c r="AO7" s="2216"/>
      <c r="AP7" s="2216"/>
      <c r="AQ7" s="2216"/>
      <c r="AR7" s="2216"/>
      <c r="AS7" s="2216"/>
      <c r="AT7" s="2216"/>
      <c r="AU7" s="2216"/>
      <c r="AV7" s="2216"/>
      <c r="AW7" s="2216"/>
      <c r="AX7" s="2216"/>
      <c r="AY7" s="2216"/>
      <c r="AZ7" s="2216"/>
      <c r="BA7" s="2216"/>
      <c r="BB7" s="2217"/>
      <c r="BC7" s="1310"/>
      <c r="BE7" s="435"/>
      <c r="BF7" s="435" t="str">
        <f t="shared" si="0"/>
        <v/>
      </c>
      <c r="BG7" s="435"/>
      <c r="BH7" s="435"/>
      <c r="BI7" s="446">
        <v>0</v>
      </c>
    </row>
    <row r="8" spans="1:61" ht="11.25" hidden="1" customHeight="1">
      <c r="A8" s="1288"/>
      <c r="B8" s="1288"/>
      <c r="C8" s="1288"/>
      <c r="D8" s="1288"/>
      <c r="E8" s="2187"/>
      <c r="F8" s="2187"/>
      <c r="G8" s="2187"/>
      <c r="H8" s="2187"/>
      <c r="I8" s="2207"/>
      <c r="J8" s="2207"/>
      <c r="K8" s="2184" t="e">
        <f>S4&amp;".1"</f>
        <v>#N/A</v>
      </c>
      <c r="L8" s="1289"/>
      <c r="P8" s="2185"/>
      <c r="Q8" s="2185"/>
      <c r="R8" s="2250">
        <v>1</v>
      </c>
      <c r="S8" s="2244" t="e">
        <f>$K8</f>
        <v>#N/A</v>
      </c>
      <c r="T8" s="2263"/>
      <c r="U8" s="236"/>
      <c r="V8" s="686"/>
      <c r="W8" s="1182"/>
      <c r="X8" s="686"/>
      <c r="Y8" s="1182"/>
      <c r="Z8" s="1659"/>
      <c r="AA8" s="1394" t="s">
        <v>66</v>
      </c>
      <c r="AB8" s="1659"/>
      <c r="AC8" s="1394" t="s">
        <v>66</v>
      </c>
      <c r="AD8" s="2124" t="s">
        <v>66</v>
      </c>
      <c r="AE8" s="2229"/>
      <c r="AF8" s="2141">
        <v>1</v>
      </c>
      <c r="AG8" s="2266"/>
      <c r="AH8" s="2047" t="s">
        <v>66</v>
      </c>
      <c r="AI8" s="2229"/>
      <c r="AJ8" s="2141">
        <v>1</v>
      </c>
      <c r="AK8" s="2230" t="s">
        <v>22</v>
      </c>
      <c r="AL8" s="2047" t="s">
        <v>66</v>
      </c>
      <c r="AM8" s="2131"/>
      <c r="AN8" s="2141">
        <v>1</v>
      </c>
      <c r="AO8" s="2260"/>
      <c r="AP8" s="2261" t="s">
        <v>66</v>
      </c>
      <c r="AQ8" s="247"/>
      <c r="AR8" s="1411">
        <v>1</v>
      </c>
      <c r="AS8" s="1417" t="s">
        <v>22</v>
      </c>
      <c r="AT8" s="686"/>
      <c r="AU8" s="1182"/>
      <c r="AV8" s="686"/>
      <c r="AW8" s="1182"/>
      <c r="AX8" s="1659"/>
      <c r="AY8" s="1394" t="s">
        <v>66</v>
      </c>
      <c r="AZ8" s="1659"/>
      <c r="BA8" s="1394" t="s">
        <v>66</v>
      </c>
      <c r="BB8" s="1273"/>
      <c r="BC8" s="2181" t="s">
        <v>500</v>
      </c>
      <c r="BE8" s="435"/>
      <c r="BF8" s="435" t="str">
        <f t="shared" si="0"/>
        <v/>
      </c>
      <c r="BG8" s="435"/>
      <c r="BH8" s="435"/>
      <c r="BI8" s="1080">
        <v>0</v>
      </c>
    </row>
    <row r="9" spans="1:61" ht="11.25" hidden="1" customHeight="1">
      <c r="A9" s="1288"/>
      <c r="B9" s="1288"/>
      <c r="C9" s="1288"/>
      <c r="D9" s="1288"/>
      <c r="E9" s="2187"/>
      <c r="F9" s="2187"/>
      <c r="G9" s="2187"/>
      <c r="H9" s="2187"/>
      <c r="I9" s="2207"/>
      <c r="J9" s="2207"/>
      <c r="K9" s="2184"/>
      <c r="L9" s="1289"/>
      <c r="P9" s="2185"/>
      <c r="Q9" s="2185"/>
      <c r="R9" s="2250"/>
      <c r="S9" s="2245"/>
      <c r="T9" s="2264"/>
      <c r="U9" s="236"/>
      <c r="V9" s="1318"/>
      <c r="W9" s="1421"/>
      <c r="X9" s="1318"/>
      <c r="Y9" s="1421"/>
      <c r="Z9" s="1318"/>
      <c r="AA9" s="1318"/>
      <c r="AB9" s="1318"/>
      <c r="AC9" s="1318"/>
      <c r="AD9" s="2125"/>
      <c r="AE9" s="2229"/>
      <c r="AF9" s="2141"/>
      <c r="AG9" s="2266"/>
      <c r="AH9" s="2047"/>
      <c r="AI9" s="2229"/>
      <c r="AJ9" s="2141"/>
      <c r="AK9" s="2230"/>
      <c r="AL9" s="2047"/>
      <c r="AM9" s="2136"/>
      <c r="AN9" s="2141"/>
      <c r="AO9" s="2260"/>
      <c r="AP9" s="2262"/>
      <c r="AQ9" s="252"/>
      <c r="AR9" s="351"/>
      <c r="AS9" s="351" t="s">
        <v>501</v>
      </c>
      <c r="AT9" s="1318"/>
      <c r="AU9" s="1421"/>
      <c r="AV9" s="1318"/>
      <c r="AW9" s="1421"/>
      <c r="AX9" s="1318"/>
      <c r="AY9" s="1318"/>
      <c r="AZ9" s="1318"/>
      <c r="BA9" s="1318"/>
      <c r="BB9" s="1322"/>
      <c r="BC9" s="2182"/>
      <c r="BE9" s="435"/>
      <c r="BF9" s="435"/>
      <c r="BG9" s="435"/>
      <c r="BH9" s="435"/>
      <c r="BI9" s="1080">
        <v>0</v>
      </c>
    </row>
    <row r="10" spans="1:61" ht="11.25" hidden="1" customHeight="1">
      <c r="A10" s="1288"/>
      <c r="B10" s="1288"/>
      <c r="C10" s="1288"/>
      <c r="D10" s="1288"/>
      <c r="E10" s="2187"/>
      <c r="F10" s="2187"/>
      <c r="G10" s="2187"/>
      <c r="H10" s="2187"/>
      <c r="I10" s="2207"/>
      <c r="J10" s="2207"/>
      <c r="K10" s="2184"/>
      <c r="L10" s="1289"/>
      <c r="P10" s="2185"/>
      <c r="Q10" s="2185"/>
      <c r="R10" s="2250"/>
      <c r="S10" s="2245"/>
      <c r="T10" s="2264"/>
      <c r="U10" s="236"/>
      <c r="V10" s="1318"/>
      <c r="W10" s="1421"/>
      <c r="X10" s="1318"/>
      <c r="Y10" s="1421"/>
      <c r="Z10" s="1318"/>
      <c r="AA10" s="1318"/>
      <c r="AB10" s="1318"/>
      <c r="AC10" s="1318"/>
      <c r="AD10" s="2125"/>
      <c r="AE10" s="2229"/>
      <c r="AF10" s="2141"/>
      <c r="AG10" s="2266"/>
      <c r="AH10" s="2047"/>
      <c r="AI10" s="2229"/>
      <c r="AJ10" s="2141"/>
      <c r="AK10" s="2230"/>
      <c r="AL10" s="2047"/>
      <c r="AM10" s="252"/>
      <c r="AN10" s="1425"/>
      <c r="AO10" s="1425" t="s">
        <v>502</v>
      </c>
      <c r="AP10" s="351"/>
      <c r="AQ10" s="351"/>
      <c r="AR10" s="351"/>
      <c r="AS10" s="1318"/>
      <c r="AT10" s="1318"/>
      <c r="AU10" s="1421"/>
      <c r="AV10" s="1318"/>
      <c r="AW10" s="1421"/>
      <c r="AX10" s="1318"/>
      <c r="AY10" s="1318"/>
      <c r="AZ10" s="1318"/>
      <c r="BA10" s="1318"/>
      <c r="BB10" s="1322"/>
      <c r="BC10" s="2182"/>
      <c r="BE10" s="435"/>
      <c r="BF10" s="435"/>
      <c r="BG10" s="435"/>
      <c r="BH10" s="435"/>
      <c r="BI10" s="1080">
        <v>0</v>
      </c>
    </row>
    <row r="11" spans="1:61" ht="11.25" hidden="1" customHeight="1">
      <c r="A11" s="1288"/>
      <c r="B11" s="1288"/>
      <c r="C11" s="1288"/>
      <c r="D11" s="1288"/>
      <c r="E11" s="2187"/>
      <c r="F11" s="2187"/>
      <c r="G11" s="2187"/>
      <c r="H11" s="2187"/>
      <c r="I11" s="2207"/>
      <c r="J11" s="2207"/>
      <c r="K11" s="2184"/>
      <c r="L11" s="1289"/>
      <c r="P11" s="2185"/>
      <c r="Q11" s="2185"/>
      <c r="R11" s="2250"/>
      <c r="S11" s="2245"/>
      <c r="T11" s="2264"/>
      <c r="U11" s="236"/>
      <c r="V11" s="1318"/>
      <c r="W11" s="1421"/>
      <c r="X11" s="1318"/>
      <c r="Y11" s="1421"/>
      <c r="Z11" s="1318"/>
      <c r="AA11" s="1318"/>
      <c r="AB11" s="1318"/>
      <c r="AC11" s="1318"/>
      <c r="AD11" s="2125"/>
      <c r="AE11" s="2229"/>
      <c r="AF11" s="2141"/>
      <c r="AG11" s="2266"/>
      <c r="AH11" s="2047"/>
      <c r="AI11" s="230"/>
      <c r="AJ11" s="350"/>
      <c r="AK11" s="249" t="s">
        <v>503</v>
      </c>
      <c r="AL11" s="1318"/>
      <c r="AM11" s="1318"/>
      <c r="AN11" s="1318"/>
      <c r="AO11" s="1318"/>
      <c r="AP11" s="1318"/>
      <c r="AQ11" s="1318"/>
      <c r="AR11" s="1318"/>
      <c r="AS11" s="1318"/>
      <c r="AT11" s="1318"/>
      <c r="AU11" s="1421"/>
      <c r="AV11" s="1318"/>
      <c r="AW11" s="1421"/>
      <c r="AX11" s="1318"/>
      <c r="AY11" s="1318"/>
      <c r="AZ11" s="1318"/>
      <c r="BA11" s="1318"/>
      <c r="BB11" s="1322"/>
      <c r="BC11" s="2182"/>
      <c r="BE11" s="435"/>
      <c r="BF11" s="435"/>
      <c r="BG11" s="435"/>
      <c r="BH11" s="435"/>
      <c r="BI11" s="1080">
        <v>0</v>
      </c>
    </row>
    <row r="12" spans="1:61" ht="11.25" hidden="1" customHeight="1">
      <c r="A12" s="1288"/>
      <c r="B12" s="1288"/>
      <c r="C12" s="1288"/>
      <c r="D12" s="1288"/>
      <c r="E12" s="2187"/>
      <c r="F12" s="2187"/>
      <c r="G12" s="2187"/>
      <c r="H12" s="2187"/>
      <c r="I12" s="2207"/>
      <c r="J12" s="2207"/>
      <c r="K12" s="2184"/>
      <c r="L12" s="1289"/>
      <c r="P12" s="2185"/>
      <c r="Q12" s="2185"/>
      <c r="R12" s="2250"/>
      <c r="S12" s="2246"/>
      <c r="T12" s="2265"/>
      <c r="U12" s="236"/>
      <c r="V12" s="1318"/>
      <c r="W12" s="1319" t="str">
        <f>Z8&amp;"-"&amp;AB8</f>
        <v>-</v>
      </c>
      <c r="X12" s="1318"/>
      <c r="Y12" s="1319" t="str">
        <f>AB8&amp;"-"&amp;AD8</f>
        <v>-да</v>
      </c>
      <c r="Z12" s="1318"/>
      <c r="AA12" s="1318"/>
      <c r="AB12" s="1318"/>
      <c r="AC12" s="1318"/>
      <c r="AD12" s="2052"/>
      <c r="AE12" s="248"/>
      <c r="AF12" s="250"/>
      <c r="AG12" s="351" t="s">
        <v>504</v>
      </c>
      <c r="AH12" s="1318"/>
      <c r="AI12" s="1318"/>
      <c r="AJ12" s="1318"/>
      <c r="AK12" s="1318"/>
      <c r="AL12" s="1318"/>
      <c r="AM12" s="1318"/>
      <c r="AN12" s="1318"/>
      <c r="AO12" s="1318"/>
      <c r="AP12" s="1318"/>
      <c r="AQ12" s="1318"/>
      <c r="AR12" s="1318"/>
      <c r="AS12" s="1318"/>
      <c r="AT12" s="1318"/>
      <c r="AU12" s="1319" t="str">
        <f>AX8&amp;"-"&amp;AZ8</f>
        <v>-</v>
      </c>
      <c r="AV12" s="1318"/>
      <c r="AW12" s="1319" t="str">
        <f>AZ8&amp;"-"&amp;BB8</f>
        <v>-</v>
      </c>
      <c r="AX12" s="1318"/>
      <c r="AY12" s="1318"/>
      <c r="AZ12" s="1318"/>
      <c r="BA12" s="1318"/>
      <c r="BB12" s="1321" t="str">
        <f>BE8&amp;"-"&amp;BG8</f>
        <v>-</v>
      </c>
      <c r="BC12" s="2182"/>
      <c r="BE12" s="435"/>
      <c r="BF12" s="435" t="str">
        <f t="shared" ref="BF12:BF18" si="1">IF(T12="","",T12)</f>
        <v/>
      </c>
      <c r="BG12" s="435"/>
      <c r="BH12" s="435"/>
      <c r="BI12" s="1080">
        <v>0</v>
      </c>
    </row>
    <row r="13" spans="1:61" ht="11.25" hidden="1" customHeight="1">
      <c r="A13" s="1288"/>
      <c r="B13" s="1288"/>
      <c r="C13" s="1288"/>
      <c r="D13" s="1288"/>
      <c r="E13" s="2187"/>
      <c r="F13" s="2187"/>
      <c r="G13" s="2187"/>
      <c r="H13" s="2187"/>
      <c r="I13" s="2207"/>
      <c r="J13" s="2184"/>
      <c r="K13" s="1288"/>
      <c r="L13" s="1289"/>
      <c r="P13" s="2185"/>
      <c r="Q13" s="2185"/>
      <c r="R13" s="291"/>
      <c r="S13" s="1203"/>
      <c r="T13" s="223" t="s">
        <v>467</v>
      </c>
      <c r="U13" s="302"/>
      <c r="V13" s="302"/>
      <c r="W13" s="302"/>
      <c r="X13" s="302"/>
      <c r="Y13" s="302"/>
      <c r="Z13" s="302"/>
      <c r="AA13" s="302"/>
      <c r="AB13" s="302"/>
      <c r="AC13" s="302"/>
      <c r="AD13" s="1430"/>
      <c r="AE13" s="302"/>
      <c r="AF13" s="302"/>
      <c r="AG13" s="302"/>
      <c r="AH13" s="302"/>
      <c r="AI13" s="302"/>
      <c r="AJ13" s="302"/>
      <c r="AK13" s="302"/>
      <c r="AL13" s="302"/>
      <c r="AM13" s="302"/>
      <c r="AN13" s="302"/>
      <c r="AO13" s="302"/>
      <c r="AP13" s="302"/>
      <c r="AQ13" s="302"/>
      <c r="AR13" s="302"/>
      <c r="AS13" s="302"/>
      <c r="AT13" s="302"/>
      <c r="AU13" s="302"/>
      <c r="AV13" s="302"/>
      <c r="AW13" s="302"/>
      <c r="AX13" s="302"/>
      <c r="AY13" s="302"/>
      <c r="AZ13" s="302"/>
      <c r="BA13" s="302"/>
      <c r="BB13" s="260"/>
      <c r="BC13" s="2183"/>
      <c r="BE13" s="435"/>
      <c r="BF13" s="435" t="str">
        <f t="shared" si="1"/>
        <v>Добавить строку</v>
      </c>
      <c r="BG13" s="435"/>
      <c r="BH13" s="435"/>
      <c r="BI13" s="1080">
        <v>0</v>
      </c>
    </row>
    <row r="14" spans="1:61" s="1567" customFormat="1" ht="14.25" hidden="1" customHeight="1">
      <c r="A14" s="1268"/>
      <c r="B14" s="1268"/>
      <c r="C14" s="1268"/>
      <c r="D14" s="1268"/>
      <c r="E14" s="2187"/>
      <c r="F14" s="2187"/>
      <c r="G14" s="2187"/>
      <c r="H14" s="2187"/>
      <c r="I14" s="2184"/>
      <c r="J14" s="1268"/>
      <c r="K14" s="1268"/>
      <c r="L14" s="1271"/>
      <c r="M14" s="445"/>
      <c r="N14" s="445"/>
      <c r="O14" s="445"/>
      <c r="P14" s="2185"/>
      <c r="Q14" s="1406"/>
      <c r="R14" s="291"/>
      <c r="S14" s="1311"/>
      <c r="T14" s="1312"/>
      <c r="U14" s="1313"/>
      <c r="V14" s="1313"/>
      <c r="W14" s="1313"/>
      <c r="X14" s="1313"/>
      <c r="Y14" s="1313"/>
      <c r="Z14" s="1313"/>
      <c r="AA14" s="1313"/>
      <c r="AB14" s="1313"/>
      <c r="AC14" s="1313"/>
      <c r="AD14" s="1313"/>
      <c r="AE14" s="1313"/>
      <c r="AF14" s="1313"/>
      <c r="AG14" s="1313"/>
      <c r="AH14" s="1313"/>
      <c r="AI14" s="1313"/>
      <c r="AJ14" s="1313"/>
      <c r="AK14" s="1313"/>
      <c r="AL14" s="1313"/>
      <c r="AM14" s="1313"/>
      <c r="AN14" s="1313"/>
      <c r="AO14" s="1313"/>
      <c r="AP14" s="1313"/>
      <c r="AQ14" s="1313"/>
      <c r="AR14" s="1313"/>
      <c r="AS14" s="1313"/>
      <c r="AT14" s="1313"/>
      <c r="AU14" s="1313"/>
      <c r="AV14" s="1313"/>
      <c r="AW14" s="1313"/>
      <c r="AX14" s="1313"/>
      <c r="AY14" s="1313"/>
      <c r="AZ14" s="1313"/>
      <c r="BA14" s="1313"/>
      <c r="BB14" s="1313"/>
      <c r="BC14" s="1314"/>
      <c r="BE14" s="435"/>
      <c r="BF14" s="435" t="str">
        <f t="shared" si="1"/>
        <v/>
      </c>
      <c r="BG14" s="435"/>
      <c r="BH14" s="435"/>
      <c r="BI14" s="446">
        <v>0</v>
      </c>
    </row>
    <row r="15" spans="1:61" s="1567" customFormat="1" ht="14.25" hidden="1" customHeight="1">
      <c r="A15" s="1268"/>
      <c r="B15" s="1268"/>
      <c r="C15" s="1268"/>
      <c r="D15" s="1268"/>
      <c r="E15" s="2187"/>
      <c r="F15" s="2187"/>
      <c r="G15" s="2187"/>
      <c r="H15" s="2186"/>
      <c r="I15" s="1268"/>
      <c r="J15" s="1268"/>
      <c r="K15" s="1268"/>
      <c r="L15" s="1271"/>
      <c r="M15" s="1240"/>
      <c r="N15" s="1240"/>
      <c r="O15" s="453"/>
      <c r="P15" s="315"/>
      <c r="Q15" s="1269"/>
      <c r="R15" s="1326"/>
      <c r="S15" s="1311"/>
      <c r="T15" s="1312"/>
      <c r="U15" s="1313"/>
      <c r="V15" s="1313"/>
      <c r="W15" s="1313"/>
      <c r="X15" s="1313"/>
      <c r="Y15" s="1313"/>
      <c r="Z15" s="1313"/>
      <c r="AA15" s="1313"/>
      <c r="AB15" s="1313"/>
      <c r="AC15" s="1313"/>
      <c r="AD15" s="1313"/>
      <c r="AE15" s="1313"/>
      <c r="AF15" s="1313"/>
      <c r="AG15" s="1313"/>
      <c r="AH15" s="1313"/>
      <c r="AI15" s="1313"/>
      <c r="AJ15" s="1313"/>
      <c r="AK15" s="1313"/>
      <c r="AL15" s="1313"/>
      <c r="AM15" s="1313"/>
      <c r="AN15" s="1313"/>
      <c r="AO15" s="1313"/>
      <c r="AP15" s="1313"/>
      <c r="AQ15" s="1313"/>
      <c r="AR15" s="1313"/>
      <c r="AS15" s="1313"/>
      <c r="AT15" s="1313"/>
      <c r="AU15" s="1313"/>
      <c r="AV15" s="1313"/>
      <c r="AW15" s="1313"/>
      <c r="AX15" s="1313"/>
      <c r="AY15" s="1313"/>
      <c r="AZ15" s="1313"/>
      <c r="BA15" s="1313"/>
      <c r="BB15" s="1313"/>
      <c r="BC15" s="1314"/>
      <c r="BE15" s="435"/>
      <c r="BF15" s="435" t="str">
        <f t="shared" si="1"/>
        <v/>
      </c>
      <c r="BG15" s="435"/>
      <c r="BH15" s="435"/>
      <c r="BI15" s="446">
        <v>0</v>
      </c>
    </row>
    <row r="16" spans="1:61" s="1567" customFormat="1" ht="14.25" hidden="1" customHeight="1">
      <c r="A16" s="1268"/>
      <c r="B16" s="1268"/>
      <c r="C16" s="1268"/>
      <c r="D16" s="1239"/>
      <c r="E16" s="2187"/>
      <c r="F16" s="2187"/>
      <c r="G16" s="2186"/>
      <c r="H16" s="1239"/>
      <c r="I16" s="1239"/>
      <c r="J16" s="1239"/>
      <c r="K16" s="1239"/>
      <c r="L16" s="1419"/>
      <c r="M16" s="1240"/>
      <c r="N16" s="1240"/>
      <c r="P16" s="1241"/>
      <c r="Q16" s="1242"/>
      <c r="R16" s="1241"/>
      <c r="S16" s="1247"/>
      <c r="T16" s="1250"/>
      <c r="U16" s="1249"/>
      <c r="V16" s="1249"/>
      <c r="W16" s="1249"/>
      <c r="X16" s="1249"/>
      <c r="Y16" s="1249"/>
      <c r="Z16" s="1249"/>
      <c r="AA16" s="1249"/>
      <c r="AB16" s="1249"/>
      <c r="AC16" s="1249"/>
      <c r="AD16" s="1249"/>
      <c r="AE16" s="1249"/>
      <c r="AF16" s="1249"/>
      <c r="AG16" s="1249"/>
      <c r="AH16" s="1249"/>
      <c r="AI16" s="1249"/>
      <c r="AJ16" s="1249"/>
      <c r="AK16" s="1249"/>
      <c r="AL16" s="1249"/>
      <c r="AM16" s="1249"/>
      <c r="AN16" s="1249"/>
      <c r="AO16" s="1249"/>
      <c r="AP16" s="1249"/>
      <c r="AQ16" s="1249"/>
      <c r="AR16" s="1249"/>
      <c r="AS16" s="1249"/>
      <c r="AT16" s="1249"/>
      <c r="AU16" s="1249"/>
      <c r="AV16" s="1249"/>
      <c r="AW16" s="1249"/>
      <c r="AX16" s="1249"/>
      <c r="AY16" s="1249"/>
      <c r="AZ16" s="1249"/>
      <c r="BA16" s="1249"/>
      <c r="BB16" s="1249"/>
      <c r="BC16" s="1249"/>
      <c r="BE16" s="718"/>
      <c r="BF16" s="718" t="str">
        <f t="shared" si="1"/>
        <v/>
      </c>
      <c r="BG16" s="718"/>
      <c r="BH16" s="718"/>
      <c r="BI16" s="453">
        <v>0</v>
      </c>
    </row>
    <row r="17" spans="1:61" s="1567" customFormat="1" ht="14.25" hidden="1" customHeight="1">
      <c r="A17" s="1268"/>
      <c r="B17" s="1268"/>
      <c r="C17" s="1239"/>
      <c r="D17" s="1239"/>
      <c r="E17" s="2187"/>
      <c r="F17" s="2186"/>
      <c r="G17" s="1239"/>
      <c r="H17" s="1239"/>
      <c r="I17" s="1239"/>
      <c r="J17" s="1239"/>
      <c r="K17" s="1239"/>
      <c r="L17" s="1419"/>
      <c r="M17" s="1246"/>
      <c r="N17" s="1246"/>
      <c r="P17" s="1241"/>
      <c r="Q17" s="1242"/>
      <c r="R17" s="1241"/>
      <c r="S17" s="1247"/>
      <c r="T17" s="1250" t="s">
        <v>414</v>
      </c>
      <c r="U17" s="1249"/>
      <c r="V17" s="1249"/>
      <c r="W17" s="1249"/>
      <c r="X17" s="1249"/>
      <c r="Y17" s="1249"/>
      <c r="Z17" s="1249"/>
      <c r="AA17" s="1249"/>
      <c r="AB17" s="1249"/>
      <c r="AC17" s="1249"/>
      <c r="AD17" s="1249"/>
      <c r="AE17" s="1249"/>
      <c r="AF17" s="1249"/>
      <c r="AG17" s="1249"/>
      <c r="AH17" s="1249"/>
      <c r="AI17" s="1249"/>
      <c r="AJ17" s="1249"/>
      <c r="AK17" s="1249"/>
      <c r="AL17" s="1249"/>
      <c r="AM17" s="1249"/>
      <c r="AN17" s="1249"/>
      <c r="AO17" s="1249"/>
      <c r="AP17" s="1249"/>
      <c r="AQ17" s="1249"/>
      <c r="AR17" s="1249"/>
      <c r="AS17" s="1249"/>
      <c r="AT17" s="1249"/>
      <c r="AU17" s="1249"/>
      <c r="AV17" s="1249"/>
      <c r="AW17" s="1249"/>
      <c r="AX17" s="1249"/>
      <c r="AY17" s="1249"/>
      <c r="AZ17" s="1249"/>
      <c r="BA17" s="1249"/>
      <c r="BB17" s="1249"/>
      <c r="BC17" s="1249"/>
      <c r="BE17" s="718"/>
      <c r="BF17" s="718" t="str">
        <f t="shared" si="1"/>
        <v>Добавить централизованную систему для дифференциации</v>
      </c>
      <c r="BG17" s="718"/>
      <c r="BH17" s="718"/>
      <c r="BI17" s="453">
        <v>0</v>
      </c>
    </row>
    <row r="18" spans="1:61" s="1567" customFormat="1" ht="14.25" hidden="1" customHeight="1">
      <c r="A18" s="1268"/>
      <c r="B18" s="1268"/>
      <c r="C18" s="1268"/>
      <c r="D18" s="1268"/>
      <c r="E18" s="2186"/>
      <c r="F18" s="1268"/>
      <c r="G18" s="1268"/>
      <c r="H18" s="1268"/>
      <c r="I18" s="1268"/>
      <c r="J18" s="1268"/>
      <c r="K18" s="1268"/>
      <c r="L18" s="1271"/>
      <c r="M18" s="1246"/>
      <c r="N18" s="1246"/>
      <c r="O18" s="453"/>
      <c r="P18" s="315"/>
      <c r="Q18" s="1269"/>
      <c r="R18" s="315"/>
      <c r="S18" s="1247"/>
      <c r="T18" s="1250" t="s">
        <v>415</v>
      </c>
      <c r="U18" s="1249"/>
      <c r="V18" s="1249"/>
      <c r="W18" s="1249"/>
      <c r="X18" s="1249"/>
      <c r="Y18" s="1249"/>
      <c r="Z18" s="1249"/>
      <c r="AA18" s="1249"/>
      <c r="AB18" s="1249"/>
      <c r="AC18" s="1249"/>
      <c r="AD18" s="1249"/>
      <c r="AE18" s="1249"/>
      <c r="AF18" s="1249"/>
      <c r="AG18" s="1249"/>
      <c r="AH18" s="1249"/>
      <c r="AI18" s="1249"/>
      <c r="AJ18" s="1249"/>
      <c r="AK18" s="1249"/>
      <c r="AL18" s="1249"/>
      <c r="AM18" s="1249"/>
      <c r="AN18" s="1249"/>
      <c r="AO18" s="1249"/>
      <c r="AP18" s="1249"/>
      <c r="AQ18" s="1249"/>
      <c r="AR18" s="1249"/>
      <c r="AS18" s="1249"/>
      <c r="AT18" s="1249"/>
      <c r="AU18" s="1249"/>
      <c r="AV18" s="1249"/>
      <c r="AW18" s="1249"/>
      <c r="AX18" s="1249"/>
      <c r="AY18" s="1249"/>
      <c r="AZ18" s="1249"/>
      <c r="BA18" s="1249"/>
      <c r="BB18" s="1249"/>
      <c r="BC18" s="1249"/>
      <c r="BE18" s="435"/>
      <c r="BF18" s="435" t="str">
        <f t="shared" si="1"/>
        <v>Добавить территорию для дифференциации</v>
      </c>
      <c r="BG18" s="435"/>
      <c r="BH18" s="435"/>
      <c r="BI18" s="446">
        <v>0</v>
      </c>
    </row>
    <row r="19" spans="1:61" ht="14.25" hidden="1" customHeight="1">
      <c r="AC19" s="263"/>
      <c r="BA19" s="263"/>
      <c r="BI19" s="1080">
        <v>0</v>
      </c>
    </row>
    <row r="20" spans="1:61" ht="14.25" hidden="1" customHeight="1">
      <c r="AD20" s="1249" t="s">
        <v>19</v>
      </c>
      <c r="AE20" s="1426"/>
      <c r="AF20" s="483">
        <v>1</v>
      </c>
      <c r="AG20" s="1427"/>
      <c r="AH20" s="1249" t="s">
        <v>19</v>
      </c>
      <c r="AI20" s="1426"/>
      <c r="AJ20" s="483">
        <v>1</v>
      </c>
      <c r="AK20" s="1427"/>
      <c r="AL20" s="1249" t="s">
        <v>19</v>
      </c>
      <c r="AM20" s="1428"/>
      <c r="AN20" s="483">
        <v>1</v>
      </c>
      <c r="AO20" s="1429"/>
      <c r="AP20" s="1249" t="s">
        <v>19</v>
      </c>
      <c r="AQ20" s="1428"/>
      <c r="AR20" s="483">
        <v>1</v>
      </c>
      <c r="AS20" s="1429"/>
      <c r="AT20" s="261"/>
      <c r="AU20" s="319"/>
      <c r="AV20" s="261"/>
      <c r="AW20" s="319"/>
      <c r="AX20" s="1661"/>
      <c r="AY20" s="1410" t="s">
        <v>66</v>
      </c>
      <c r="AZ20" s="1661"/>
      <c r="BA20" s="1410" t="s">
        <v>66</v>
      </c>
      <c r="BI20" s="1080">
        <v>0</v>
      </c>
    </row>
    <row r="21" spans="1:61" ht="14.25" hidden="1" customHeight="1">
      <c r="BD21" s="431"/>
      <c r="BE21" s="431"/>
      <c r="BF21" s="431"/>
      <c r="BG21" s="431"/>
      <c r="BH21" s="431"/>
      <c r="BI21" s="1080">
        <v>0</v>
      </c>
    </row>
    <row r="22" spans="1:61" ht="14.25" hidden="1" customHeight="1">
      <c r="O22" s="1292" t="s">
        <v>416</v>
      </c>
      <c r="Z22" s="1270"/>
      <c r="AB22" s="1270"/>
      <c r="AC22" s="263"/>
      <c r="AX22" s="1270"/>
      <c r="AZ22" s="1270"/>
      <c r="BA22" s="263"/>
      <c r="BD22" s="431"/>
      <c r="BE22" s="431"/>
      <c r="BF22" s="431"/>
      <c r="BG22" s="431"/>
      <c r="BH22" s="431"/>
      <c r="BI22" s="1080">
        <v>0</v>
      </c>
    </row>
    <row r="23" spans="1:61" ht="14.25" hidden="1" customHeight="1">
      <c r="AC23" s="263"/>
      <c r="BA23" s="263"/>
      <c r="BD23" s="431"/>
      <c r="BE23" s="431"/>
      <c r="BF23" s="431"/>
      <c r="BG23" s="431"/>
      <c r="BH23" s="431"/>
      <c r="BI23" s="1080">
        <v>0</v>
      </c>
    </row>
    <row r="24" spans="1:61" s="1434" customFormat="1" ht="14.25" hidden="1" customHeight="1">
      <c r="M24" s="1433"/>
      <c r="N24" s="1433"/>
      <c r="O24" s="1434" t="s">
        <v>417</v>
      </c>
      <c r="P24" s="1433"/>
      <c r="Q24" s="1435"/>
      <c r="R24" s="1435"/>
      <c r="AA24" s="1432" t="s">
        <v>419</v>
      </c>
      <c r="AC24" s="1432" t="s">
        <v>420</v>
      </c>
      <c r="AD24" s="1432" t="s">
        <v>468</v>
      </c>
      <c r="AH24" s="1432" t="s">
        <v>468</v>
      </c>
      <c r="AK24" s="1432" t="s">
        <v>505</v>
      </c>
      <c r="AL24" s="1432" t="s">
        <v>468</v>
      </c>
      <c r="AP24" s="1432" t="s">
        <v>468</v>
      </c>
      <c r="AY24" s="1432" t="s">
        <v>419</v>
      </c>
      <c r="BA24" s="1432" t="s">
        <v>420</v>
      </c>
      <c r="BD24" s="1436"/>
      <c r="BE24" s="1436"/>
      <c r="BF24" s="1436"/>
      <c r="BG24" s="1436"/>
      <c r="BH24" s="1436"/>
      <c r="BI24" s="1432">
        <v>0</v>
      </c>
    </row>
    <row r="25" spans="1:61" ht="14.25" hidden="1" customHeight="1">
      <c r="O25" s="1289"/>
      <c r="BD25" s="431"/>
      <c r="BE25" s="431"/>
      <c r="BF25" s="431"/>
      <c r="BG25" s="431"/>
      <c r="BH25" s="431"/>
      <c r="BI25" s="1080">
        <v>0</v>
      </c>
    </row>
    <row r="26" spans="1:61" ht="14.25" hidden="1" customHeight="1">
      <c r="O26" s="1289"/>
      <c r="BD26" s="431"/>
      <c r="BE26" s="431"/>
      <c r="BF26" s="431"/>
      <c r="BG26" s="431"/>
      <c r="BH26" s="431"/>
      <c r="BI26" s="1080">
        <v>0</v>
      </c>
    </row>
    <row r="27" spans="1:61" ht="14.65" customHeight="1">
      <c r="Q27" s="227"/>
      <c r="R27" s="311"/>
      <c r="S27" s="1200"/>
      <c r="T27" s="298"/>
      <c r="U27" s="298"/>
      <c r="V27" s="444"/>
      <c r="W27" s="444"/>
      <c r="X27" s="444"/>
      <c r="Y27" s="444"/>
      <c r="Z27" s="444"/>
      <c r="AA27" s="444"/>
      <c r="AB27" s="444"/>
      <c r="AC27" s="444"/>
      <c r="AD27" s="444"/>
      <c r="AE27" s="444"/>
      <c r="AF27" s="444"/>
      <c r="AG27" s="444"/>
      <c r="AH27" s="444"/>
      <c r="AI27" s="444"/>
      <c r="AJ27" s="444"/>
      <c r="AK27" s="444"/>
      <c r="AL27" s="444"/>
      <c r="AM27" s="444"/>
      <c r="AN27" s="444"/>
      <c r="AO27" s="444"/>
      <c r="AP27" s="444"/>
      <c r="AQ27" s="444"/>
      <c r="AR27" s="444"/>
      <c r="AS27" s="444"/>
      <c r="AT27" s="444"/>
      <c r="AU27" s="444"/>
      <c r="AV27" s="444"/>
      <c r="AW27" s="444"/>
      <c r="AX27" s="444"/>
      <c r="AY27" s="444"/>
      <c r="AZ27" s="444"/>
      <c r="BA27" s="444"/>
      <c r="BI27" s="1080">
        <v>14</v>
      </c>
    </row>
    <row r="28" spans="1:61" ht="14.65" customHeight="1">
      <c r="Q28" s="227"/>
      <c r="R28" s="311"/>
      <c r="S28" s="2170" t="str">
        <f>IF(TEMPLATE_GROUP="P",PT_P_FORM_HOTVSNA_5_NAME_FORM,PT_R_FORM_HOTVSNA_17_NAME_FORM)</f>
        <v>Форма 14. Информация о предложении организации горячего водоснабжения расчетной величины тарифов на подключение (технологическое присоединение) к централизованной системе горячего водоснабжения</v>
      </c>
      <c r="T28" s="2170"/>
      <c r="U28" s="2170"/>
      <c r="V28" s="2170"/>
      <c r="W28" s="2170"/>
      <c r="X28" s="2170"/>
      <c r="Y28" s="2170"/>
      <c r="Z28" s="2170"/>
      <c r="AA28" s="2170"/>
      <c r="AB28" s="2170"/>
      <c r="AC28" s="2170"/>
      <c r="AD28" s="2170"/>
      <c r="AE28" s="2170"/>
      <c r="AF28" s="2170"/>
      <c r="AG28" s="2170"/>
      <c r="AH28" s="2170"/>
      <c r="AI28" s="2170"/>
      <c r="AJ28" s="2170"/>
      <c r="AK28" s="2170"/>
      <c r="AL28" s="2170"/>
      <c r="AM28" s="2170"/>
      <c r="AN28" s="2170"/>
      <c r="AO28" s="2170"/>
      <c r="AP28" s="2170"/>
      <c r="AQ28" s="2170"/>
      <c r="AR28" s="2170"/>
      <c r="AS28" s="2170"/>
      <c r="AT28" s="2170"/>
      <c r="AU28" s="2170"/>
      <c r="AV28" s="2170"/>
      <c r="AW28" s="2170"/>
      <c r="AX28" s="2170"/>
      <c r="AY28" s="2170"/>
      <c r="AZ28" s="2170"/>
      <c r="BA28" s="1168"/>
      <c r="BI28" s="1080">
        <v>14</v>
      </c>
    </row>
    <row r="29" spans="1:61" ht="14.65" customHeight="1">
      <c r="Q29" s="227"/>
      <c r="R29" s="311"/>
      <c r="S29" s="2115" t="str">
        <f>IF(org=0,"Не определено",org)</f>
        <v>ООО "ЗЕНИТ ЭНЕРГО"</v>
      </c>
      <c r="T29" s="2115"/>
      <c r="U29" s="2115"/>
      <c r="V29" s="2115"/>
      <c r="W29" s="2115"/>
      <c r="X29" s="2115"/>
      <c r="Y29" s="2115"/>
      <c r="Z29" s="2115"/>
      <c r="AA29" s="2115"/>
      <c r="AB29" s="2115"/>
      <c r="AC29" s="2115"/>
      <c r="AD29" s="2115"/>
      <c r="AE29" s="2115"/>
      <c r="AF29" s="2115"/>
      <c r="AG29" s="2115"/>
      <c r="AH29" s="2115"/>
      <c r="AI29" s="2115"/>
      <c r="AJ29" s="2115"/>
      <c r="AK29" s="2115"/>
      <c r="AL29" s="2115"/>
      <c r="AM29" s="2115"/>
      <c r="AN29" s="2115"/>
      <c r="AO29" s="2115"/>
      <c r="AP29" s="2115"/>
      <c r="AQ29" s="2115"/>
      <c r="AR29" s="2115"/>
      <c r="AS29" s="2115"/>
      <c r="AT29" s="2115"/>
      <c r="AU29" s="2115"/>
      <c r="AV29" s="2115"/>
      <c r="AW29" s="2115"/>
      <c r="AX29" s="2115"/>
      <c r="AY29" s="2115"/>
      <c r="AZ29" s="2115"/>
      <c r="BA29" s="1168"/>
      <c r="BI29" s="1080">
        <v>14</v>
      </c>
    </row>
    <row r="30" spans="1:61" ht="14.25" hidden="1" customHeight="1">
      <c r="Q30" s="227"/>
      <c r="R30" s="311"/>
      <c r="S30" s="1200"/>
      <c r="T30" s="298"/>
      <c r="U30" s="298"/>
      <c r="V30" s="258"/>
      <c r="W30" s="258"/>
      <c r="X30" s="258"/>
      <c r="Y30" s="258"/>
      <c r="Z30" s="258"/>
      <c r="AA30" s="258"/>
      <c r="AB30" s="258"/>
      <c r="AC30" s="258"/>
      <c r="AD30" s="258"/>
      <c r="AE30" s="258"/>
      <c r="AF30" s="258"/>
      <c r="AG30" s="258"/>
      <c r="AH30" s="258"/>
      <c r="AI30" s="258"/>
      <c r="AJ30" s="258"/>
      <c r="AK30" s="258"/>
      <c r="AL30" s="258"/>
      <c r="AM30" s="258"/>
      <c r="AN30" s="258"/>
      <c r="AO30" s="258"/>
      <c r="AP30" s="258"/>
      <c r="AQ30" s="258"/>
      <c r="AR30" s="258"/>
      <c r="AS30" s="258"/>
      <c r="AT30" s="258"/>
      <c r="AU30" s="258"/>
      <c r="AV30" s="258"/>
      <c r="AW30" s="258"/>
      <c r="AX30" s="258"/>
      <c r="AY30" s="258"/>
      <c r="AZ30" s="258"/>
      <c r="BA30" s="258"/>
      <c r="BB30" s="444"/>
      <c r="BI30" s="1080">
        <v>0</v>
      </c>
    </row>
    <row r="31" spans="1:61" s="1777" customFormat="1" ht="25.5" hidden="1" customHeight="1">
      <c r="A31" s="1293"/>
      <c r="B31" s="1293"/>
      <c r="C31" s="1293"/>
      <c r="D31" s="1293"/>
      <c r="E31" s="1293"/>
      <c r="F31" s="1293"/>
      <c r="G31" s="1293"/>
      <c r="H31" s="1293"/>
      <c r="I31" s="1293"/>
      <c r="J31" s="1293"/>
      <c r="K31" s="1293"/>
      <c r="L31" s="1294"/>
      <c r="M31" s="1293"/>
      <c r="N31" s="1293"/>
      <c r="O31" s="1293"/>
      <c r="P31" s="1293"/>
      <c r="Q31" s="1293"/>
      <c r="S31" s="2178" t="s">
        <v>42</v>
      </c>
      <c r="T31" s="2178"/>
      <c r="U31" s="1297"/>
      <c r="V31" s="2179" t="str">
        <f>IF(TITLE_NAME_OR_PR_CHANGE="",IF(TITLE_NAME_OR_PR="","",TITLE_NAME_OR_PR),TITLE_NAME_OR_PR_CHANGE)</f>
        <v/>
      </c>
      <c r="W31" s="2179"/>
      <c r="X31" s="2179"/>
      <c r="Y31" s="2179"/>
      <c r="Z31" s="2179"/>
      <c r="AA31" s="2179"/>
      <c r="AB31" s="2179"/>
      <c r="AC31" s="262"/>
      <c r="AD31" s="2179" t="str">
        <f>IF(TITLE_NAME_OR_PR_CHANGE="",IF(TITLE_NAME_OR_PR="","",TITLE_NAME_OR_PR),TITLE_NAME_OR_PR_CHANGE)</f>
        <v/>
      </c>
      <c r="AE31" s="2179"/>
      <c r="AF31" s="2179"/>
      <c r="AG31" s="2179"/>
      <c r="AH31" s="2179"/>
      <c r="AI31" s="2179"/>
      <c r="AJ31" s="2179"/>
      <c r="AK31" s="2179"/>
      <c r="AL31" s="2179"/>
      <c r="AM31" s="2179"/>
      <c r="AN31" s="2179"/>
      <c r="AO31" s="2179"/>
      <c r="AP31" s="2179"/>
      <c r="AQ31" s="2179"/>
      <c r="AR31" s="2179"/>
      <c r="AS31" s="2179"/>
      <c r="AT31" s="2179"/>
      <c r="AU31" s="2179"/>
      <c r="AV31" s="2179"/>
      <c r="AW31" s="2179"/>
      <c r="AX31" s="2179"/>
      <c r="AY31" s="2179"/>
      <c r="AZ31" s="2179"/>
      <c r="BA31" s="262"/>
      <c r="BB31" s="262"/>
      <c r="BC31" s="216"/>
      <c r="BD31" s="303"/>
      <c r="BE31" s="303"/>
      <c r="BF31" s="303"/>
      <c r="BG31" s="303"/>
      <c r="BH31" s="303"/>
      <c r="BI31" s="353">
        <v>0</v>
      </c>
    </row>
    <row r="32" spans="1:61" s="1777" customFormat="1" ht="18.75" hidden="1" customHeight="1">
      <c r="A32" s="1293"/>
      <c r="B32" s="1293"/>
      <c r="C32" s="1293"/>
      <c r="D32" s="1293"/>
      <c r="E32" s="1293"/>
      <c r="F32" s="1293"/>
      <c r="G32" s="1293"/>
      <c r="H32" s="1293"/>
      <c r="I32" s="1293"/>
      <c r="J32" s="1293"/>
      <c r="K32" s="1293"/>
      <c r="L32" s="1294"/>
      <c r="M32" s="1293"/>
      <c r="N32" s="1293"/>
      <c r="O32" s="1293"/>
      <c r="P32" s="1293"/>
      <c r="Q32" s="1293"/>
      <c r="S32" s="2178" t="s">
        <v>422</v>
      </c>
      <c r="T32" s="2178"/>
      <c r="U32" s="1297"/>
      <c r="V32" s="2188" t="str">
        <f>IF(TITLE_DATE_PR_CHANGE="",IF(TITLE_DATE_PR="","",TITLE_DATE_PR),TITLE_DATE_PR_CHANGE)</f>
        <v/>
      </c>
      <c r="W32" s="2188"/>
      <c r="X32" s="2188"/>
      <c r="Y32" s="2188"/>
      <c r="Z32" s="2188"/>
      <c r="AA32" s="2188"/>
      <c r="AB32" s="2188"/>
      <c r="AC32" s="262"/>
      <c r="AD32" s="2188" t="str">
        <f>IF(TITLE_DATE_PR_CHANGE="",IF(TITLE_DATE_PR="","",TITLE_DATE_PR),TITLE_DATE_PR_CHANGE)</f>
        <v/>
      </c>
      <c r="AE32" s="2188"/>
      <c r="AF32" s="2188"/>
      <c r="AG32" s="2188"/>
      <c r="AH32" s="2188"/>
      <c r="AI32" s="2188"/>
      <c r="AJ32" s="2188"/>
      <c r="AK32" s="2188"/>
      <c r="AL32" s="2188"/>
      <c r="AM32" s="2188"/>
      <c r="AN32" s="2188"/>
      <c r="AO32" s="2188"/>
      <c r="AP32" s="2188"/>
      <c r="AQ32" s="2188"/>
      <c r="AR32" s="2188"/>
      <c r="AS32" s="2188"/>
      <c r="AT32" s="2188"/>
      <c r="AU32" s="2188"/>
      <c r="AV32" s="2188"/>
      <c r="AW32" s="2188"/>
      <c r="AX32" s="2188"/>
      <c r="AY32" s="2188"/>
      <c r="AZ32" s="2188"/>
      <c r="BA32" s="262"/>
      <c r="BB32" s="262"/>
      <c r="BC32" s="216"/>
      <c r="BD32" s="303"/>
      <c r="BE32" s="303"/>
      <c r="BF32" s="303"/>
      <c r="BG32" s="303"/>
      <c r="BH32" s="303"/>
      <c r="BI32" s="353">
        <v>0</v>
      </c>
    </row>
    <row r="33" spans="1:61" s="1777" customFormat="1" ht="18.75" hidden="1" customHeight="1">
      <c r="A33" s="1293"/>
      <c r="B33" s="1293"/>
      <c r="C33" s="1293"/>
      <c r="D33" s="1293"/>
      <c r="E33" s="1293"/>
      <c r="F33" s="1293"/>
      <c r="G33" s="1293"/>
      <c r="H33" s="1293"/>
      <c r="I33" s="1293"/>
      <c r="J33" s="1293"/>
      <c r="K33" s="1293"/>
      <c r="L33" s="1294"/>
      <c r="M33" s="1293"/>
      <c r="N33" s="1293"/>
      <c r="O33" s="1293"/>
      <c r="P33" s="1293"/>
      <c r="Q33" s="1293"/>
      <c r="S33" s="2178" t="s">
        <v>423</v>
      </c>
      <c r="T33" s="2178"/>
      <c r="U33" s="1297"/>
      <c r="V33" s="2179" t="str">
        <f>IF(TITLE_NUMBER_PR_CHANGE="",IF(TITLE_NUMBER_PR="","",TITLE_NUMBER_PR),TITLE_NUMBER_PR_CHANGE)</f>
        <v/>
      </c>
      <c r="W33" s="2179"/>
      <c r="X33" s="2179"/>
      <c r="Y33" s="2179"/>
      <c r="Z33" s="2179"/>
      <c r="AA33" s="2179"/>
      <c r="AB33" s="2179"/>
      <c r="AC33" s="262"/>
      <c r="AD33" s="2179" t="str">
        <f>IF(TITLE_NUMBER_PR_CHANGE="",IF(TITLE_NUMBER_PR="","",TITLE_NUMBER_PR),TITLE_NUMBER_PR_CHANGE)</f>
        <v/>
      </c>
      <c r="AE33" s="2179"/>
      <c r="AF33" s="2179"/>
      <c r="AG33" s="2179"/>
      <c r="AH33" s="2179"/>
      <c r="AI33" s="2179"/>
      <c r="AJ33" s="2179"/>
      <c r="AK33" s="2179"/>
      <c r="AL33" s="2179"/>
      <c r="AM33" s="2179"/>
      <c r="AN33" s="2179"/>
      <c r="AO33" s="2179"/>
      <c r="AP33" s="2179"/>
      <c r="AQ33" s="2179"/>
      <c r="AR33" s="2179"/>
      <c r="AS33" s="2179"/>
      <c r="AT33" s="2179"/>
      <c r="AU33" s="2179"/>
      <c r="AV33" s="2179"/>
      <c r="AW33" s="2179"/>
      <c r="AX33" s="2179"/>
      <c r="AY33" s="2179"/>
      <c r="AZ33" s="2179"/>
      <c r="BA33" s="262"/>
      <c r="BB33" s="262"/>
      <c r="BC33" s="216"/>
      <c r="BD33" s="303"/>
      <c r="BE33" s="303"/>
      <c r="BF33" s="303"/>
      <c r="BG33" s="303"/>
      <c r="BH33" s="303"/>
      <c r="BI33" s="353">
        <v>0</v>
      </c>
    </row>
    <row r="34" spans="1:61" s="1777" customFormat="1" ht="18.75" hidden="1" customHeight="1">
      <c r="A34" s="1293"/>
      <c r="B34" s="1293"/>
      <c r="C34" s="1293"/>
      <c r="D34" s="1293"/>
      <c r="E34" s="1293"/>
      <c r="F34" s="1293"/>
      <c r="G34" s="1293"/>
      <c r="H34" s="1293"/>
      <c r="I34" s="1293"/>
      <c r="J34" s="1293"/>
      <c r="K34" s="1293"/>
      <c r="L34" s="1294"/>
      <c r="M34" s="1293"/>
      <c r="N34" s="1293"/>
      <c r="O34" s="1293"/>
      <c r="P34" s="1293"/>
      <c r="Q34" s="1293"/>
      <c r="S34" s="2178" t="s">
        <v>43</v>
      </c>
      <c r="T34" s="2178"/>
      <c r="U34" s="1297"/>
      <c r="V34" s="2179" t="str">
        <f>IF(TITLE_IST_PUB_CHANGE="",IF(TITLE_IST_PUB="","",TITLE_IST_PUB),TITLE_IST_PUB_CHANGE)</f>
        <v/>
      </c>
      <c r="W34" s="2179"/>
      <c r="X34" s="2179"/>
      <c r="Y34" s="2179"/>
      <c r="Z34" s="2179"/>
      <c r="AA34" s="2179"/>
      <c r="AB34" s="2179"/>
      <c r="AC34" s="262"/>
      <c r="AD34" s="2179" t="str">
        <f>IF(TITLE_IST_PUB_CHANGE="",IF(TITLE_IST_PUB="","",TITLE_IST_PUB),TITLE_IST_PUB_CHANGE)</f>
        <v/>
      </c>
      <c r="AE34" s="2179"/>
      <c r="AF34" s="2179"/>
      <c r="AG34" s="2179"/>
      <c r="AH34" s="2179"/>
      <c r="AI34" s="2179"/>
      <c r="AJ34" s="2179"/>
      <c r="AK34" s="2179"/>
      <c r="AL34" s="2179"/>
      <c r="AM34" s="2179"/>
      <c r="AN34" s="2179"/>
      <c r="AO34" s="2179"/>
      <c r="AP34" s="2179"/>
      <c r="AQ34" s="2179"/>
      <c r="AR34" s="2179"/>
      <c r="AS34" s="2179"/>
      <c r="AT34" s="2179"/>
      <c r="AU34" s="2179"/>
      <c r="AV34" s="2179"/>
      <c r="AW34" s="2179"/>
      <c r="AX34" s="2179"/>
      <c r="AY34" s="2179"/>
      <c r="AZ34" s="2179"/>
      <c r="BA34" s="262"/>
      <c r="BB34" s="262"/>
      <c r="BC34" s="216"/>
      <c r="BD34" s="303"/>
      <c r="BE34" s="303"/>
      <c r="BF34" s="303"/>
      <c r="BG34" s="303"/>
      <c r="BH34" s="303"/>
      <c r="BI34" s="353">
        <v>0</v>
      </c>
    </row>
    <row r="35" spans="1:61" ht="14.25" hidden="1" customHeight="1">
      <c r="Q35" s="227"/>
      <c r="R35" s="311"/>
      <c r="S35" s="1200"/>
      <c r="T35" s="298"/>
      <c r="U35" s="298"/>
      <c r="V35" s="258"/>
      <c r="W35" s="258"/>
      <c r="X35" s="258"/>
      <c r="Y35" s="258"/>
      <c r="Z35" s="258"/>
      <c r="AA35" s="258"/>
      <c r="AB35" s="258"/>
      <c r="AC35" s="258"/>
      <c r="AD35" s="258"/>
      <c r="AE35" s="258"/>
      <c r="AF35" s="258"/>
      <c r="AG35" s="258"/>
      <c r="AH35" s="258"/>
      <c r="AI35" s="258"/>
      <c r="AJ35" s="258"/>
      <c r="AK35" s="258"/>
      <c r="AL35" s="258"/>
      <c r="AM35" s="258"/>
      <c r="AN35" s="258"/>
      <c r="AO35" s="258"/>
      <c r="AP35" s="258"/>
      <c r="AQ35" s="258"/>
      <c r="AR35" s="258"/>
      <c r="AS35" s="258"/>
      <c r="AT35" s="258"/>
      <c r="AU35" s="258"/>
      <c r="AV35" s="258"/>
      <c r="AW35" s="258"/>
      <c r="AX35" s="258"/>
      <c r="AY35" s="258"/>
      <c r="AZ35" s="258"/>
      <c r="BA35" s="258"/>
      <c r="BB35" s="444"/>
      <c r="BI35" s="1080">
        <v>0</v>
      </c>
    </row>
    <row r="36" spans="1:61" s="1777" customFormat="1" ht="18.75" hidden="1" customHeight="1">
      <c r="A36" s="1293"/>
      <c r="B36" s="1293"/>
      <c r="C36" s="1293"/>
      <c r="D36" s="1293"/>
      <c r="E36" s="1293"/>
      <c r="F36" s="1293"/>
      <c r="G36" s="1293"/>
      <c r="H36" s="1293"/>
      <c r="I36" s="1293"/>
      <c r="J36" s="1293"/>
      <c r="K36" s="1293"/>
      <c r="L36" s="1294"/>
      <c r="M36" s="1293"/>
      <c r="N36" s="1293"/>
      <c r="O36" s="1293"/>
      <c r="P36" s="1293"/>
      <c r="Q36" s="1293"/>
      <c r="S36" s="2178" t="s">
        <v>422</v>
      </c>
      <c r="T36" s="2178"/>
      <c r="U36" s="1297"/>
      <c r="V36" s="2188" t="str">
        <f>IF(TITLE_DATE_PR_CHANGE="",IF(TITLE_DATE_PR="","",TITLE_DATE_PR),TITLE_DATE_PR_CHANGE)</f>
        <v/>
      </c>
      <c r="W36" s="2188"/>
      <c r="X36" s="2188"/>
      <c r="Y36" s="2188"/>
      <c r="Z36" s="2188"/>
      <c r="AA36" s="2188"/>
      <c r="AB36" s="2188"/>
      <c r="AC36" s="262"/>
      <c r="AD36" s="2188" t="str">
        <f>IF(TITLE_DATE_PR_CHANGE="",IF(TITLE_DATE_PR="","",TITLE_DATE_PR),TITLE_DATE_PR_CHANGE)</f>
        <v/>
      </c>
      <c r="AE36" s="2188"/>
      <c r="AF36" s="2188"/>
      <c r="AG36" s="2188"/>
      <c r="AH36" s="2188"/>
      <c r="AI36" s="2188"/>
      <c r="AJ36" s="2188"/>
      <c r="AK36" s="2188"/>
      <c r="AL36" s="2188"/>
      <c r="AM36" s="2188"/>
      <c r="AN36" s="2188"/>
      <c r="AO36" s="2188"/>
      <c r="AP36" s="2188"/>
      <c r="AQ36" s="2188"/>
      <c r="AR36" s="2188"/>
      <c r="AS36" s="2188"/>
      <c r="AT36" s="2188"/>
      <c r="AU36" s="2188"/>
      <c r="AV36" s="2188"/>
      <c r="AW36" s="2188"/>
      <c r="AX36" s="2188"/>
      <c r="AY36" s="2188"/>
      <c r="AZ36" s="2188"/>
      <c r="BA36" s="262"/>
      <c r="BB36" s="262"/>
      <c r="BC36" s="216"/>
      <c r="BD36" s="303"/>
      <c r="BE36" s="303"/>
      <c r="BF36" s="303"/>
      <c r="BG36" s="303"/>
      <c r="BH36" s="303"/>
      <c r="BI36" s="353">
        <v>0</v>
      </c>
    </row>
    <row r="37" spans="1:61" s="1777" customFormat="1" ht="18.75" hidden="1" customHeight="1">
      <c r="A37" s="1293"/>
      <c r="B37" s="1293"/>
      <c r="C37" s="1293"/>
      <c r="D37" s="1293"/>
      <c r="E37" s="1293"/>
      <c r="F37" s="1293"/>
      <c r="G37" s="1293"/>
      <c r="H37" s="1293"/>
      <c r="I37" s="1293"/>
      <c r="J37" s="1293"/>
      <c r="K37" s="1293"/>
      <c r="L37" s="1294"/>
      <c r="M37" s="1293"/>
      <c r="N37" s="1293"/>
      <c r="O37" s="1293"/>
      <c r="P37" s="1293"/>
      <c r="Q37" s="1293"/>
      <c r="S37" s="2178" t="s">
        <v>423</v>
      </c>
      <c r="T37" s="2178"/>
      <c r="U37" s="1297"/>
      <c r="V37" s="2179" t="str">
        <f>IF(TITLE_NUMBER_PR_CHANGE="",IF(TITLE_NUMBER_PR="","",TITLE_NUMBER_PR),TITLE_NUMBER_PR_CHANGE)</f>
        <v/>
      </c>
      <c r="W37" s="2179"/>
      <c r="X37" s="2179"/>
      <c r="Y37" s="2179"/>
      <c r="Z37" s="2179"/>
      <c r="AA37" s="2179"/>
      <c r="AB37" s="2179"/>
      <c r="AC37" s="262"/>
      <c r="AD37" s="2179" t="str">
        <f>IF(TITLE_NUMBER_PR_CHANGE="",IF(TITLE_NUMBER_PR="","",TITLE_NUMBER_PR),TITLE_NUMBER_PR_CHANGE)</f>
        <v/>
      </c>
      <c r="AE37" s="2179"/>
      <c r="AF37" s="2179"/>
      <c r="AG37" s="2179"/>
      <c r="AH37" s="2179"/>
      <c r="AI37" s="2179"/>
      <c r="AJ37" s="2179"/>
      <c r="AK37" s="2179"/>
      <c r="AL37" s="2179"/>
      <c r="AM37" s="2179"/>
      <c r="AN37" s="2179"/>
      <c r="AO37" s="2179"/>
      <c r="AP37" s="2179"/>
      <c r="AQ37" s="2179"/>
      <c r="AR37" s="2179"/>
      <c r="AS37" s="2179"/>
      <c r="AT37" s="2179"/>
      <c r="AU37" s="2179"/>
      <c r="AV37" s="2179"/>
      <c r="AW37" s="2179"/>
      <c r="AX37" s="2179"/>
      <c r="AY37" s="2179"/>
      <c r="AZ37" s="2179"/>
      <c r="BA37" s="262"/>
      <c r="BB37" s="262"/>
      <c r="BC37" s="216"/>
      <c r="BD37" s="303"/>
      <c r="BE37" s="303"/>
      <c r="BF37" s="303"/>
      <c r="BG37" s="303"/>
      <c r="BH37" s="303"/>
      <c r="BI37" s="353">
        <v>0</v>
      </c>
    </row>
    <row r="38" spans="1:61" s="1777" customFormat="1" ht="0" hidden="1" customHeight="1">
      <c r="A38" s="1293"/>
      <c r="B38" s="1293"/>
      <c r="C38" s="1293"/>
      <c r="D38" s="1293"/>
      <c r="E38" s="1293"/>
      <c r="F38" s="1293"/>
      <c r="G38" s="1293"/>
      <c r="H38" s="1293"/>
      <c r="I38" s="1293"/>
      <c r="J38" s="1293"/>
      <c r="K38" s="1293"/>
      <c r="L38" s="1294"/>
      <c r="M38" s="1293"/>
      <c r="N38" s="1293"/>
      <c r="O38" s="1293"/>
      <c r="P38" s="1293"/>
      <c r="Q38" s="1293"/>
      <c r="S38" s="259"/>
      <c r="T38" s="259"/>
      <c r="U38" s="1413"/>
      <c r="V38" s="262"/>
      <c r="W38" s="262"/>
      <c r="X38" s="262"/>
      <c r="Y38" s="262"/>
      <c r="Z38" s="262"/>
      <c r="AA38" s="262"/>
      <c r="AB38" s="262"/>
      <c r="AC38" s="214" t="s">
        <v>426</v>
      </c>
      <c r="AD38" s="262"/>
      <c r="AE38" s="262"/>
      <c r="AF38" s="262"/>
      <c r="AG38" s="262"/>
      <c r="AH38" s="262"/>
      <c r="AI38" s="262"/>
      <c r="AJ38" s="262"/>
      <c r="AK38" s="262"/>
      <c r="AL38" s="262"/>
      <c r="AM38" s="262"/>
      <c r="AN38" s="262"/>
      <c r="AO38" s="262"/>
      <c r="AP38" s="262"/>
      <c r="AQ38" s="262"/>
      <c r="AR38" s="262"/>
      <c r="AS38" s="262"/>
      <c r="AT38" s="262"/>
      <c r="AU38" s="262"/>
      <c r="AV38" s="262"/>
      <c r="AW38" s="262"/>
      <c r="AX38" s="262"/>
      <c r="AY38" s="262"/>
      <c r="AZ38" s="262"/>
      <c r="BA38" s="214" t="s">
        <v>426</v>
      </c>
      <c r="BD38" s="303"/>
      <c r="BE38" s="303"/>
      <c r="BF38" s="303"/>
      <c r="BG38" s="303"/>
      <c r="BH38" s="303"/>
      <c r="BI38" s="353">
        <v>0</v>
      </c>
    </row>
    <row r="39" spans="1:61" ht="14.65" customHeight="1">
      <c r="Q39" s="227"/>
      <c r="R39" s="311"/>
      <c r="S39" s="1200"/>
      <c r="T39" s="298"/>
      <c r="U39" s="1169"/>
      <c r="V39" s="2180"/>
      <c r="W39" s="2180"/>
      <c r="X39" s="2180"/>
      <c r="Y39" s="2180"/>
      <c r="Z39" s="2180"/>
      <c r="AA39" s="2180"/>
      <c r="AB39" s="2180"/>
      <c r="AC39" s="2180"/>
      <c r="AD39" s="2180"/>
      <c r="AE39" s="2180"/>
      <c r="AF39" s="2180"/>
      <c r="AG39" s="2180"/>
      <c r="AH39" s="2180"/>
      <c r="AI39" s="2180"/>
      <c r="AJ39" s="2180"/>
      <c r="AK39" s="2180"/>
      <c r="AL39" s="2180"/>
      <c r="AM39" s="2180"/>
      <c r="AN39" s="2180"/>
      <c r="AO39" s="2180"/>
      <c r="AP39" s="2180"/>
      <c r="AQ39" s="2180"/>
      <c r="AR39" s="2180"/>
      <c r="AS39" s="2180"/>
      <c r="AT39" s="2180"/>
      <c r="AU39" s="2180"/>
      <c r="AV39" s="2180"/>
      <c r="AW39" s="2180"/>
      <c r="AX39" s="2180"/>
      <c r="AY39" s="2180"/>
      <c r="AZ39" s="2180"/>
      <c r="BA39" s="2180"/>
      <c r="BI39" s="1080">
        <v>14</v>
      </c>
    </row>
    <row r="40" spans="1:61" ht="14.65" customHeight="1">
      <c r="Q40" s="227"/>
      <c r="R40" s="311"/>
      <c r="S40" s="2066" t="s">
        <v>299</v>
      </c>
      <c r="T40" s="2066"/>
      <c r="U40" s="2066"/>
      <c r="V40" s="2066"/>
      <c r="W40" s="2066"/>
      <c r="X40" s="2066"/>
      <c r="Y40" s="2066"/>
      <c r="Z40" s="2066"/>
      <c r="AA40" s="2066"/>
      <c r="AB40" s="2066"/>
      <c r="AC40" s="2066"/>
      <c r="AD40" s="2066"/>
      <c r="AE40" s="2066"/>
      <c r="AF40" s="2066"/>
      <c r="AG40" s="2066"/>
      <c r="AH40" s="2066"/>
      <c r="AI40" s="2066"/>
      <c r="AJ40" s="2066"/>
      <c r="AK40" s="2066"/>
      <c r="AL40" s="2066"/>
      <c r="AM40" s="2066"/>
      <c r="AN40" s="2066"/>
      <c r="AO40" s="2066"/>
      <c r="AP40" s="2066"/>
      <c r="AQ40" s="2066"/>
      <c r="AR40" s="2066"/>
      <c r="AS40" s="2066"/>
      <c r="AT40" s="2066"/>
      <c r="AU40" s="2066"/>
      <c r="AV40" s="2066"/>
      <c r="AW40" s="2066"/>
      <c r="AX40" s="2066"/>
      <c r="AY40" s="2066"/>
      <c r="AZ40" s="2066"/>
      <c r="BA40" s="2066"/>
      <c r="BB40" s="2066"/>
      <c r="BC40" s="2066" t="s">
        <v>300</v>
      </c>
      <c r="BI40" s="1080">
        <v>14</v>
      </c>
    </row>
    <row r="41" spans="1:61" ht="14.65" customHeight="1">
      <c r="Q41" s="227"/>
      <c r="R41" s="311"/>
      <c r="S41" s="2194" t="s">
        <v>88</v>
      </c>
      <c r="T41" s="2145" t="s">
        <v>506</v>
      </c>
      <c r="U41" s="237"/>
      <c r="V41" s="2195" t="s">
        <v>428</v>
      </c>
      <c r="W41" s="2196"/>
      <c r="X41" s="2196"/>
      <c r="Y41" s="2196"/>
      <c r="Z41" s="2196"/>
      <c r="AA41" s="2196"/>
      <c r="AB41" s="2197"/>
      <c r="AC41" s="2198" t="s">
        <v>429</v>
      </c>
      <c r="AD41" s="2231" t="s">
        <v>507</v>
      </c>
      <c r="AE41" s="2212"/>
      <c r="AF41" s="2212"/>
      <c r="AG41" s="2232"/>
      <c r="AH41" s="2231" t="s">
        <v>508</v>
      </c>
      <c r="AI41" s="2212"/>
      <c r="AJ41" s="2212"/>
      <c r="AK41" s="2232"/>
      <c r="AL41" s="2231" t="s">
        <v>509</v>
      </c>
      <c r="AM41" s="2212"/>
      <c r="AN41" s="2212"/>
      <c r="AO41" s="2232"/>
      <c r="AP41" s="2231" t="s">
        <v>510</v>
      </c>
      <c r="AQ41" s="2212"/>
      <c r="AR41" s="2212"/>
      <c r="AS41" s="2232"/>
      <c r="AT41" s="2195" t="s">
        <v>428</v>
      </c>
      <c r="AU41" s="2196"/>
      <c r="AV41" s="2196"/>
      <c r="AW41" s="2196"/>
      <c r="AX41" s="2196"/>
      <c r="AY41" s="2196"/>
      <c r="AZ41" s="2197"/>
      <c r="BA41" s="2198" t="s">
        <v>429</v>
      </c>
      <c r="BB41" s="2201" t="s">
        <v>431</v>
      </c>
      <c r="BC41" s="2066"/>
      <c r="BI41" s="1080">
        <v>14</v>
      </c>
    </row>
    <row r="42" spans="1:61" ht="35.65" customHeight="1">
      <c r="Q42" s="227"/>
      <c r="R42" s="311"/>
      <c r="S42" s="2194"/>
      <c r="T42" s="2145"/>
      <c r="U42" s="959"/>
      <c r="V42" s="2131" t="s">
        <v>511</v>
      </c>
      <c r="W42" s="2132"/>
      <c r="X42" s="2131" t="s">
        <v>512</v>
      </c>
      <c r="Y42" s="2132"/>
      <c r="Z42" s="2131" t="s">
        <v>513</v>
      </c>
      <c r="AA42" s="2226"/>
      <c r="AB42" s="2132"/>
      <c r="AC42" s="2199"/>
      <c r="AD42" s="2233"/>
      <c r="AE42" s="2234"/>
      <c r="AF42" s="2234"/>
      <c r="AG42" s="2235"/>
      <c r="AH42" s="2233"/>
      <c r="AI42" s="2234"/>
      <c r="AJ42" s="2234"/>
      <c r="AK42" s="2235"/>
      <c r="AL42" s="2233"/>
      <c r="AM42" s="2234"/>
      <c r="AN42" s="2234"/>
      <c r="AO42" s="2235"/>
      <c r="AP42" s="2233"/>
      <c r="AQ42" s="2234"/>
      <c r="AR42" s="2234"/>
      <c r="AS42" s="2235"/>
      <c r="AT42" s="2131" t="s">
        <v>511</v>
      </c>
      <c r="AU42" s="2132"/>
      <c r="AV42" s="2131" t="s">
        <v>512</v>
      </c>
      <c r="AW42" s="2132"/>
      <c r="AX42" s="2131" t="s">
        <v>513</v>
      </c>
      <c r="AY42" s="2226"/>
      <c r="AZ42" s="2132"/>
      <c r="BA42" s="2199"/>
      <c r="BB42" s="2202"/>
      <c r="BC42" s="2066"/>
      <c r="BI42" s="1080">
        <v>34</v>
      </c>
    </row>
    <row r="43" spans="1:61" ht="14.65" customHeight="1">
      <c r="Q43" s="227"/>
      <c r="R43" s="311"/>
      <c r="S43" s="2194"/>
      <c r="T43" s="2145"/>
      <c r="U43" s="959"/>
      <c r="V43" s="2136"/>
      <c r="W43" s="2137"/>
      <c r="X43" s="2136"/>
      <c r="Y43" s="2137"/>
      <c r="Z43" s="2136"/>
      <c r="AA43" s="2227"/>
      <c r="AB43" s="2137"/>
      <c r="AC43" s="2199"/>
      <c r="AD43" s="2233"/>
      <c r="AE43" s="2234"/>
      <c r="AF43" s="2234"/>
      <c r="AG43" s="2235"/>
      <c r="AH43" s="2233"/>
      <c r="AI43" s="2234"/>
      <c r="AJ43" s="2234"/>
      <c r="AK43" s="2235"/>
      <c r="AL43" s="2233"/>
      <c r="AM43" s="2234"/>
      <c r="AN43" s="2234"/>
      <c r="AO43" s="2235"/>
      <c r="AP43" s="2233"/>
      <c r="AQ43" s="2234"/>
      <c r="AR43" s="2234"/>
      <c r="AS43" s="2235"/>
      <c r="AT43" s="2136"/>
      <c r="AU43" s="2137"/>
      <c r="AV43" s="2136"/>
      <c r="AW43" s="2137"/>
      <c r="AX43" s="2136"/>
      <c r="AY43" s="2227"/>
      <c r="AZ43" s="2137"/>
      <c r="BA43" s="2199"/>
      <c r="BB43" s="2202"/>
      <c r="BC43" s="2066"/>
      <c r="BI43" s="1080">
        <v>14</v>
      </c>
    </row>
    <row r="44" spans="1:61" ht="14.65" customHeight="1">
      <c r="A44" s="1295"/>
      <c r="B44" s="1295" t="s">
        <v>136</v>
      </c>
      <c r="C44" s="1295" t="s">
        <v>137</v>
      </c>
      <c r="D44" s="1295" t="s">
        <v>138</v>
      </c>
      <c r="E44" s="1289" t="s">
        <v>436</v>
      </c>
      <c r="F44" s="1289" t="s">
        <v>437</v>
      </c>
      <c r="G44" s="1289" t="s">
        <v>438</v>
      </c>
      <c r="H44" s="1289" t="s">
        <v>439</v>
      </c>
      <c r="I44" s="1289" t="s">
        <v>440</v>
      </c>
      <c r="J44" s="1289" t="s">
        <v>441</v>
      </c>
      <c r="K44" s="1289" t="s">
        <v>442</v>
      </c>
      <c r="L44" s="1289" t="s">
        <v>417</v>
      </c>
      <c r="Q44" s="227"/>
      <c r="R44" s="311"/>
      <c r="S44" s="2194"/>
      <c r="T44" s="2145"/>
      <c r="U44" s="238"/>
      <c r="V44" s="1404" t="s">
        <v>477</v>
      </c>
      <c r="W44" s="1404" t="s">
        <v>478</v>
      </c>
      <c r="X44" s="1404" t="s">
        <v>477</v>
      </c>
      <c r="Y44" s="1404" t="s">
        <v>478</v>
      </c>
      <c r="Z44" s="1414" t="s">
        <v>445</v>
      </c>
      <c r="AA44" s="2154" t="s">
        <v>446</v>
      </c>
      <c r="AB44" s="2156"/>
      <c r="AC44" s="2200"/>
      <c r="AD44" s="2236"/>
      <c r="AE44" s="2237"/>
      <c r="AF44" s="2237"/>
      <c r="AG44" s="2238"/>
      <c r="AH44" s="2236"/>
      <c r="AI44" s="2237"/>
      <c r="AJ44" s="2237"/>
      <c r="AK44" s="2238"/>
      <c r="AL44" s="2236"/>
      <c r="AM44" s="2237"/>
      <c r="AN44" s="2237"/>
      <c r="AO44" s="2238"/>
      <c r="AP44" s="2236"/>
      <c r="AQ44" s="2237"/>
      <c r="AR44" s="2237"/>
      <c r="AS44" s="2238"/>
      <c r="AT44" s="1404" t="s">
        <v>477</v>
      </c>
      <c r="AU44" s="1404" t="s">
        <v>478</v>
      </c>
      <c r="AV44" s="1404" t="s">
        <v>477</v>
      </c>
      <c r="AW44" s="1404" t="s">
        <v>478</v>
      </c>
      <c r="AX44" s="1414" t="s">
        <v>445</v>
      </c>
      <c r="AY44" s="2154" t="s">
        <v>446</v>
      </c>
      <c r="AZ44" s="2156"/>
      <c r="BA44" s="2200"/>
      <c r="BB44" s="2203"/>
      <c r="BC44" s="2066"/>
      <c r="BI44" s="1080">
        <v>14</v>
      </c>
    </row>
    <row r="45" spans="1:61" s="1566" customFormat="1" ht="0" hidden="1" customHeight="1">
      <c r="A45" s="1295"/>
      <c r="B45" s="1295"/>
      <c r="C45" s="1295"/>
      <c r="D45" s="1295"/>
      <c r="E45" s="1295"/>
      <c r="F45" s="1295"/>
      <c r="G45" s="1295"/>
      <c r="H45" s="1295"/>
      <c r="I45" s="1295"/>
      <c r="J45" s="1295"/>
      <c r="K45" s="1295"/>
      <c r="L45" s="1289"/>
      <c r="M45" s="1287"/>
      <c r="N45" s="1287"/>
      <c r="O45" s="1287"/>
      <c r="P45" s="445"/>
      <c r="Q45" s="1179"/>
      <c r="R45" s="1179">
        <v>1</v>
      </c>
      <c r="S45" s="1202" t="s">
        <v>109</v>
      </c>
      <c r="T45" s="1180" t="s">
        <v>110</v>
      </c>
      <c r="U45" s="1170" t="str">
        <f ca="1">OFFSET(U45,0,-1)</f>
        <v>2</v>
      </c>
      <c r="V45" s="1407">
        <f t="shared" ref="V45:AA45" ca="1" si="2">OFFSET(V45,0,-1)+1</f>
        <v>3</v>
      </c>
      <c r="W45" s="1407">
        <f t="shared" ca="1" si="2"/>
        <v>4</v>
      </c>
      <c r="X45" s="1407">
        <f t="shared" ca="1" si="2"/>
        <v>5</v>
      </c>
      <c r="Y45" s="1407">
        <f t="shared" ca="1" si="2"/>
        <v>6</v>
      </c>
      <c r="Z45" s="1407">
        <f t="shared" ca="1" si="2"/>
        <v>7</v>
      </c>
      <c r="AA45" s="2193">
        <f t="shared" ca="1" si="2"/>
        <v>8</v>
      </c>
      <c r="AB45" s="2193"/>
      <c r="AC45" s="1407">
        <f ca="1">OFFSET(AC45,0,-2)+1</f>
        <v>9</v>
      </c>
      <c r="AD45" s="1407">
        <f ca="1">OFFSET(AD45,0,-1)+1</f>
        <v>10</v>
      </c>
      <c r="AE45" s="1407"/>
      <c r="AF45" s="1407"/>
      <c r="AG45" s="1407"/>
      <c r="AH45" s="1407"/>
      <c r="AI45" s="1407"/>
      <c r="AJ45" s="1407"/>
      <c r="AK45" s="1407"/>
      <c r="AL45" s="1407"/>
      <c r="AM45" s="1407"/>
      <c r="AN45" s="1407"/>
      <c r="AO45" s="1407"/>
      <c r="AP45" s="1407"/>
      <c r="AQ45" s="1407"/>
      <c r="AR45" s="1407"/>
      <c r="AS45" s="1407"/>
      <c r="AT45" s="1407"/>
      <c r="AU45" s="1407"/>
      <c r="AV45" s="1407"/>
      <c r="AW45" s="1407">
        <f ca="1">OFFSET(AW45,0,-1)+1</f>
        <v>1</v>
      </c>
      <c r="AX45" s="1407">
        <f ca="1">OFFSET(AX45,0,-1)+1</f>
        <v>2</v>
      </c>
      <c r="AY45" s="2193">
        <f ca="1">OFFSET(AY45,0,-1)+1</f>
        <v>3</v>
      </c>
      <c r="AZ45" s="2193"/>
      <c r="BA45" s="1407">
        <f ca="1">OFFSET(BA45,0,-2)+1</f>
        <v>4</v>
      </c>
      <c r="BB45" s="1170">
        <f ca="1">OFFSET(BB45,0,-1)</f>
        <v>4</v>
      </c>
      <c r="BC45" s="1407">
        <f ca="1">OFFSET(BC45,0,-1)+1</f>
        <v>5</v>
      </c>
      <c r="BD45" s="446"/>
      <c r="BE45" s="446"/>
      <c r="BF45" s="446"/>
      <c r="BG45" s="446"/>
      <c r="BH45" s="446"/>
      <c r="BI45" s="431">
        <v>0</v>
      </c>
    </row>
    <row r="46" spans="1:61" ht="21.95" customHeight="1">
      <c r="A46" s="1288" t="s">
        <v>260</v>
      </c>
      <c r="B46" s="1288"/>
      <c r="C46" s="1288"/>
      <c r="D46" s="1288"/>
      <c r="E46" s="2186">
        <v>1</v>
      </c>
      <c r="F46" s="1288"/>
      <c r="G46" s="1288"/>
      <c r="H46" s="1288"/>
      <c r="I46" s="1288"/>
      <c r="J46" s="1288"/>
      <c r="K46" s="1288"/>
      <c r="L46" s="1289"/>
      <c r="M46" s="1290"/>
      <c r="N46" s="1290"/>
      <c r="O46" s="1290"/>
      <c r="P46" s="1334"/>
      <c r="Q46" s="802"/>
      <c r="R46" s="290"/>
      <c r="S46" s="1418">
        <f>INDEX(PT_DIFFERENTIATION_NUM_NTAR,MATCH(A46,PT_DIFFERENTIATION_NTAR_ID,0))</f>
        <v>0</v>
      </c>
      <c r="T46" s="234" t="s">
        <v>124</v>
      </c>
      <c r="U46" s="236"/>
      <c r="V46" s="2173"/>
      <c r="W46" s="2173"/>
      <c r="X46" s="2173"/>
      <c r="Y46" s="2173"/>
      <c r="Z46" s="2173"/>
      <c r="AA46" s="2173"/>
      <c r="AB46" s="2173"/>
      <c r="AC46" s="2174"/>
      <c r="AD46" s="2172" t="str">
        <f>INDEX(PT_DIFFERENTIATION_NTAR,MATCH(A46,PT_DIFFERENTIATION_NTAR_ID,0))</f>
        <v/>
      </c>
      <c r="AE46" s="2173"/>
      <c r="AF46" s="2173"/>
      <c r="AG46" s="2173"/>
      <c r="AH46" s="2173"/>
      <c r="AI46" s="2173"/>
      <c r="AJ46" s="2173"/>
      <c r="AK46" s="2173"/>
      <c r="AL46" s="2173"/>
      <c r="AM46" s="2173"/>
      <c r="AN46" s="2173"/>
      <c r="AO46" s="2173"/>
      <c r="AP46" s="2173"/>
      <c r="AQ46" s="2173"/>
      <c r="AR46" s="2173"/>
      <c r="AS46" s="2173"/>
      <c r="AT46" s="2173"/>
      <c r="AU46" s="2173"/>
      <c r="AV46" s="2173"/>
      <c r="AW46" s="2173"/>
      <c r="AX46" s="2173"/>
      <c r="AY46" s="2173"/>
      <c r="AZ46" s="2173"/>
      <c r="BA46" s="2173"/>
      <c r="BB46" s="2174"/>
      <c r="BC46" s="1183"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BE46" s="435"/>
      <c r="BF46" s="435" t="str">
        <f t="shared" ref="BF46:BF52" si="3">IF(T46="","",T46)</f>
        <v>Наименование тарифа</v>
      </c>
      <c r="BG46" s="435"/>
      <c r="BH46" s="435"/>
      <c r="BI46" s="1080">
        <v>21</v>
      </c>
    </row>
    <row r="47" spans="1:61" ht="21.95" customHeight="1">
      <c r="A47" s="1288" t="s">
        <v>260</v>
      </c>
      <c r="B47" s="1288" t="s">
        <v>261</v>
      </c>
      <c r="C47" s="1288"/>
      <c r="D47" s="1288"/>
      <c r="E47" s="2187"/>
      <c r="F47" s="2186">
        <v>1</v>
      </c>
      <c r="G47" s="1288"/>
      <c r="H47" s="1288"/>
      <c r="I47" s="1288"/>
      <c r="J47" s="1288"/>
      <c r="K47" s="1288"/>
      <c r="L47" s="1289"/>
      <c r="M47" s="1290"/>
      <c r="N47" s="1290"/>
      <c r="O47" s="1290"/>
      <c r="P47" s="1335"/>
      <c r="Q47" s="1336"/>
      <c r="R47" s="288"/>
      <c r="S47" s="1418" t="str">
        <f>INDEX(PT_DIFFERENTIATION_NUM_TER,MATCH(B47,PT_DIFFERENTIATION_TER_ID,0))</f>
        <v>.</v>
      </c>
      <c r="T47" s="244" t="s">
        <v>396</v>
      </c>
      <c r="U47" s="236"/>
      <c r="V47" s="2173"/>
      <c r="W47" s="2173"/>
      <c r="X47" s="2173"/>
      <c r="Y47" s="2173"/>
      <c r="Z47" s="2173"/>
      <c r="AA47" s="2173"/>
      <c r="AB47" s="2173"/>
      <c r="AC47" s="2174"/>
      <c r="AD47" s="2172" t="str">
        <f>INDEX(PT_DIFFERENTIATION_TER,MATCH(B47,PT_DIFFERENTIATION_TER_ID,0))</f>
        <v/>
      </c>
      <c r="AE47" s="2173"/>
      <c r="AF47" s="2173"/>
      <c r="AG47" s="2173"/>
      <c r="AH47" s="2173"/>
      <c r="AI47" s="2173"/>
      <c r="AJ47" s="2173"/>
      <c r="AK47" s="2173"/>
      <c r="AL47" s="2173"/>
      <c r="AM47" s="2173"/>
      <c r="AN47" s="2173"/>
      <c r="AO47" s="2173"/>
      <c r="AP47" s="2173"/>
      <c r="AQ47" s="2173"/>
      <c r="AR47" s="2173"/>
      <c r="AS47" s="2173"/>
      <c r="AT47" s="2173"/>
      <c r="AU47" s="2173"/>
      <c r="AV47" s="2173"/>
      <c r="AW47" s="2173"/>
      <c r="AX47" s="2173"/>
      <c r="AY47" s="2173"/>
      <c r="AZ47" s="2173"/>
      <c r="BA47" s="2173"/>
      <c r="BB47" s="2174"/>
      <c r="BC47" s="1183" t="s">
        <v>397</v>
      </c>
      <c r="BE47" s="435"/>
      <c r="BF47" s="435" t="str">
        <f t="shared" si="3"/>
        <v>Территория действия тарифа</v>
      </c>
      <c r="BG47" s="435"/>
      <c r="BH47" s="435"/>
      <c r="BI47" s="1080">
        <v>21</v>
      </c>
    </row>
    <row r="48" spans="1:61" ht="35.65" customHeight="1">
      <c r="A48" s="1288" t="s">
        <v>260</v>
      </c>
      <c r="B48" s="1288" t="s">
        <v>261</v>
      </c>
      <c r="C48" s="1288" t="s">
        <v>262</v>
      </c>
      <c r="D48" s="1288"/>
      <c r="E48" s="2187"/>
      <c r="F48" s="2187"/>
      <c r="G48" s="2186">
        <v>1</v>
      </c>
      <c r="H48" s="1288"/>
      <c r="I48" s="1288"/>
      <c r="J48" s="1288"/>
      <c r="K48" s="1288"/>
      <c r="L48" s="1289"/>
      <c r="M48" s="1290"/>
      <c r="N48" s="1290"/>
      <c r="O48" s="1290"/>
      <c r="P48" s="1337"/>
      <c r="Q48" s="1336"/>
      <c r="R48" s="288"/>
      <c r="S48" s="1418" t="str">
        <f>INDEX(PT_DIFFERENTIATION_NUM_CS,MATCH(C48,PT_DIFFERENTIATION_CS_ID,0))</f>
        <v>..</v>
      </c>
      <c r="T48" s="245" t="s">
        <v>529</v>
      </c>
      <c r="U48" s="236"/>
      <c r="V48" s="2173"/>
      <c r="W48" s="2173"/>
      <c r="X48" s="2173"/>
      <c r="Y48" s="2173"/>
      <c r="Z48" s="2173"/>
      <c r="AA48" s="2173"/>
      <c r="AB48" s="2173"/>
      <c r="AC48" s="2174"/>
      <c r="AD48" s="2172" t="str">
        <f>INDEX(PT_DIFFERENTIATION_CS,MATCH(C48,PT_DIFFERENTIATION_CS_ID,0))</f>
        <v/>
      </c>
      <c r="AE48" s="2173"/>
      <c r="AF48" s="2173"/>
      <c r="AG48" s="2173"/>
      <c r="AH48" s="2173"/>
      <c r="AI48" s="2173"/>
      <c r="AJ48" s="2173"/>
      <c r="AK48" s="2173"/>
      <c r="AL48" s="2173"/>
      <c r="AM48" s="2173"/>
      <c r="AN48" s="2173"/>
      <c r="AO48" s="2173"/>
      <c r="AP48" s="2173"/>
      <c r="AQ48" s="2173"/>
      <c r="AR48" s="2173"/>
      <c r="AS48" s="2173"/>
      <c r="AT48" s="2173"/>
      <c r="AU48" s="2173"/>
      <c r="AV48" s="2173"/>
      <c r="AW48" s="2173"/>
      <c r="AX48" s="2173"/>
      <c r="AY48" s="2173"/>
      <c r="AZ48" s="2173"/>
      <c r="BA48" s="2173"/>
      <c r="BB48" s="2174"/>
      <c r="BC48" s="1183" t="s">
        <v>530</v>
      </c>
      <c r="BE48" s="435"/>
      <c r="BF48" s="435" t="str">
        <f t="shared" si="3"/>
        <v>Наименование централизованной системы горячего водоснабжения</v>
      </c>
      <c r="BG48" s="435"/>
      <c r="BH48" s="435"/>
      <c r="BI48" s="1080">
        <v>34</v>
      </c>
    </row>
    <row r="49" spans="1:61" s="1567" customFormat="1" ht="0" hidden="1" customHeight="1">
      <c r="A49" s="1268" t="s">
        <v>260</v>
      </c>
      <c r="B49" s="1268" t="s">
        <v>261</v>
      </c>
      <c r="C49" s="1268" t="s">
        <v>262</v>
      </c>
      <c r="D49" s="1268" t="s">
        <v>543</v>
      </c>
      <c r="E49" s="2187"/>
      <c r="F49" s="2187"/>
      <c r="G49" s="2187"/>
      <c r="H49" s="2186">
        <v>1</v>
      </c>
      <c r="I49" s="1268"/>
      <c r="J49" s="1268"/>
      <c r="K49" s="1268"/>
      <c r="L49" s="1271"/>
      <c r="M49" s="1240"/>
      <c r="N49" s="1240"/>
      <c r="O49" s="1240"/>
      <c r="P49" s="1422"/>
      <c r="Q49" s="1423"/>
      <c r="R49" s="292"/>
      <c r="S49" s="970"/>
      <c r="T49" s="1424"/>
      <c r="U49" s="1309"/>
      <c r="V49" s="2216"/>
      <c r="W49" s="2216"/>
      <c r="X49" s="2216"/>
      <c r="Y49" s="2216"/>
      <c r="Z49" s="2216"/>
      <c r="AA49" s="2216"/>
      <c r="AB49" s="2216"/>
      <c r="AC49" s="2217"/>
      <c r="AD49" s="2215"/>
      <c r="AE49" s="2216"/>
      <c r="AF49" s="2216"/>
      <c r="AG49" s="2216"/>
      <c r="AH49" s="2216"/>
      <c r="AI49" s="2216"/>
      <c r="AJ49" s="2216"/>
      <c r="AK49" s="2216"/>
      <c r="AL49" s="2216"/>
      <c r="AM49" s="2216"/>
      <c r="AN49" s="2216"/>
      <c r="AO49" s="2216"/>
      <c r="AP49" s="2216"/>
      <c r="AQ49" s="2216"/>
      <c r="AR49" s="2216"/>
      <c r="AS49" s="2216"/>
      <c r="AT49" s="2216"/>
      <c r="AU49" s="2216"/>
      <c r="AV49" s="2216"/>
      <c r="AW49" s="2216"/>
      <c r="AX49" s="2216"/>
      <c r="AY49" s="2216"/>
      <c r="AZ49" s="2216"/>
      <c r="BA49" s="2216"/>
      <c r="BB49" s="2217"/>
      <c r="BC49" s="1310" t="s">
        <v>401</v>
      </c>
      <c r="BE49" s="435"/>
      <c r="BF49" s="435" t="str">
        <f t="shared" si="3"/>
        <v/>
      </c>
      <c r="BG49" s="435"/>
      <c r="BH49" s="435"/>
      <c r="BI49" s="446">
        <v>0</v>
      </c>
    </row>
    <row r="50" spans="1:61" s="1567" customFormat="1" ht="0" hidden="1" customHeight="1">
      <c r="A50" s="1268" t="s">
        <v>260</v>
      </c>
      <c r="B50" s="1268" t="s">
        <v>261</v>
      </c>
      <c r="C50" s="1268" t="s">
        <v>262</v>
      </c>
      <c r="D50" s="1268" t="s">
        <v>543</v>
      </c>
      <c r="E50" s="2187"/>
      <c r="F50" s="2187"/>
      <c r="G50" s="2187"/>
      <c r="H50" s="2187"/>
      <c r="I50" s="2184" t="str">
        <f>S49&amp;".1"</f>
        <v>.1</v>
      </c>
      <c r="J50" s="1268"/>
      <c r="K50" s="1268"/>
      <c r="L50" s="1271" t="s">
        <v>402</v>
      </c>
      <c r="M50" s="445"/>
      <c r="N50" s="445"/>
      <c r="O50" s="445"/>
      <c r="P50" s="2185">
        <v>1</v>
      </c>
      <c r="Q50" s="1406"/>
      <c r="R50" s="291"/>
      <c r="S50" s="970"/>
      <c r="T50" s="1308"/>
      <c r="U50" s="1309"/>
      <c r="V50" s="2216"/>
      <c r="W50" s="2216"/>
      <c r="X50" s="2216"/>
      <c r="Y50" s="2216"/>
      <c r="Z50" s="2216"/>
      <c r="AA50" s="2216"/>
      <c r="AB50" s="2216"/>
      <c r="AC50" s="2217"/>
      <c r="AD50" s="2215"/>
      <c r="AE50" s="2216"/>
      <c r="AF50" s="2216"/>
      <c r="AG50" s="2216"/>
      <c r="AH50" s="2216"/>
      <c r="AI50" s="2216"/>
      <c r="AJ50" s="2216"/>
      <c r="AK50" s="2216"/>
      <c r="AL50" s="2216"/>
      <c r="AM50" s="2216"/>
      <c r="AN50" s="2216"/>
      <c r="AO50" s="2216"/>
      <c r="AP50" s="2216"/>
      <c r="AQ50" s="2216"/>
      <c r="AR50" s="2216"/>
      <c r="AS50" s="2216"/>
      <c r="AT50" s="2216"/>
      <c r="AU50" s="2216"/>
      <c r="AV50" s="2216"/>
      <c r="AW50" s="2216"/>
      <c r="AX50" s="2216"/>
      <c r="AY50" s="2216"/>
      <c r="AZ50" s="2216"/>
      <c r="BA50" s="2216"/>
      <c r="BB50" s="2217"/>
      <c r="BC50" s="1310"/>
      <c r="BE50" s="435"/>
      <c r="BF50" s="435" t="str">
        <f t="shared" si="3"/>
        <v/>
      </c>
      <c r="BG50" s="435"/>
      <c r="BH50" s="435"/>
      <c r="BI50" s="446">
        <v>0</v>
      </c>
    </row>
    <row r="51" spans="1:61" s="1567" customFormat="1" ht="0" hidden="1" customHeight="1">
      <c r="A51" s="1268" t="s">
        <v>260</v>
      </c>
      <c r="B51" s="1268" t="s">
        <v>261</v>
      </c>
      <c r="C51" s="1268" t="s">
        <v>262</v>
      </c>
      <c r="D51" s="1268" t="s">
        <v>543</v>
      </c>
      <c r="E51" s="2187"/>
      <c r="F51" s="2187"/>
      <c r="G51" s="2187"/>
      <c r="H51" s="2187"/>
      <c r="I51" s="2207"/>
      <c r="J51" s="2184" t="str">
        <f>S49&amp;".1"</f>
        <v>.1</v>
      </c>
      <c r="K51" s="1268"/>
      <c r="L51" s="1271"/>
      <c r="M51" s="445"/>
      <c r="N51" s="445"/>
      <c r="O51" s="445"/>
      <c r="P51" s="2185"/>
      <c r="Q51" s="2185">
        <v>1</v>
      </c>
      <c r="R51" s="292"/>
      <c r="S51" s="970"/>
      <c r="T51" s="1324"/>
      <c r="U51" s="1309"/>
      <c r="V51" s="2216"/>
      <c r="W51" s="2216"/>
      <c r="X51" s="2216"/>
      <c r="Y51" s="2216"/>
      <c r="Z51" s="2216"/>
      <c r="AA51" s="2216"/>
      <c r="AB51" s="2216"/>
      <c r="AC51" s="2217"/>
      <c r="AD51" s="2215"/>
      <c r="AE51" s="2216"/>
      <c r="AF51" s="2216"/>
      <c r="AG51" s="2216"/>
      <c r="AH51" s="2216"/>
      <c r="AI51" s="2216"/>
      <c r="AJ51" s="2216"/>
      <c r="AK51" s="2216"/>
      <c r="AL51" s="2216"/>
      <c r="AM51" s="2216"/>
      <c r="AN51" s="2267"/>
      <c r="AO51" s="2267"/>
      <c r="AP51" s="2216"/>
      <c r="AQ51" s="2216"/>
      <c r="AR51" s="2216"/>
      <c r="AS51" s="2216"/>
      <c r="AT51" s="2216"/>
      <c r="AU51" s="2216"/>
      <c r="AV51" s="2216"/>
      <c r="AW51" s="2216"/>
      <c r="AX51" s="2216"/>
      <c r="AY51" s="2216"/>
      <c r="AZ51" s="2216"/>
      <c r="BA51" s="2216"/>
      <c r="BB51" s="2217"/>
      <c r="BC51" s="1310"/>
      <c r="BE51" s="435"/>
      <c r="BF51" s="435" t="str">
        <f t="shared" si="3"/>
        <v/>
      </c>
      <c r="BG51" s="435"/>
      <c r="BH51" s="435"/>
      <c r="BI51" s="446">
        <v>0</v>
      </c>
    </row>
    <row r="52" spans="1:61" ht="11.45" customHeight="1">
      <c r="A52" s="1288" t="s">
        <v>260</v>
      </c>
      <c r="B52" s="1288" t="s">
        <v>261</v>
      </c>
      <c r="C52" s="1288" t="s">
        <v>262</v>
      </c>
      <c r="D52" s="1288" t="s">
        <v>543</v>
      </c>
      <c r="E52" s="2187"/>
      <c r="F52" s="2187"/>
      <c r="G52" s="2187"/>
      <c r="H52" s="2187"/>
      <c r="I52" s="2207"/>
      <c r="J52" s="2207"/>
      <c r="K52" s="2184" t="str">
        <f>S48&amp;".1"</f>
        <v>...1</v>
      </c>
      <c r="L52" s="1289"/>
      <c r="P52" s="2185"/>
      <c r="Q52" s="2185"/>
      <c r="R52" s="292">
        <v>1</v>
      </c>
      <c r="S52" s="2244" t="str">
        <f>$K52</f>
        <v>...1</v>
      </c>
      <c r="T52" s="2263"/>
      <c r="U52" s="236"/>
      <c r="V52" s="686"/>
      <c r="W52" s="1182"/>
      <c r="X52" s="686"/>
      <c r="Y52" s="1182"/>
      <c r="Z52" s="1659"/>
      <c r="AA52" s="1394" t="s">
        <v>66</v>
      </c>
      <c r="AB52" s="1659"/>
      <c r="AC52" s="1394" t="s">
        <v>66</v>
      </c>
      <c r="AD52" s="2124" t="s">
        <v>66</v>
      </c>
      <c r="AE52" s="2229"/>
      <c r="AF52" s="2141">
        <v>1</v>
      </c>
      <c r="AG52" s="2266"/>
      <c r="AH52" s="2047" t="s">
        <v>66</v>
      </c>
      <c r="AI52" s="2229"/>
      <c r="AJ52" s="2141">
        <v>1</v>
      </c>
      <c r="AK52" s="2230" t="s">
        <v>22</v>
      </c>
      <c r="AL52" s="2047" t="s">
        <v>66</v>
      </c>
      <c r="AM52" s="2131"/>
      <c r="AN52" s="2141">
        <v>1</v>
      </c>
      <c r="AO52" s="2260"/>
      <c r="AP52" s="2261" t="s">
        <v>66</v>
      </c>
      <c r="AQ52" s="247"/>
      <c r="AR52" s="1411">
        <v>1</v>
      </c>
      <c r="AS52" s="1417" t="s">
        <v>22</v>
      </c>
      <c r="AT52" s="686"/>
      <c r="AU52" s="1182"/>
      <c r="AV52" s="686"/>
      <c r="AW52" s="1182"/>
      <c r="AX52" s="1659"/>
      <c r="AY52" s="1394" t="s">
        <v>66</v>
      </c>
      <c r="AZ52" s="1659"/>
      <c r="BA52" s="1394" t="s">
        <v>66</v>
      </c>
      <c r="BB52" s="1273"/>
      <c r="BC52" s="2181" t="s">
        <v>500</v>
      </c>
      <c r="BE52" s="435"/>
      <c r="BF52" s="435" t="str">
        <f t="shared" si="3"/>
        <v/>
      </c>
      <c r="BG52" s="435"/>
      <c r="BH52" s="435"/>
      <c r="BI52" s="1080">
        <v>11</v>
      </c>
    </row>
    <row r="53" spans="1:61" ht="11.45" customHeight="1">
      <c r="A53" s="1288"/>
      <c r="B53" s="1288"/>
      <c r="C53" s="1288"/>
      <c r="D53" s="1288"/>
      <c r="E53" s="2187"/>
      <c r="F53" s="2187"/>
      <c r="G53" s="2187"/>
      <c r="H53" s="2187"/>
      <c r="I53" s="2207"/>
      <c r="J53" s="2207"/>
      <c r="K53" s="2184"/>
      <c r="L53" s="1289"/>
      <c r="P53" s="2185"/>
      <c r="Q53" s="2185"/>
      <c r="R53" s="292"/>
      <c r="S53" s="2245"/>
      <c r="T53" s="2264"/>
      <c r="U53" s="236"/>
      <c r="V53" s="1318"/>
      <c r="W53" s="1421"/>
      <c r="X53" s="1318"/>
      <c r="Y53" s="1421"/>
      <c r="Z53" s="1318"/>
      <c r="AA53" s="1318"/>
      <c r="AB53" s="1318"/>
      <c r="AC53" s="1318"/>
      <c r="AD53" s="2125"/>
      <c r="AE53" s="2229"/>
      <c r="AF53" s="2141"/>
      <c r="AG53" s="2266"/>
      <c r="AH53" s="2047"/>
      <c r="AI53" s="2229"/>
      <c r="AJ53" s="2141"/>
      <c r="AK53" s="2230"/>
      <c r="AL53" s="2047"/>
      <c r="AM53" s="2136"/>
      <c r="AN53" s="2141"/>
      <c r="AO53" s="2260"/>
      <c r="AP53" s="2262"/>
      <c r="AQ53" s="252"/>
      <c r="AR53" s="351"/>
      <c r="AS53" s="351" t="s">
        <v>501</v>
      </c>
      <c r="AT53" s="1318"/>
      <c r="AU53" s="1421"/>
      <c r="AV53" s="1318"/>
      <c r="AW53" s="1421"/>
      <c r="AX53" s="1318"/>
      <c r="AY53" s="1318"/>
      <c r="AZ53" s="1318"/>
      <c r="BA53" s="1318"/>
      <c r="BB53" s="1322"/>
      <c r="BC53" s="2182"/>
      <c r="BE53" s="435"/>
      <c r="BF53" s="435"/>
      <c r="BG53" s="435"/>
      <c r="BH53" s="435"/>
      <c r="BI53" s="1080">
        <v>11</v>
      </c>
    </row>
    <row r="54" spans="1:61" ht="11.45" customHeight="1">
      <c r="A54" s="1288" t="s">
        <v>260</v>
      </c>
      <c r="B54" s="1288"/>
      <c r="C54" s="1288"/>
      <c r="D54" s="1288"/>
      <c r="E54" s="2187"/>
      <c r="F54" s="2187"/>
      <c r="G54" s="2187"/>
      <c r="H54" s="2187"/>
      <c r="I54" s="2207"/>
      <c r="J54" s="2207"/>
      <c r="K54" s="2184"/>
      <c r="L54" s="1289"/>
      <c r="P54" s="2185"/>
      <c r="Q54" s="2185"/>
      <c r="R54" s="292"/>
      <c r="S54" s="2245"/>
      <c r="T54" s="2264"/>
      <c r="U54" s="236"/>
      <c r="V54" s="1318"/>
      <c r="W54" s="1421"/>
      <c r="X54" s="1318"/>
      <c r="Y54" s="1421"/>
      <c r="Z54" s="1318"/>
      <c r="AA54" s="1318"/>
      <c r="AB54" s="1318"/>
      <c r="AC54" s="1318"/>
      <c r="AD54" s="2125"/>
      <c r="AE54" s="2229"/>
      <c r="AF54" s="2141"/>
      <c r="AG54" s="2266"/>
      <c r="AH54" s="2047"/>
      <c r="AI54" s="2229"/>
      <c r="AJ54" s="2141"/>
      <c r="AK54" s="2230"/>
      <c r="AL54" s="2047"/>
      <c r="AM54" s="252"/>
      <c r="AN54" s="1425"/>
      <c r="AO54" s="1425" t="s">
        <v>502</v>
      </c>
      <c r="AP54" s="351"/>
      <c r="AQ54" s="351"/>
      <c r="AR54" s="351"/>
      <c r="AS54" s="1318"/>
      <c r="AT54" s="1318"/>
      <c r="AU54" s="1421"/>
      <c r="AV54" s="1318"/>
      <c r="AW54" s="1421"/>
      <c r="AX54" s="1318"/>
      <c r="AY54" s="1318"/>
      <c r="AZ54" s="1318"/>
      <c r="BA54" s="1318"/>
      <c r="BB54" s="1322"/>
      <c r="BC54" s="2182"/>
      <c r="BE54" s="435"/>
      <c r="BF54" s="435"/>
      <c r="BG54" s="435"/>
      <c r="BH54" s="435"/>
      <c r="BI54" s="1080">
        <v>11</v>
      </c>
    </row>
    <row r="55" spans="1:61" ht="11.45" customHeight="1">
      <c r="A55" s="1288" t="s">
        <v>260</v>
      </c>
      <c r="B55" s="1288"/>
      <c r="C55" s="1288"/>
      <c r="D55" s="1288"/>
      <c r="E55" s="2187"/>
      <c r="F55" s="2187"/>
      <c r="G55" s="2187"/>
      <c r="H55" s="2187"/>
      <c r="I55" s="2207"/>
      <c r="J55" s="2207"/>
      <c r="K55" s="2184"/>
      <c r="L55" s="1289"/>
      <c r="P55" s="2185"/>
      <c r="Q55" s="2185"/>
      <c r="R55" s="292"/>
      <c r="S55" s="2245"/>
      <c r="T55" s="2264"/>
      <c r="U55" s="236"/>
      <c r="V55" s="1318"/>
      <c r="W55" s="1421"/>
      <c r="X55" s="1318"/>
      <c r="Y55" s="1421"/>
      <c r="Z55" s="1318"/>
      <c r="AA55" s="1318"/>
      <c r="AB55" s="1318"/>
      <c r="AC55" s="1318"/>
      <c r="AD55" s="2125"/>
      <c r="AE55" s="2229"/>
      <c r="AF55" s="2141"/>
      <c r="AG55" s="2266"/>
      <c r="AH55" s="2047"/>
      <c r="AI55" s="230"/>
      <c r="AJ55" s="350"/>
      <c r="AK55" s="249" t="s">
        <v>503</v>
      </c>
      <c r="AL55" s="1318"/>
      <c r="AM55" s="1318"/>
      <c r="AN55" s="1318"/>
      <c r="AO55" s="1318"/>
      <c r="AP55" s="1318"/>
      <c r="AQ55" s="1318"/>
      <c r="AR55" s="1318"/>
      <c r="AS55" s="1318"/>
      <c r="AT55" s="1318"/>
      <c r="AU55" s="1421"/>
      <c r="AV55" s="1318"/>
      <c r="AW55" s="1421"/>
      <c r="AX55" s="1318"/>
      <c r="AY55" s="1318"/>
      <c r="AZ55" s="1318"/>
      <c r="BA55" s="1318"/>
      <c r="BB55" s="1322"/>
      <c r="BC55" s="2182"/>
      <c r="BE55" s="435"/>
      <c r="BF55" s="435"/>
      <c r="BG55" s="435"/>
      <c r="BH55" s="435"/>
      <c r="BI55" s="1080">
        <v>11</v>
      </c>
    </row>
    <row r="56" spans="1:61" ht="11.45" customHeight="1">
      <c r="A56" s="1288" t="s">
        <v>260</v>
      </c>
      <c r="B56" s="1288" t="s">
        <v>261</v>
      </c>
      <c r="C56" s="1288" t="s">
        <v>262</v>
      </c>
      <c r="D56" s="1288" t="s">
        <v>543</v>
      </c>
      <c r="E56" s="2187"/>
      <c r="F56" s="2187"/>
      <c r="G56" s="2187"/>
      <c r="H56" s="2187"/>
      <c r="I56" s="2207"/>
      <c r="J56" s="2207"/>
      <c r="K56" s="2184"/>
      <c r="L56" s="1289"/>
      <c r="P56" s="2185"/>
      <c r="Q56" s="2185"/>
      <c r="R56" s="292"/>
      <c r="S56" s="2246"/>
      <c r="T56" s="2265"/>
      <c r="U56" s="236"/>
      <c r="V56" s="1318"/>
      <c r="W56" s="1319" t="str">
        <f>Z52&amp;"-"&amp;AB52</f>
        <v>-</v>
      </c>
      <c r="X56" s="1318"/>
      <c r="Y56" s="1319" t="str">
        <f>AB52&amp;"-"&amp;AD52</f>
        <v>-да</v>
      </c>
      <c r="Z56" s="1318"/>
      <c r="AA56" s="1318"/>
      <c r="AB56" s="1318"/>
      <c r="AC56" s="1318"/>
      <c r="AD56" s="2052"/>
      <c r="AE56" s="248"/>
      <c r="AF56" s="250"/>
      <c r="AG56" s="351" t="s">
        <v>504</v>
      </c>
      <c r="AH56" s="1318"/>
      <c r="AI56" s="1318"/>
      <c r="AJ56" s="1318"/>
      <c r="AK56" s="1318"/>
      <c r="AL56" s="1318"/>
      <c r="AM56" s="1318"/>
      <c r="AN56" s="1318"/>
      <c r="AO56" s="1318"/>
      <c r="AP56" s="1318"/>
      <c r="AQ56" s="1318"/>
      <c r="AR56" s="1318"/>
      <c r="AS56" s="1318"/>
      <c r="AT56" s="1318"/>
      <c r="AU56" s="1319" t="str">
        <f>AX52&amp;"-"&amp;AZ52</f>
        <v>-</v>
      </c>
      <c r="AV56" s="1318"/>
      <c r="AW56" s="1319" t="str">
        <f>AZ52&amp;"-"&amp;BB52</f>
        <v>-</v>
      </c>
      <c r="AX56" s="1318"/>
      <c r="AY56" s="1318"/>
      <c r="AZ56" s="1318"/>
      <c r="BA56" s="1318"/>
      <c r="BB56" s="1321" t="str">
        <f>BE52&amp;"-"&amp;BG52</f>
        <v>-</v>
      </c>
      <c r="BC56" s="2182"/>
      <c r="BE56" s="435"/>
      <c r="BF56" s="435" t="str">
        <f t="shared" ref="BF56:BF63" si="4">IF(T56="","",T56)</f>
        <v/>
      </c>
      <c r="BG56" s="435"/>
      <c r="BH56" s="435"/>
      <c r="BI56" s="1080">
        <v>11</v>
      </c>
    </row>
    <row r="57" spans="1:61" ht="11.45" customHeight="1">
      <c r="A57" s="1288" t="s">
        <v>260</v>
      </c>
      <c r="B57" s="1288" t="s">
        <v>261</v>
      </c>
      <c r="C57" s="1288" t="s">
        <v>262</v>
      </c>
      <c r="D57" s="1288" t="s">
        <v>543</v>
      </c>
      <c r="E57" s="2187"/>
      <c r="F57" s="2187"/>
      <c r="G57" s="2187"/>
      <c r="H57" s="2187"/>
      <c r="I57" s="2207"/>
      <c r="J57" s="2184"/>
      <c r="K57" s="1288"/>
      <c r="L57" s="1289"/>
      <c r="P57" s="2185"/>
      <c r="Q57" s="2185"/>
      <c r="R57" s="291"/>
      <c r="S57" s="1203"/>
      <c r="T57" s="223" t="s">
        <v>467</v>
      </c>
      <c r="U57" s="302"/>
      <c r="V57" s="302"/>
      <c r="W57" s="302"/>
      <c r="X57" s="302"/>
      <c r="Y57" s="302"/>
      <c r="Z57" s="302"/>
      <c r="AA57" s="302"/>
      <c r="AB57" s="302"/>
      <c r="AC57" s="260"/>
      <c r="AD57" s="1430"/>
      <c r="AE57" s="302"/>
      <c r="AF57" s="302"/>
      <c r="AG57" s="302"/>
      <c r="AH57" s="302"/>
      <c r="AI57" s="302"/>
      <c r="AJ57" s="302"/>
      <c r="AK57" s="302"/>
      <c r="AL57" s="302"/>
      <c r="AM57" s="302"/>
      <c r="AN57" s="302"/>
      <c r="AO57" s="302"/>
      <c r="AP57" s="302"/>
      <c r="AQ57" s="302"/>
      <c r="AR57" s="302"/>
      <c r="AS57" s="302"/>
      <c r="AT57" s="302"/>
      <c r="AU57" s="302"/>
      <c r="AV57" s="302"/>
      <c r="AW57" s="302"/>
      <c r="AX57" s="302"/>
      <c r="AY57" s="302"/>
      <c r="AZ57" s="302"/>
      <c r="BA57" s="302"/>
      <c r="BB57" s="260"/>
      <c r="BC57" s="2183"/>
      <c r="BE57" s="435"/>
      <c r="BF57" s="435" t="str">
        <f t="shared" si="4"/>
        <v>Добавить строку</v>
      </c>
      <c r="BG57" s="435"/>
      <c r="BH57" s="435"/>
      <c r="BI57" s="1080">
        <v>11</v>
      </c>
    </row>
    <row r="58" spans="1:61" s="1567" customFormat="1" ht="0" hidden="1" customHeight="1">
      <c r="A58" s="1268" t="s">
        <v>260</v>
      </c>
      <c r="B58" s="1268" t="s">
        <v>261</v>
      </c>
      <c r="C58" s="1268" t="s">
        <v>262</v>
      </c>
      <c r="D58" s="1268" t="s">
        <v>543</v>
      </c>
      <c r="E58" s="2187"/>
      <c r="F58" s="2187"/>
      <c r="G58" s="2187"/>
      <c r="H58" s="2187"/>
      <c r="I58" s="2184"/>
      <c r="J58" s="1268"/>
      <c r="K58" s="1268"/>
      <c r="L58" s="1271"/>
      <c r="M58" s="445"/>
      <c r="N58" s="445"/>
      <c r="O58" s="445"/>
      <c r="P58" s="2185"/>
      <c r="Q58" s="1406"/>
      <c r="R58" s="291"/>
      <c r="S58" s="1311"/>
      <c r="T58" s="1312"/>
      <c r="U58" s="1313"/>
      <c r="V58" s="1313"/>
      <c r="W58" s="1313"/>
      <c r="X58" s="1313"/>
      <c r="Y58" s="1313"/>
      <c r="Z58" s="1313"/>
      <c r="AA58" s="1313"/>
      <c r="AB58" s="1313"/>
      <c r="AC58" s="1313"/>
      <c r="AD58" s="1313"/>
      <c r="AE58" s="1313"/>
      <c r="AF58" s="1313"/>
      <c r="AG58" s="1313"/>
      <c r="AH58" s="1313"/>
      <c r="AI58" s="1313"/>
      <c r="AJ58" s="1313"/>
      <c r="AK58" s="1313"/>
      <c r="AL58" s="1313"/>
      <c r="AM58" s="1313"/>
      <c r="AN58" s="1313"/>
      <c r="AO58" s="1313"/>
      <c r="AP58" s="1313"/>
      <c r="AQ58" s="1313"/>
      <c r="AR58" s="1313"/>
      <c r="AS58" s="1313"/>
      <c r="AT58" s="1313"/>
      <c r="AU58" s="1313"/>
      <c r="AV58" s="1313"/>
      <c r="AW58" s="1313"/>
      <c r="AX58" s="1313"/>
      <c r="AY58" s="1313"/>
      <c r="AZ58" s="1313"/>
      <c r="BA58" s="1313"/>
      <c r="BB58" s="1313"/>
      <c r="BC58" s="1314"/>
      <c r="BE58" s="435"/>
      <c r="BF58" s="435" t="str">
        <f t="shared" si="4"/>
        <v/>
      </c>
      <c r="BG58" s="435"/>
      <c r="BH58" s="435"/>
      <c r="BI58" s="446">
        <v>0</v>
      </c>
    </row>
    <row r="59" spans="1:61" s="1567" customFormat="1" ht="0" hidden="1" customHeight="1">
      <c r="A59" s="1268" t="s">
        <v>260</v>
      </c>
      <c r="B59" s="1268" t="s">
        <v>261</v>
      </c>
      <c r="C59" s="1268" t="s">
        <v>262</v>
      </c>
      <c r="D59" s="1268" t="s">
        <v>543</v>
      </c>
      <c r="E59" s="2187"/>
      <c r="F59" s="2187"/>
      <c r="G59" s="2187"/>
      <c r="H59" s="2186"/>
      <c r="I59" s="1268"/>
      <c r="J59" s="1268"/>
      <c r="K59" s="1268"/>
      <c r="L59" s="1271"/>
      <c r="M59" s="1240"/>
      <c r="N59" s="1240"/>
      <c r="O59" s="453"/>
      <c r="P59" s="315"/>
      <c r="Q59" s="1269"/>
      <c r="R59" s="1326"/>
      <c r="S59" s="1311"/>
      <c r="T59" s="1312"/>
      <c r="U59" s="1313"/>
      <c r="V59" s="1313"/>
      <c r="W59" s="1313"/>
      <c r="X59" s="1313"/>
      <c r="Y59" s="1313"/>
      <c r="Z59" s="1313"/>
      <c r="AA59" s="1313"/>
      <c r="AB59" s="1313"/>
      <c r="AC59" s="1313"/>
      <c r="AD59" s="1313"/>
      <c r="AE59" s="1313"/>
      <c r="AF59" s="1313"/>
      <c r="AG59" s="1313"/>
      <c r="AH59" s="1313"/>
      <c r="AI59" s="1313"/>
      <c r="AJ59" s="1313"/>
      <c r="AK59" s="1313"/>
      <c r="AL59" s="1313"/>
      <c r="AM59" s="1313"/>
      <c r="AN59" s="1313"/>
      <c r="AO59" s="1313"/>
      <c r="AP59" s="1313"/>
      <c r="AQ59" s="1313"/>
      <c r="AR59" s="1313"/>
      <c r="AS59" s="1313"/>
      <c r="AT59" s="1313"/>
      <c r="AU59" s="1313"/>
      <c r="AV59" s="1313"/>
      <c r="AW59" s="1313"/>
      <c r="AX59" s="1313"/>
      <c r="AY59" s="1313"/>
      <c r="AZ59" s="1313"/>
      <c r="BA59" s="1313"/>
      <c r="BB59" s="1313"/>
      <c r="BC59" s="1314"/>
      <c r="BE59" s="435"/>
      <c r="BF59" s="435" t="str">
        <f t="shared" si="4"/>
        <v/>
      </c>
      <c r="BG59" s="435"/>
      <c r="BH59" s="435"/>
      <c r="BI59" s="446">
        <v>0</v>
      </c>
    </row>
    <row r="60" spans="1:61" s="1567" customFormat="1" ht="0" hidden="1" customHeight="1">
      <c r="A60" s="1268" t="s">
        <v>260</v>
      </c>
      <c r="B60" s="1268" t="s">
        <v>261</v>
      </c>
      <c r="C60" s="1268" t="s">
        <v>262</v>
      </c>
      <c r="D60" s="1239"/>
      <c r="E60" s="2187"/>
      <c r="F60" s="2187"/>
      <c r="G60" s="2186"/>
      <c r="H60" s="1239"/>
      <c r="I60" s="1239"/>
      <c r="J60" s="1239"/>
      <c r="K60" s="1239"/>
      <c r="L60" s="1419"/>
      <c r="M60" s="1240"/>
      <c r="N60" s="1240"/>
      <c r="P60" s="1241"/>
      <c r="Q60" s="1242"/>
      <c r="R60" s="1241"/>
      <c r="S60" s="1247"/>
      <c r="T60" s="1250"/>
      <c r="U60" s="1249"/>
      <c r="V60" s="1249"/>
      <c r="W60" s="1249"/>
      <c r="X60" s="1249"/>
      <c r="Y60" s="1249"/>
      <c r="Z60" s="1249"/>
      <c r="AA60" s="1249"/>
      <c r="AB60" s="1249"/>
      <c r="AC60" s="1249"/>
      <c r="AD60" s="1249"/>
      <c r="AE60" s="1249"/>
      <c r="AF60" s="1249"/>
      <c r="AG60" s="1249"/>
      <c r="AH60" s="1249"/>
      <c r="AI60" s="1249"/>
      <c r="AJ60" s="1249"/>
      <c r="AK60" s="1249"/>
      <c r="AL60" s="1249"/>
      <c r="AM60" s="1249"/>
      <c r="AN60" s="1249"/>
      <c r="AO60" s="1249"/>
      <c r="AP60" s="1249"/>
      <c r="AQ60" s="1249"/>
      <c r="AR60" s="1249"/>
      <c r="AS60" s="1249"/>
      <c r="AT60" s="1249"/>
      <c r="AU60" s="1249"/>
      <c r="AV60" s="1249"/>
      <c r="AW60" s="1249"/>
      <c r="AX60" s="1249"/>
      <c r="AY60" s="1249"/>
      <c r="AZ60" s="1249"/>
      <c r="BA60" s="1249"/>
      <c r="BB60" s="1249"/>
      <c r="BC60" s="1249"/>
      <c r="BE60" s="718"/>
      <c r="BF60" s="718" t="str">
        <f t="shared" si="4"/>
        <v/>
      </c>
      <c r="BG60" s="718"/>
      <c r="BH60" s="718"/>
      <c r="BI60" s="453">
        <v>0</v>
      </c>
    </row>
    <row r="61" spans="1:61" s="1567" customFormat="1" ht="0" hidden="1" customHeight="1">
      <c r="A61" s="1268" t="s">
        <v>260</v>
      </c>
      <c r="B61" s="1268" t="s">
        <v>261</v>
      </c>
      <c r="C61" s="1239"/>
      <c r="D61" s="1239"/>
      <c r="E61" s="2187"/>
      <c r="F61" s="2186"/>
      <c r="G61" s="1239"/>
      <c r="H61" s="1239"/>
      <c r="I61" s="1239"/>
      <c r="J61" s="1239"/>
      <c r="K61" s="1239"/>
      <c r="L61" s="1419"/>
      <c r="M61" s="1246"/>
      <c r="N61" s="1246"/>
      <c r="P61" s="1241"/>
      <c r="Q61" s="1242"/>
      <c r="R61" s="1241"/>
      <c r="S61" s="1247"/>
      <c r="T61" s="1250" t="s">
        <v>414</v>
      </c>
      <c r="U61" s="1249"/>
      <c r="V61" s="1249"/>
      <c r="W61" s="1249"/>
      <c r="X61" s="1249"/>
      <c r="Y61" s="1249"/>
      <c r="Z61" s="1249"/>
      <c r="AA61" s="1249"/>
      <c r="AB61" s="1249"/>
      <c r="AC61" s="1249"/>
      <c r="AD61" s="1249"/>
      <c r="AE61" s="1249"/>
      <c r="AF61" s="1249"/>
      <c r="AG61" s="1249"/>
      <c r="AH61" s="1249"/>
      <c r="AI61" s="1249"/>
      <c r="AJ61" s="1249"/>
      <c r="AK61" s="1249"/>
      <c r="AL61" s="1249"/>
      <c r="AM61" s="1249"/>
      <c r="AN61" s="1249"/>
      <c r="AO61" s="1249"/>
      <c r="AP61" s="1249"/>
      <c r="AQ61" s="1249"/>
      <c r="AR61" s="1249"/>
      <c r="AS61" s="1249"/>
      <c r="AT61" s="1249"/>
      <c r="AU61" s="1249"/>
      <c r="AV61" s="1249"/>
      <c r="AW61" s="1249"/>
      <c r="AX61" s="1249"/>
      <c r="AY61" s="1249"/>
      <c r="AZ61" s="1249"/>
      <c r="BA61" s="1249"/>
      <c r="BB61" s="1249"/>
      <c r="BC61" s="1249"/>
      <c r="BE61" s="718"/>
      <c r="BF61" s="718" t="str">
        <f t="shared" si="4"/>
        <v>Добавить централизованную систему для дифференциации</v>
      </c>
      <c r="BG61" s="718"/>
      <c r="BH61" s="718"/>
      <c r="BI61" s="453">
        <v>0</v>
      </c>
    </row>
    <row r="62" spans="1:61" s="1567" customFormat="1" ht="0" hidden="1" customHeight="1">
      <c r="A62" s="1268" t="s">
        <v>260</v>
      </c>
      <c r="B62" s="1268"/>
      <c r="C62" s="1268"/>
      <c r="D62" s="1268"/>
      <c r="E62" s="2186"/>
      <c r="F62" s="1268"/>
      <c r="G62" s="1268"/>
      <c r="H62" s="1268"/>
      <c r="I62" s="1268"/>
      <c r="J62" s="1268"/>
      <c r="K62" s="1268"/>
      <c r="L62" s="1271"/>
      <c r="M62" s="1246"/>
      <c r="N62" s="1246"/>
      <c r="O62" s="453"/>
      <c r="P62" s="315"/>
      <c r="Q62" s="1269"/>
      <c r="R62" s="315"/>
      <c r="S62" s="1247"/>
      <c r="T62" s="1250" t="s">
        <v>415</v>
      </c>
      <c r="U62" s="1249"/>
      <c r="V62" s="1249"/>
      <c r="W62" s="1249"/>
      <c r="X62" s="1249"/>
      <c r="Y62" s="1249"/>
      <c r="Z62" s="1249"/>
      <c r="AA62" s="1249"/>
      <c r="AB62" s="1249"/>
      <c r="AC62" s="1249"/>
      <c r="AD62" s="1249"/>
      <c r="AE62" s="1249"/>
      <c r="AF62" s="1249"/>
      <c r="AG62" s="1249"/>
      <c r="AH62" s="1249"/>
      <c r="AI62" s="1249"/>
      <c r="AJ62" s="1249"/>
      <c r="AK62" s="1249"/>
      <c r="AL62" s="1249"/>
      <c r="AM62" s="1249"/>
      <c r="AN62" s="1249"/>
      <c r="AO62" s="1249"/>
      <c r="AP62" s="1249"/>
      <c r="AQ62" s="1249"/>
      <c r="AR62" s="1249"/>
      <c r="AS62" s="1249"/>
      <c r="AT62" s="1249"/>
      <c r="AU62" s="1249"/>
      <c r="AV62" s="1249"/>
      <c r="AW62" s="1249"/>
      <c r="AX62" s="1249"/>
      <c r="AY62" s="1249"/>
      <c r="AZ62" s="1249"/>
      <c r="BA62" s="1249"/>
      <c r="BB62" s="1249"/>
      <c r="BC62" s="1249"/>
      <c r="BE62" s="435"/>
      <c r="BF62" s="435" t="str">
        <f t="shared" si="4"/>
        <v>Добавить территорию для дифференциации</v>
      </c>
      <c r="BG62" s="435"/>
      <c r="BH62" s="435"/>
      <c r="BI62" s="446">
        <v>0</v>
      </c>
    </row>
    <row r="63" spans="1:61" s="1567" customFormat="1" ht="0" hidden="1" customHeight="1">
      <c r="A63" s="1239"/>
      <c r="B63" s="1239"/>
      <c r="C63" s="1239"/>
      <c r="D63" s="1239"/>
      <c r="E63" s="1268"/>
      <c r="F63" s="1239"/>
      <c r="G63" s="1239"/>
      <c r="H63" s="1239"/>
      <c r="I63" s="1239"/>
      <c r="J63" s="1239"/>
      <c r="K63" s="1239"/>
      <c r="L63" s="1419"/>
      <c r="M63" s="1246"/>
      <c r="N63" s="1246"/>
      <c r="P63" s="1241"/>
      <c r="Q63" s="1242"/>
      <c r="R63" s="1241"/>
      <c r="S63" s="1247"/>
      <c r="T63" s="1250" t="s">
        <v>447</v>
      </c>
      <c r="U63" s="1249"/>
      <c r="V63" s="1249"/>
      <c r="W63" s="1249"/>
      <c r="X63" s="1249"/>
      <c r="Y63" s="1249"/>
      <c r="Z63" s="1249"/>
      <c r="AA63" s="1249"/>
      <c r="AB63" s="1249"/>
      <c r="AC63" s="1249"/>
      <c r="AD63" s="1249"/>
      <c r="AE63" s="1249"/>
      <c r="AF63" s="1249"/>
      <c r="AG63" s="1249"/>
      <c r="AH63" s="1249"/>
      <c r="AI63" s="1249"/>
      <c r="AJ63" s="1249"/>
      <c r="AK63" s="1249"/>
      <c r="AL63" s="1249"/>
      <c r="AM63" s="1249"/>
      <c r="AN63" s="1249"/>
      <c r="AO63" s="1249"/>
      <c r="AP63" s="1249"/>
      <c r="AQ63" s="1249"/>
      <c r="AR63" s="1249"/>
      <c r="AS63" s="1249"/>
      <c r="AT63" s="1249"/>
      <c r="AU63" s="1249"/>
      <c r="AV63" s="1249"/>
      <c r="AW63" s="1249"/>
      <c r="AX63" s="1249"/>
      <c r="AY63" s="1249"/>
      <c r="AZ63" s="1249"/>
      <c r="BA63" s="1249"/>
      <c r="BB63" s="1249"/>
      <c r="BC63" s="1249"/>
      <c r="BE63" s="718"/>
      <c r="BF63" s="718" t="str">
        <f t="shared" si="4"/>
        <v>Добавить наименование тарифа</v>
      </c>
      <c r="BG63" s="718"/>
      <c r="BH63" s="718"/>
      <c r="BI63" s="453">
        <v>0</v>
      </c>
    </row>
    <row r="64" spans="1:61" ht="11.45" customHeight="1">
      <c r="M64" s="1085"/>
      <c r="N64" s="1085"/>
      <c r="O64" s="472"/>
      <c r="P64" s="1085"/>
      <c r="Q64" s="1085"/>
      <c r="R64" s="1080"/>
      <c r="S64" s="1080"/>
      <c r="BD64" s="1080"/>
      <c r="BE64" s="1080"/>
      <c r="BF64" s="1080"/>
      <c r="BG64" s="1080"/>
      <c r="BH64" s="1080"/>
      <c r="BI64" s="1080">
        <v>11</v>
      </c>
    </row>
    <row r="65" spans="1:61" ht="19.899999999999999" customHeight="1">
      <c r="O65" s="472"/>
      <c r="S65" s="1178"/>
      <c r="T65" s="2206"/>
      <c r="U65" s="2206"/>
      <c r="V65" s="2206"/>
      <c r="W65" s="2206"/>
      <c r="X65" s="2206"/>
      <c r="Y65" s="2206"/>
      <c r="Z65" s="2206"/>
      <c r="AA65" s="2206"/>
      <c r="AB65" s="2206"/>
      <c r="AC65" s="2206"/>
      <c r="AD65" s="2206"/>
      <c r="AE65" s="2206"/>
      <c r="AF65" s="2206"/>
      <c r="AG65" s="2206"/>
      <c r="AH65" s="2206"/>
      <c r="AI65" s="2206"/>
      <c r="AJ65" s="2206"/>
      <c r="AK65" s="2206"/>
      <c r="AL65" s="2206"/>
      <c r="AM65" s="2206"/>
      <c r="AN65" s="2206"/>
      <c r="AO65" s="2206"/>
      <c r="AP65" s="2206"/>
      <c r="AQ65" s="2206"/>
      <c r="AR65" s="2206"/>
      <c r="AS65" s="2206"/>
      <c r="AT65" s="2206"/>
      <c r="AU65" s="2206"/>
      <c r="AV65" s="2206"/>
      <c r="AW65" s="2206"/>
      <c r="AX65" s="2206"/>
      <c r="AY65" s="2206"/>
      <c r="AZ65" s="2206"/>
      <c r="BA65" s="2206"/>
      <c r="BB65" s="2206"/>
      <c r="BC65" s="2206"/>
      <c r="BI65" s="1080">
        <v>19</v>
      </c>
    </row>
    <row r="66" spans="1:61" ht="14.65" customHeight="1">
      <c r="O66" s="472"/>
      <c r="T66" s="1405"/>
      <c r="U66" s="1405"/>
      <c r="V66" s="1405"/>
      <c r="W66" s="1405"/>
      <c r="X66" s="1405"/>
      <c r="Y66" s="1405"/>
      <c r="Z66" s="1405"/>
      <c r="AA66" s="1405"/>
      <c r="AB66" s="1405"/>
      <c r="AC66" s="1405"/>
      <c r="AD66" s="1405"/>
      <c r="AE66" s="1405"/>
      <c r="AF66" s="1405"/>
      <c r="AG66" s="1405"/>
      <c r="AH66" s="1405"/>
      <c r="AI66" s="1405"/>
      <c r="AJ66" s="1405"/>
      <c r="AK66" s="1405"/>
      <c r="AL66" s="1405"/>
      <c r="AM66" s="1405"/>
      <c r="AN66" s="1405"/>
      <c r="AO66" s="1405"/>
      <c r="AP66" s="1405"/>
      <c r="AQ66" s="1405"/>
      <c r="AR66" s="1405"/>
      <c r="AS66" s="1405"/>
      <c r="AT66" s="1405"/>
      <c r="AU66" s="1405"/>
      <c r="AV66" s="1405"/>
      <c r="AW66" s="1405"/>
      <c r="AX66" s="1405"/>
      <c r="AY66" s="1405"/>
      <c r="AZ66" s="1405"/>
      <c r="BA66" s="1405"/>
      <c r="BB66" s="1405"/>
      <c r="BC66" s="1405"/>
      <c r="BI66" s="1080">
        <v>14</v>
      </c>
    </row>
    <row r="67" spans="1:61" ht="19.899999999999999" customHeight="1">
      <c r="O67" s="472"/>
      <c r="S67" s="1178"/>
      <c r="T67" s="2206"/>
      <c r="U67" s="2206"/>
      <c r="V67" s="2206"/>
      <c r="W67" s="2206"/>
      <c r="X67" s="2206"/>
      <c r="Y67" s="2206"/>
      <c r="Z67" s="2206"/>
      <c r="AA67" s="2206"/>
      <c r="AB67" s="2206"/>
      <c r="AC67" s="2206"/>
      <c r="AD67" s="2206"/>
      <c r="AE67" s="2206"/>
      <c r="AF67" s="2206"/>
      <c r="AG67" s="2206"/>
      <c r="AH67" s="2206"/>
      <c r="AI67" s="2206"/>
      <c r="AJ67" s="2206"/>
      <c r="AK67" s="2206"/>
      <c r="AL67" s="2206"/>
      <c r="AM67" s="2206"/>
      <c r="AN67" s="2206"/>
      <c r="AO67" s="2206"/>
      <c r="AP67" s="2206"/>
      <c r="AQ67" s="2206"/>
      <c r="AR67" s="2206"/>
      <c r="AS67" s="2206"/>
      <c r="AT67" s="2206"/>
      <c r="AU67" s="2206"/>
      <c r="AV67" s="2206"/>
      <c r="AW67" s="2206"/>
      <c r="AX67" s="2206"/>
      <c r="AY67" s="2206"/>
      <c r="AZ67" s="2206"/>
      <c r="BA67" s="2206"/>
      <c r="BB67" s="2206"/>
      <c r="BC67" s="2206"/>
      <c r="BI67" s="1080">
        <v>19</v>
      </c>
    </row>
    <row r="68" spans="1:61" ht="14.65" customHeight="1">
      <c r="O68" s="472"/>
      <c r="BI68" s="1080">
        <v>14</v>
      </c>
    </row>
    <row r="69" spans="1:61" ht="14.25" hidden="1" customHeight="1">
      <c r="A69" s="1085" t="s">
        <v>82</v>
      </c>
      <c r="B69" s="1085">
        <v>0</v>
      </c>
      <c r="C69" s="1085">
        <v>0</v>
      </c>
      <c r="D69" s="1085">
        <v>0</v>
      </c>
      <c r="E69" s="1085">
        <v>0</v>
      </c>
      <c r="F69" s="1085">
        <v>0</v>
      </c>
      <c r="G69" s="1085">
        <v>0</v>
      </c>
      <c r="H69" s="1085">
        <v>0</v>
      </c>
      <c r="I69" s="1085">
        <v>0</v>
      </c>
      <c r="J69" s="1085">
        <v>0</v>
      </c>
      <c r="K69" s="1085">
        <v>0</v>
      </c>
      <c r="L69" s="1403">
        <v>0</v>
      </c>
      <c r="M69" s="1287">
        <v>0</v>
      </c>
      <c r="N69" s="1287">
        <v>0</v>
      </c>
      <c r="O69" s="1287">
        <v>0</v>
      </c>
      <c r="P69" s="1287">
        <v>0</v>
      </c>
      <c r="Q69" s="1296">
        <v>0</v>
      </c>
      <c r="R69" s="280">
        <v>3</v>
      </c>
      <c r="S69" s="516">
        <v>12</v>
      </c>
      <c r="T69" s="1080">
        <v>31</v>
      </c>
      <c r="U69" s="1080">
        <v>0</v>
      </c>
      <c r="V69" s="1080">
        <v>0</v>
      </c>
      <c r="W69" s="1080">
        <v>0</v>
      </c>
      <c r="X69" s="1080">
        <v>0</v>
      </c>
      <c r="Y69" s="1080">
        <v>0</v>
      </c>
      <c r="Z69" s="1080">
        <v>0</v>
      </c>
      <c r="AA69" s="1080">
        <v>0</v>
      </c>
      <c r="AB69" s="1080">
        <v>0</v>
      </c>
      <c r="AC69" s="1080">
        <v>0</v>
      </c>
      <c r="AD69" s="1080">
        <v>3</v>
      </c>
      <c r="AE69" s="1080">
        <v>3</v>
      </c>
      <c r="AF69" s="1080">
        <v>3</v>
      </c>
      <c r="AG69" s="1080">
        <v>24</v>
      </c>
      <c r="AH69" s="1080">
        <v>3</v>
      </c>
      <c r="AI69" s="1080">
        <v>3</v>
      </c>
      <c r="AJ69" s="1080">
        <v>3</v>
      </c>
      <c r="AK69" s="1080">
        <v>24</v>
      </c>
      <c r="AL69" s="1080">
        <v>3</v>
      </c>
      <c r="AM69" s="1080">
        <v>3</v>
      </c>
      <c r="AN69" s="1080">
        <v>3</v>
      </c>
      <c r="AO69" s="1080">
        <v>18</v>
      </c>
      <c r="AP69" s="1080">
        <v>3</v>
      </c>
      <c r="AQ69" s="1080">
        <v>3</v>
      </c>
      <c r="AR69" s="1080">
        <v>3</v>
      </c>
      <c r="AS69" s="1080">
        <v>18</v>
      </c>
      <c r="AT69" s="1080">
        <v>21</v>
      </c>
      <c r="AU69" s="1080">
        <v>21</v>
      </c>
      <c r="AV69" s="1080">
        <v>21</v>
      </c>
      <c r="AW69" s="1080">
        <v>21</v>
      </c>
      <c r="AX69" s="1080">
        <v>11</v>
      </c>
      <c r="AY69" s="1080">
        <v>3</v>
      </c>
      <c r="AZ69" s="1080">
        <v>11</v>
      </c>
      <c r="BA69" s="1080">
        <v>0</v>
      </c>
      <c r="BB69" s="1080">
        <v>4</v>
      </c>
      <c r="BC69" s="1080">
        <v>115</v>
      </c>
      <c r="BD69" s="446">
        <v>10</v>
      </c>
      <c r="BE69" s="446">
        <v>10</v>
      </c>
      <c r="BF69" s="446">
        <v>10</v>
      </c>
      <c r="BG69" s="446">
        <v>10</v>
      </c>
      <c r="BH69" s="446">
        <v>10</v>
      </c>
      <c r="BI69" s="1080">
        <v>23</v>
      </c>
    </row>
  </sheetData>
  <sheetProtection formatColumns="0" formatRows="0" insertRows="0" deleteColumns="0" deleteRows="0" sort="0" autoFilter="0"/>
  <mergeCells count="122">
    <mergeCell ref="T65:BC65"/>
    <mergeCell ref="T67:BC67"/>
    <mergeCell ref="AL52:AL54"/>
    <mergeCell ref="AM52:AM53"/>
    <mergeCell ref="AN52:AN53"/>
    <mergeCell ref="AO52:AO53"/>
    <mergeCell ref="AP52:AP53"/>
    <mergeCell ref="BC52:BC57"/>
    <mergeCell ref="AF52:AF55"/>
    <mergeCell ref="AG52:AG55"/>
    <mergeCell ref="AH52:AH55"/>
    <mergeCell ref="AI52:AI54"/>
    <mergeCell ref="AJ52:AJ54"/>
    <mergeCell ref="AK52:AK54"/>
    <mergeCell ref="I50:I58"/>
    <mergeCell ref="P50:P58"/>
    <mergeCell ref="V50:AC50"/>
    <mergeCell ref="AD50:BB50"/>
    <mergeCell ref="J51:J57"/>
    <mergeCell ref="Q51:Q57"/>
    <mergeCell ref="V51:AC51"/>
    <mergeCell ref="AD51:BB51"/>
    <mergeCell ref="K52:K56"/>
    <mergeCell ref="S52:S56"/>
    <mergeCell ref="T52:T56"/>
    <mergeCell ref="AD52:AD56"/>
    <mergeCell ref="AE52:AE55"/>
    <mergeCell ref="AA45:AB45"/>
    <mergeCell ref="AY45:AZ45"/>
    <mergeCell ref="E46:E62"/>
    <mergeCell ref="V46:AC46"/>
    <mergeCell ref="AD46:BB46"/>
    <mergeCell ref="F47:F61"/>
    <mergeCell ref="V47:AC47"/>
    <mergeCell ref="AL41:AO44"/>
    <mergeCell ref="AP41:AS44"/>
    <mergeCell ref="AT41:AZ41"/>
    <mergeCell ref="BA41:BA44"/>
    <mergeCell ref="BB41:BB44"/>
    <mergeCell ref="V42:W43"/>
    <mergeCell ref="X42:Y43"/>
    <mergeCell ref="Z42:AB43"/>
    <mergeCell ref="AT42:AU43"/>
    <mergeCell ref="AV42:AW43"/>
    <mergeCell ref="AD47:BB47"/>
    <mergeCell ref="G48:G60"/>
    <mergeCell ref="V48:AC48"/>
    <mergeCell ref="AD48:BB48"/>
    <mergeCell ref="H49:H59"/>
    <mergeCell ref="V49:AC49"/>
    <mergeCell ref="AD49:BB49"/>
    <mergeCell ref="V39:AC39"/>
    <mergeCell ref="AD39:BA39"/>
    <mergeCell ref="S40:BB40"/>
    <mergeCell ref="BC40:BC44"/>
    <mergeCell ref="S41:S44"/>
    <mergeCell ref="T41:T44"/>
    <mergeCell ref="V41:AB41"/>
    <mergeCell ref="AC41:AC44"/>
    <mergeCell ref="AD41:AG44"/>
    <mergeCell ref="AH41:AK44"/>
    <mergeCell ref="AX42:AZ43"/>
    <mergeCell ref="AA44:AB44"/>
    <mergeCell ref="AY44:AZ44"/>
    <mergeCell ref="S36:T36"/>
    <mergeCell ref="V36:AB36"/>
    <mergeCell ref="AD36:AZ36"/>
    <mergeCell ref="S37:T37"/>
    <mergeCell ref="V37:AB37"/>
    <mergeCell ref="AD37:AZ37"/>
    <mergeCell ref="S33:T33"/>
    <mergeCell ref="V33:AB33"/>
    <mergeCell ref="AD33:AZ33"/>
    <mergeCell ref="S34:T34"/>
    <mergeCell ref="V34:AB34"/>
    <mergeCell ref="AD34:AZ34"/>
    <mergeCell ref="S28:AZ28"/>
    <mergeCell ref="S29:AZ29"/>
    <mergeCell ref="S31:T31"/>
    <mergeCell ref="V31:AB31"/>
    <mergeCell ref="AD31:AZ31"/>
    <mergeCell ref="S32:T32"/>
    <mergeCell ref="V32:AB32"/>
    <mergeCell ref="AD32:AZ32"/>
    <mergeCell ref="AL8:AL10"/>
    <mergeCell ref="AM8:AM9"/>
    <mergeCell ref="AN8:AN9"/>
    <mergeCell ref="AO8:AO9"/>
    <mergeCell ref="AP8:AP9"/>
    <mergeCell ref="BC8:BC13"/>
    <mergeCell ref="AF8:AF11"/>
    <mergeCell ref="AG8:AG11"/>
    <mergeCell ref="AH8:AH11"/>
    <mergeCell ref="AI8:AI10"/>
    <mergeCell ref="AJ8:AJ10"/>
    <mergeCell ref="AK8:AK10"/>
    <mergeCell ref="K8:K12"/>
    <mergeCell ref="R8:R12"/>
    <mergeCell ref="S8:S12"/>
    <mergeCell ref="T8:T12"/>
    <mergeCell ref="AD8:AD12"/>
    <mergeCell ref="AE8:AE11"/>
    <mergeCell ref="E2:E18"/>
    <mergeCell ref="V2:AC2"/>
    <mergeCell ref="AD2:BB2"/>
    <mergeCell ref="F3:F17"/>
    <mergeCell ref="V3:AC3"/>
    <mergeCell ref="AD3:BB3"/>
    <mergeCell ref="G4:G16"/>
    <mergeCell ref="V4:AC4"/>
    <mergeCell ref="AD4:BB4"/>
    <mergeCell ref="H5:H15"/>
    <mergeCell ref="V5:AC5"/>
    <mergeCell ref="AD5:BB5"/>
    <mergeCell ref="I6:I14"/>
    <mergeCell ref="P6:P14"/>
    <mergeCell ref="V6:AC6"/>
    <mergeCell ref="AD6:BB6"/>
    <mergeCell ref="J7:J13"/>
    <mergeCell ref="Q7:Q13"/>
    <mergeCell ref="V7:AC7"/>
    <mergeCell ref="AD7:BB7"/>
  </mergeCells>
  <dataValidations count="9">
    <dataValidation allowBlank="1" sqref="S65591:BC65597 S983095:BC983101 S917559:BC917565 S852023:BC852029 S786487:BC786493 S720951:BC720957 S655415:BC655421 S589879:BC589885 S524343:BC524349 S458807:BC458813 S393271:BC393277 S327735:BC327741 S262199:BC262205 S196663:BC196669 S131127:BC131133"/>
    <dataValidation type="list" allowBlank="1" showInputMessage="1" errorTitle="Ошибка" error="Выберите значение из списка" prompt="Выберите значение из списка" sqref="V983092:BB983092 V917556:BB917556 V852020:BB852020 V786484:BB786484 V720948:BB720948 V655412:BB655412 V589876:BB589876 V524340:BB524340 V458804:BB458804 V393268:BB393268 V327732:BB327732 V262196:BB262196 V196660:BB196660 V131124:BB131124 V65588:BB65588">
      <formula1>kind_of_cons</formula1>
    </dataValidation>
    <dataValidation type="decimal" allowBlank="1" showErrorMessage="1" errorTitle="Ошибка" error="Допускается ввод только действительных чисел!" sqref="AO52:AO53 AG8:AG11 AO8:AO9 AG52:AG55">
      <formula1>-9.99999999999999E+23</formula1>
      <formula2>9.99999999999999E+23</formula2>
    </dataValidation>
    <dataValidation allowBlank="1" showInputMessage="1" showErrorMessage="1" prompt="Для выбора выполните двойной щелчок левой клавиши мыши по соответствующей ячейке." sqref="AA65589 AA131125 AA196661 AA262197 AA327733 AA393269 AA458805 AA524341 AA589877 AA655413 AA720949 AA786485 AA852021 AA917557 AA983093 AC131125 AC458805 AC196661 AC262197 AC327733 AC393269 AC524341 AC589877 AC655413 AC720949 AC786485 AC852021 AC917557 AC983093 AC65589 AH52:AH53 AY8 AP52 AK52:AL53 AA8 AY65589 AY131125 AY196661 AY262197 AY327733 AY393269 AY458805 AY524341 AY589877 AY655413 AY720949 AY786485 AY852021 AY917557 AY983093 BA458805 BA196661 BA262197 BA327733 BA393269 BA524341 BA589877 BA655413 BA720949 BA786485 BA852021 BA917557 BA983093 BA65589 BA52 AC8:AD8 BA20 BA8 AY52 AK8:AL9 AD20 AG20:AH20 AK20:AL20 AP20 AY20 AH8:AH9 AP8 BA131125 AC52:AD52 AA52"/>
    <dataValidation type="textLength" operator="lessThanOrEqual" allowBlank="1" showInputMessage="1" showErrorMessage="1" errorTitle="Ошибка" error="Допускается ввод не более 900 символов!" sqref="BC65583:BC65590 BC131119:BC131126 BC196655:BC196662 BC262191:BC262198 BC327727:BC327734 BC393263:BC393270 BC458799:BC458806 BC524335:BC524342 BC589871:BC589878 BC655407:BC655414 BC720943:BC720950 BC786479:BC786486 BC852015:BC852022 BC917551:BC917558 BC983087:BC983094 AS8 T8:T12 AS52 T52:T56">
      <formula1>900</formula1>
    </dataValidation>
    <dataValidation allowBlank="1" promptTitle="checkPeriodRange" sqref="W131126 W196662 W262198 W327734 W393270 W458806 W524342 W589878 W655414 W720950 W786486 W852022 W917558 W983094 AW56 AU12 BB12 AW65590 AW131126 AW196662 AW262198 AW327734 AW393270 AW458806 AW524342 AW589878 AW655414 AW720950 AW786486 AW852022 AW917558 AW983094 Y65590 Y56 W65590 Y131126 Y196662 Y262198 Y327734 Y393270 Y458806 Y524342 Y589878 Y655414 Y720950 Y786486 Y852022 Y917558 Y983094 AU56 Y12 BB56 W12 AW12 W56"/>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9 Z131125 Z196661 Z262197 Z327733 Z393269 Z458805 Z524341 Z589877 Z655413 Z720949 Z786485 Z852021 Z917557 Z983093 AB65589 AB131125 AB196661 AB262197 AB327733 AB393269 AB458805 AB524341 AB589877 AB655413 AB720949 AB786485 AB852021 AB917557 AB983093 Z8 AB8 AX65589 AX131125 AX196661 AX262197 AX327733 AX393269 AX458805 AX524341 AX589877 AX655413 AX720949 AX786485 AX852021 AX917557 AX983093 AZ65589 AZ131125 AZ196661 AZ262197 AZ327733 AZ393269 AZ458805 AZ524341 AZ589877 AZ655413 AZ720949 AZ786485 AZ852021 AZ917557 AZ983093 AX52 AX20 AZ8 AZ52 AX8 AZ20 Z52 AB52"/>
    <dataValidation type="list" allowBlank="1" showInputMessage="1" showErrorMessage="1" errorTitle="Ошибка" error="Выберите значение из списка" sqref="AD917555:AS917555 AD983091:AS983091 AD65587:AS65587 AD131123:AS131123 AD196659:AS196659 AD262195:AS262195 AD327731:AS327731 AD393267:AS393267 AD458803:AS458803 AD524339:AS524339 AD589875:AS589875 AD655411:AS655411 AD720947:AS720947 AD786483:AS786483 AD852019:AS852019">
      <formula1>kind_of_scheme_in</formula1>
    </dataValidation>
    <dataValidation type="list" allowBlank="1" showInputMessage="1" showErrorMessage="1" errorTitle="Ошибка" error="Выберите значение из списка" sqref="T65589 T131125 T196661 T262197 T327733 T393269 T458805 T524341 T589877 T655413 T720949 T786485 T852021 T917557 T983093">
      <formula1>kind_of_heat_transfer</formula1>
    </dataValidation>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9" tint="-0.249977111117893"/>
  </sheetPr>
  <dimension ref="A1:AF303"/>
  <sheetViews>
    <sheetView showGridLines="0" zoomScale="90" workbookViewId="0">
      <pane xSplit="8" ySplit="29" topLeftCell="I30" activePane="bottomRight" state="frozen"/>
      <selection pane="topRight" activeCell="I1" sqref="I1"/>
      <selection pane="bottomLeft" activeCell="A30" sqref="A30"/>
      <selection pane="bottomRight"/>
    </sheetView>
  </sheetViews>
  <sheetFormatPr defaultColWidth="9.140625" defaultRowHeight="11.25" customHeight="1"/>
  <cols>
    <col min="1" max="1" width="10.7109375" style="915" hidden="1" customWidth="1"/>
    <col min="2" max="2" width="16.85546875" style="1291" hidden="1" customWidth="1"/>
    <col min="3" max="3" width="5.5703125" style="1567" hidden="1" customWidth="1"/>
    <col min="4" max="4" width="3" style="1560" customWidth="1"/>
    <col min="5" max="5" width="7" style="1560" customWidth="1"/>
    <col min="6" max="6" width="54" style="1560" customWidth="1"/>
    <col min="7" max="7" width="10" style="1560" customWidth="1"/>
    <col min="8" max="8" width="40.7109375" style="1560" hidden="1" customWidth="1"/>
    <col min="9" max="9" width="40.7109375" style="1560" customWidth="1"/>
    <col min="10" max="10" width="102" style="1560" customWidth="1"/>
    <col min="11" max="11" width="9" style="1291" customWidth="1"/>
    <col min="12" max="12" width="5" style="1567" customWidth="1"/>
    <col min="13" max="13" width="3" style="1567" customWidth="1"/>
    <col min="14" max="17" width="3" style="1291" customWidth="1"/>
    <col min="18" max="18" width="10" style="1567" customWidth="1"/>
    <col min="19" max="19" width="34" style="1291" customWidth="1"/>
    <col min="20" max="20" width="9" style="1291" customWidth="1"/>
    <col min="21" max="21" width="8" style="671" customWidth="1"/>
    <col min="22" max="26" width="8" style="1291" customWidth="1"/>
    <col min="27" max="31" width="8" style="1557" customWidth="1"/>
    <col min="32" max="32" width="9.140625" style="1560" hidden="1"/>
  </cols>
  <sheetData>
    <row r="1" spans="1:32" ht="22.5" hidden="1" customHeight="1">
      <c r="AF1" s="1556" t="s">
        <v>14</v>
      </c>
    </row>
    <row r="2" spans="1:32" ht="23.25" hidden="1" customHeight="1">
      <c r="B2" s="2041"/>
      <c r="C2" s="1092" t="s">
        <v>544</v>
      </c>
      <c r="D2" s="1563"/>
      <c r="E2" s="481">
        <f>B2</f>
        <v>0</v>
      </c>
      <c r="F2" s="482"/>
      <c r="G2" s="1571" t="s">
        <v>545</v>
      </c>
      <c r="H2" s="1571" t="s">
        <v>545</v>
      </c>
      <c r="I2" s="1571" t="s">
        <v>545</v>
      </c>
      <c r="J2" s="225" t="s">
        <v>546</v>
      </c>
      <c r="K2" s="478"/>
      <c r="AF2" s="1556">
        <v>0</v>
      </c>
    </row>
    <row r="3" spans="1:32" s="1567" customFormat="1" ht="0.75" hidden="1" customHeight="1">
      <c r="B3" s="2041"/>
      <c r="C3" s="1092"/>
      <c r="D3" s="483"/>
      <c r="E3" s="484"/>
      <c r="F3" s="485" t="s">
        <v>547</v>
      </c>
      <c r="G3" s="486"/>
      <c r="H3" s="486">
        <f>H4*H5+H7</f>
        <v>0</v>
      </c>
      <c r="I3" s="486">
        <f>I4*I5+I6</f>
        <v>0</v>
      </c>
      <c r="J3" s="487"/>
      <c r="AF3" s="1561">
        <v>0</v>
      </c>
    </row>
    <row r="4" spans="1:32" ht="23.25" hidden="1" customHeight="1">
      <c r="B4" s="2041"/>
      <c r="C4" s="1092"/>
      <c r="D4" s="1563"/>
      <c r="E4" s="481" t="str">
        <f>B2&amp;".1"</f>
        <v>.1</v>
      </c>
      <c r="F4" s="488" t="s">
        <v>548</v>
      </c>
      <c r="G4" s="489"/>
      <c r="H4" s="476"/>
      <c r="I4" s="476"/>
      <c r="J4" s="225" t="s">
        <v>549</v>
      </c>
      <c r="K4" s="478"/>
      <c r="AF4" s="1556">
        <v>0</v>
      </c>
    </row>
    <row r="5" spans="1:32" ht="18.75" hidden="1" customHeight="1">
      <c r="B5" s="2041"/>
      <c r="C5" s="1092"/>
      <c r="D5" s="1563"/>
      <c r="E5" s="481" t="str">
        <f>B2&amp;".2"</f>
        <v>.2</v>
      </c>
      <c r="F5" s="488" t="s">
        <v>550</v>
      </c>
      <c r="G5" s="1571" t="s">
        <v>551</v>
      </c>
      <c r="H5" s="476"/>
      <c r="I5" s="476"/>
      <c r="J5" s="225"/>
      <c r="K5" s="478"/>
      <c r="AF5" s="1556">
        <v>0</v>
      </c>
    </row>
    <row r="6" spans="1:32" ht="18.75" hidden="1" customHeight="1">
      <c r="B6" s="2041"/>
      <c r="C6" s="1092"/>
      <c r="D6" s="1563"/>
      <c r="E6" s="481" t="str">
        <f>B2&amp;".3"</f>
        <v>.3</v>
      </c>
      <c r="F6" s="488" t="s">
        <v>552</v>
      </c>
      <c r="G6" s="1571" t="s">
        <v>551</v>
      </c>
      <c r="H6" s="476"/>
      <c r="I6" s="476"/>
      <c r="J6" s="225"/>
      <c r="K6" s="478"/>
      <c r="AF6" s="1556">
        <v>0</v>
      </c>
    </row>
    <row r="7" spans="1:32" ht="18.75" hidden="1" customHeight="1">
      <c r="B7" s="2041"/>
      <c r="C7" s="1092"/>
      <c r="D7" s="1563"/>
      <c r="E7" s="481" t="str">
        <f>B2&amp;".4"</f>
        <v>.4</v>
      </c>
      <c r="F7" s="488" t="s">
        <v>553</v>
      </c>
      <c r="G7" s="1571" t="s">
        <v>545</v>
      </c>
      <c r="H7" s="490"/>
      <c r="I7" s="490"/>
      <c r="J7" s="225"/>
      <c r="K7" s="478"/>
      <c r="AF7" s="1556">
        <v>0</v>
      </c>
    </row>
    <row r="8" spans="1:32" s="1291" customFormat="1" ht="11.25" hidden="1" customHeight="1">
      <c r="A8" s="915"/>
      <c r="C8" s="1561"/>
      <c r="D8" s="472"/>
      <c r="H8" s="1085">
        <v>4</v>
      </c>
      <c r="I8" s="1085">
        <v>4</v>
      </c>
      <c r="L8" s="1561"/>
      <c r="M8" s="1561"/>
      <c r="R8" s="1561"/>
      <c r="AF8" s="1085">
        <v>0</v>
      </c>
    </row>
    <row r="9" spans="1:32" s="1291" customFormat="1" ht="22.5" hidden="1" customHeight="1">
      <c r="A9" s="915"/>
      <c r="C9" s="1561"/>
      <c r="D9" s="473"/>
      <c r="E9" s="1573"/>
      <c r="F9" s="475"/>
      <c r="G9" s="1571" t="s">
        <v>551</v>
      </c>
      <c r="H9" s="476"/>
      <c r="I9" s="476"/>
      <c r="J9" s="477" t="s">
        <v>554</v>
      </c>
      <c r="K9" s="478"/>
      <c r="L9" s="1561"/>
      <c r="M9" s="1561"/>
      <c r="R9" s="1561"/>
      <c r="U9" s="479"/>
      <c r="AA9" s="1557"/>
      <c r="AB9" s="1557"/>
      <c r="AC9" s="1557"/>
      <c r="AD9" s="1557"/>
      <c r="AE9" s="1557"/>
      <c r="AF9" s="1085">
        <v>0</v>
      </c>
    </row>
    <row r="10" spans="1:32" ht="11.25" hidden="1" customHeight="1">
      <c r="AF10" s="1556">
        <v>0</v>
      </c>
    </row>
    <row r="11" spans="1:32" ht="18.75" hidden="1" customHeight="1">
      <c r="D11" s="1563"/>
      <c r="E11" s="481"/>
      <c r="F11" s="475"/>
      <c r="G11" s="1571" t="s">
        <v>555</v>
      </c>
      <c r="H11" s="476"/>
      <c r="I11" s="476"/>
      <c r="J11" s="225" t="s">
        <v>556</v>
      </c>
      <c r="K11" s="478"/>
      <c r="AF11" s="1556">
        <v>0</v>
      </c>
    </row>
    <row r="12" spans="1:32" ht="11.25" hidden="1" customHeight="1">
      <c r="AF12" s="1556">
        <v>0</v>
      </c>
    </row>
    <row r="13" spans="1:32" ht="22.5" hidden="1" customHeight="1">
      <c r="D13" s="1563"/>
      <c r="E13" s="481"/>
      <c r="F13" s="475"/>
      <c r="G13" s="897" t="s">
        <v>557</v>
      </c>
      <c r="H13" s="480"/>
      <c r="I13" s="480"/>
      <c r="J13" s="680" t="s">
        <v>558</v>
      </c>
      <c r="K13" s="478"/>
      <c r="AF13" s="1556">
        <v>0</v>
      </c>
    </row>
    <row r="14" spans="1:32" ht="11.25" hidden="1" customHeight="1">
      <c r="AF14" s="1556">
        <v>0</v>
      </c>
    </row>
    <row r="15" spans="1:32" ht="22.5" hidden="1" customHeight="1">
      <c r="D15" s="1563"/>
      <c r="E15" s="481"/>
      <c r="F15" s="475"/>
      <c r="G15" s="1571" t="s">
        <v>559</v>
      </c>
      <c r="H15" s="480"/>
      <c r="I15" s="480"/>
      <c r="J15" s="225" t="s">
        <v>560</v>
      </c>
      <c r="K15" s="478"/>
      <c r="AF15" s="1556">
        <v>0</v>
      </c>
    </row>
    <row r="16" spans="1:32" ht="11.25" hidden="1" customHeight="1">
      <c r="AF16" s="1556">
        <v>0</v>
      </c>
    </row>
    <row r="17" spans="1:32" ht="22.5" hidden="1" customHeight="1">
      <c r="D17" s="1563"/>
      <c r="E17" s="481"/>
      <c r="F17" s="475"/>
      <c r="G17" s="1571" t="s">
        <v>561</v>
      </c>
      <c r="H17" s="480"/>
      <c r="I17" s="480"/>
      <c r="J17" s="225" t="s">
        <v>562</v>
      </c>
      <c r="K17" s="478"/>
      <c r="AF17" s="1556">
        <v>0</v>
      </c>
    </row>
    <row r="18" spans="1:32" ht="11.25" hidden="1" customHeight="1">
      <c r="AF18" s="1556">
        <v>0</v>
      </c>
    </row>
    <row r="19" spans="1:32" s="1557" customFormat="1" ht="11.25" hidden="1" customHeight="1">
      <c r="A19" s="915"/>
      <c r="B19" s="1085"/>
      <c r="C19" s="1561"/>
      <c r="D19" s="297"/>
      <c r="J19" s="1557">
        <v>4</v>
      </c>
      <c r="K19" s="1085"/>
      <c r="L19" s="1561"/>
      <c r="M19" s="1561"/>
      <c r="N19" s="1085"/>
      <c r="O19" s="1085"/>
      <c r="P19" s="1085"/>
      <c r="Q19" s="1085"/>
      <c r="R19" s="1561"/>
      <c r="S19" s="1085"/>
      <c r="T19" s="1085"/>
      <c r="U19" s="479"/>
      <c r="V19" s="1085"/>
      <c r="W19" s="1085"/>
      <c r="X19" s="1085"/>
      <c r="Y19" s="1085"/>
      <c r="Z19" s="1085"/>
      <c r="AF19" s="1557">
        <v>0</v>
      </c>
    </row>
    <row r="20" spans="1:32" ht="11.45" customHeight="1">
      <c r="AF20" s="1556">
        <v>11</v>
      </c>
    </row>
    <row r="21" spans="1:32" ht="25.15" customHeight="1">
      <c r="E21" s="2170" t="str">
        <f>FHD_NAME_FORM</f>
        <v>Форма 7. Информация об основных показателях финансово-хозяйственной деятельности регулируемой организации, включая структуру основных производственных затрат (в части регулируемых видов деятельности)</v>
      </c>
      <c r="F21" s="2170"/>
      <c r="G21" s="2170"/>
      <c r="H21" s="2170"/>
      <c r="I21" s="2170"/>
      <c r="J21" s="491"/>
      <c r="AF21" s="1556">
        <v>24</v>
      </c>
    </row>
    <row r="22" spans="1:32" ht="25.15" customHeight="1">
      <c r="E22" s="2115" t="str">
        <f>IF(org=0,"Не определено",org)</f>
        <v>ООО "ЗЕНИТ ЭНЕРГО"</v>
      </c>
      <c r="F22" s="2115"/>
      <c r="G22" s="2115"/>
      <c r="H22" s="2115"/>
      <c r="I22" s="2115"/>
      <c r="AF22" s="1556">
        <v>24</v>
      </c>
    </row>
    <row r="23" spans="1:32" ht="11.45" customHeight="1">
      <c r="E23" s="1060"/>
      <c r="F23" s="1060"/>
      <c r="G23" s="1060"/>
      <c r="H23" s="1060"/>
      <c r="I23" s="1060"/>
      <c r="AF23" s="1556">
        <v>11</v>
      </c>
    </row>
    <row r="24" spans="1:32" s="1567" customFormat="1" ht="1.1499999999999999" customHeight="1">
      <c r="A24" s="1092"/>
      <c r="H24" s="817"/>
      <c r="I24" s="817" t="s">
        <v>117</v>
      </c>
      <c r="AF24" s="1561">
        <v>1</v>
      </c>
    </row>
    <row r="25" spans="1:32" ht="11.45" customHeight="1">
      <c r="E25" s="646"/>
      <c r="F25" s="2269" t="s">
        <v>105</v>
      </c>
      <c r="G25" s="2270"/>
      <c r="H25" s="1577" t="str">
        <f>IF(H24="","",INDEX(DIFFERENTIATION_UNMERGE_VD,MATCH(H24,DIFFERENTIATION_ID_DIFF,0)))</f>
        <v/>
      </c>
      <c r="I25" s="1577" t="str">
        <f>IF(I24="","",INDEX(DIFFERENTIATION_UNMERGE_VD,MATCH(I24,DIFFERENTIATION_ID_DIFF,0)))</f>
        <v>Производство тепловой энергии. Некомбинированная выработка; Передача. Тепловая энергия; Сбыт. Тепловая энергия</v>
      </c>
      <c r="J25" s="2066"/>
      <c r="AF25" s="1556">
        <v>11</v>
      </c>
    </row>
    <row r="26" spans="1:32" ht="11.45" customHeight="1">
      <c r="E26" s="646"/>
      <c r="F26" s="2269" t="s">
        <v>563</v>
      </c>
      <c r="G26" s="2270"/>
      <c r="H26" s="1577" t="str">
        <f>IF(H24="","",INDEX(DIFFERENTIATION_UNMERGE_AREA,MATCH(H24,DIFFERENTIATION_ID_DIFF,0)))</f>
        <v/>
      </c>
      <c r="I26" s="1577" t="str">
        <f>IF(I24="","",INDEX(DIFFERENTIATION_UNMERGE_AREA,MATCH(I24,DIFFERENTIATION_ID_DIFF,0)))</f>
        <v>Территория 1</v>
      </c>
      <c r="J26" s="2066"/>
      <c r="AF26" s="1556">
        <v>11</v>
      </c>
    </row>
    <row r="27" spans="1:32" ht="11.45" customHeight="1">
      <c r="E27" s="646"/>
      <c r="F27" s="2269" t="s">
        <v>564</v>
      </c>
      <c r="G27" s="2270"/>
      <c r="H27" s="1577" t="str">
        <f>IF(H24="","",INDEX(DIFFERENTIATION_UNMERGE_SYSTEM,MATCH(H24,DIFFERENTIATION_ID_DIFF,0)))</f>
        <v/>
      </c>
      <c r="I27" s="1577" t="str">
        <f>IF(I24="","",INDEX(DIFFERENTIATION_UNMERGE_SYSTEM,MATCH(I24,DIFFERENTIATION_ID_DIFF,0)))</f>
        <v>без дифференциации</v>
      </c>
      <c r="J27" s="2066"/>
      <c r="AF27" s="1556">
        <v>11</v>
      </c>
    </row>
    <row r="28" spans="1:32" ht="11.45" customHeight="1">
      <c r="E28" s="2271" t="s">
        <v>299</v>
      </c>
      <c r="F28" s="2272"/>
      <c r="G28" s="2272"/>
      <c r="H28" s="1570"/>
      <c r="I28" s="1570"/>
      <c r="J28" s="2066"/>
      <c r="AF28" s="1556">
        <v>11</v>
      </c>
    </row>
    <row r="29" spans="1:32" ht="24" customHeight="1">
      <c r="E29" s="1571" t="s">
        <v>88</v>
      </c>
      <c r="F29" s="1578" t="s">
        <v>301</v>
      </c>
      <c r="G29" s="1578" t="s">
        <v>565</v>
      </c>
      <c r="H29" s="1578" t="s">
        <v>302</v>
      </c>
      <c r="I29" s="1578" t="s">
        <v>302</v>
      </c>
      <c r="J29" s="2066"/>
      <c r="AF29" s="1556">
        <v>23</v>
      </c>
    </row>
    <row r="30" spans="1:32" ht="19.899999999999999" customHeight="1">
      <c r="D30" s="1563"/>
      <c r="E30" s="481">
        <f>FHD_NUM_P_1</f>
        <v>1</v>
      </c>
      <c r="F30" s="1804" t="str">
        <f>FHD_P_1</f>
        <v>Выручка от регулируемого вида деятельности с распределением по видам деятельности</v>
      </c>
      <c r="G30" s="1802" t="s">
        <v>551</v>
      </c>
      <c r="H30" s="492"/>
      <c r="I30" s="492"/>
      <c r="J30" s="225" t="str">
        <f>FHD_NOTE_P_1</f>
        <v>Указывается выручка от регулируемого вида деятельности с распределением по видам деятельности.</v>
      </c>
      <c r="K30" s="478"/>
      <c r="AF30" s="1556">
        <v>19</v>
      </c>
    </row>
    <row r="31" spans="1:32" ht="11.45" customHeight="1">
      <c r="D31" s="1563"/>
      <c r="E31" s="481">
        <f>FHD_NUM_P_2</f>
        <v>2</v>
      </c>
      <c r="F31" s="1804" t="str">
        <f>FHD_P_2</f>
        <v>Себестоимость производимых товаров (оказываемых услуг) по регулируемому виду деятельности, включая:</v>
      </c>
      <c r="G31" s="1802" t="s">
        <v>551</v>
      </c>
      <c r="H31" s="493">
        <f>SUMIF($K33:$K71,$K31,H33:H71)</f>
        <v>0</v>
      </c>
      <c r="I31" s="493">
        <f>SUMIF($K33:$K71,$K31,I33:I71)</f>
        <v>0</v>
      </c>
      <c r="J31" s="225" t="str">
        <f>FHD_NOTE_P_2</f>
        <v>Указывается суммарная себестоимость производимых товаров.</v>
      </c>
      <c r="K31" s="1561" t="s">
        <v>566</v>
      </c>
      <c r="AF31" s="1556">
        <v>11</v>
      </c>
    </row>
    <row r="32" spans="1:32" ht="11.45" customHeight="1">
      <c r="D32" s="1563"/>
      <c r="E32" s="481" t="str">
        <f>FHD_NUM_P_3</f>
        <v>2.1</v>
      </c>
      <c r="F32" s="1449" t="str">
        <f>FHD_P_3</f>
        <v>Расходы на приобретаемую тепловую энергию (мощность), теплоноситель</v>
      </c>
      <c r="G32" s="1802" t="s">
        <v>551</v>
      </c>
      <c r="H32" s="492"/>
      <c r="I32" s="492"/>
      <c r="J32" s="225" t="str">
        <f>FHD_NOTE_P_3</f>
        <v/>
      </c>
      <c r="K32" s="1561" t="str">
        <f t="shared" ref="K32:K70" si="0">IF((LEN(E32)-LEN(SUBSTITUTE(E32,".","")))/LEN(".")=1,"p","")</f>
        <v>p</v>
      </c>
      <c r="AF32" s="1556">
        <v>11</v>
      </c>
    </row>
    <row r="33" spans="1:32" ht="11.25" customHeight="1">
      <c r="A33" s="2273" t="s">
        <v>567</v>
      </c>
      <c r="D33" s="1563"/>
      <c r="E33" s="481" t="str">
        <f>FHD_NUM_P_4</f>
        <v>2.2</v>
      </c>
      <c r="F33" s="1449" t="str">
        <f>FHD_P_4</f>
        <v>Расходы на топливо с указанием по каждому виду топлива стоимости (за единицу объема), объема и способа его приобретения, стоимости его доставки</v>
      </c>
      <c r="G33" s="1802" t="s">
        <v>551</v>
      </c>
      <c r="H33" s="493">
        <f>SUMIF($F34:$F40,$F3,H34:H40)</f>
        <v>0</v>
      </c>
      <c r="I33" s="493">
        <f>SUMIF($F34:$F40,$F3,I34:I40)</f>
        <v>0</v>
      </c>
      <c r="J33" s="225" t="str">
        <f>FHD_NOTE_P_4</f>
        <v>Указываются суммарные расходы на приобретение топлива всех видов.</v>
      </c>
      <c r="K33" s="1561" t="str">
        <f t="shared" si="0"/>
        <v>p</v>
      </c>
      <c r="AF33" s="1556">
        <v>0</v>
      </c>
    </row>
    <row r="34" spans="1:32" s="1566" customFormat="1" ht="0.75" customHeight="1">
      <c r="A34" s="2273"/>
      <c r="B34" s="2274" t="str">
        <f>E33&amp;".0"</f>
        <v>2.2.0</v>
      </c>
      <c r="C34" s="1092"/>
      <c r="D34" s="495"/>
      <c r="E34" s="496"/>
      <c r="F34" s="497"/>
      <c r="G34" s="498"/>
      <c r="H34" s="432"/>
      <c r="I34" s="432"/>
      <c r="J34" s="499"/>
      <c r="K34" s="1561" t="str">
        <f t="shared" si="0"/>
        <v/>
      </c>
      <c r="L34" s="1561"/>
      <c r="M34" s="1561"/>
      <c r="N34" s="1561"/>
      <c r="O34" s="1561"/>
      <c r="P34" s="1561"/>
      <c r="Q34" s="1561"/>
      <c r="R34" s="1561"/>
      <c r="S34" s="1561"/>
      <c r="T34" s="1561"/>
      <c r="U34" s="500"/>
      <c r="V34" s="1561"/>
      <c r="W34" s="1561"/>
      <c r="X34" s="1561"/>
      <c r="Y34" s="1561"/>
      <c r="Z34" s="1561"/>
      <c r="AA34" s="501"/>
      <c r="AB34" s="501"/>
      <c r="AC34" s="501"/>
      <c r="AD34" s="501"/>
      <c r="AE34" s="501"/>
      <c r="AF34" s="1566">
        <v>0</v>
      </c>
    </row>
    <row r="35" spans="1:32" s="1566" customFormat="1" ht="0.75" customHeight="1">
      <c r="A35" s="2273"/>
      <c r="B35" s="2274"/>
      <c r="C35" s="1092"/>
      <c r="D35" s="495"/>
      <c r="E35" s="502"/>
      <c r="F35" s="503"/>
      <c r="G35" s="498"/>
      <c r="H35" s="504"/>
      <c r="I35" s="504"/>
      <c r="J35" s="499"/>
      <c r="K35" s="1561" t="str">
        <f t="shared" si="0"/>
        <v/>
      </c>
      <c r="L35" s="1561"/>
      <c r="M35" s="1561"/>
      <c r="N35" s="1561"/>
      <c r="O35" s="1561"/>
      <c r="P35" s="1561"/>
      <c r="Q35" s="1561"/>
      <c r="R35" s="1561"/>
      <c r="S35" s="1561"/>
      <c r="T35" s="1561"/>
      <c r="U35" s="500"/>
      <c r="V35" s="1561"/>
      <c r="W35" s="1561"/>
      <c r="X35" s="1561"/>
      <c r="Y35" s="1561"/>
      <c r="Z35" s="1561"/>
      <c r="AA35" s="501"/>
      <c r="AB35" s="501"/>
      <c r="AC35" s="501"/>
      <c r="AD35" s="501"/>
      <c r="AE35" s="501"/>
      <c r="AF35" s="1566">
        <v>0</v>
      </c>
    </row>
    <row r="36" spans="1:32" s="1566" customFormat="1" ht="0.75" customHeight="1">
      <c r="A36" s="2273"/>
      <c r="B36" s="2274"/>
      <c r="C36" s="1092"/>
      <c r="D36" s="495"/>
      <c r="E36" s="502"/>
      <c r="F36" s="503"/>
      <c r="G36" s="498"/>
      <c r="H36" s="504"/>
      <c r="I36" s="504"/>
      <c r="J36" s="499"/>
      <c r="K36" s="1561" t="str">
        <f t="shared" si="0"/>
        <v/>
      </c>
      <c r="L36" s="1561"/>
      <c r="M36" s="1561"/>
      <c r="N36" s="1561"/>
      <c r="O36" s="1561"/>
      <c r="P36" s="1561"/>
      <c r="Q36" s="1561"/>
      <c r="R36" s="1561"/>
      <c r="S36" s="1561"/>
      <c r="T36" s="1561"/>
      <c r="U36" s="500"/>
      <c r="V36" s="1561"/>
      <c r="W36" s="1561"/>
      <c r="X36" s="1561"/>
      <c r="Y36" s="1561"/>
      <c r="Z36" s="1561"/>
      <c r="AA36" s="501"/>
      <c r="AB36" s="501"/>
      <c r="AC36" s="501"/>
      <c r="AD36" s="501"/>
      <c r="AE36" s="501"/>
      <c r="AF36" s="1566">
        <v>0</v>
      </c>
    </row>
    <row r="37" spans="1:32" s="1566" customFormat="1" ht="0.75" customHeight="1">
      <c r="A37" s="2273"/>
      <c r="B37" s="2274"/>
      <c r="C37" s="1092"/>
      <c r="D37" s="495"/>
      <c r="E37" s="502"/>
      <c r="F37" s="503"/>
      <c r="G37" s="498"/>
      <c r="H37" s="504"/>
      <c r="I37" s="504"/>
      <c r="J37" s="499"/>
      <c r="K37" s="1561" t="str">
        <f t="shared" si="0"/>
        <v/>
      </c>
      <c r="L37" s="1561"/>
      <c r="M37" s="1561"/>
      <c r="N37" s="1561"/>
      <c r="O37" s="1561"/>
      <c r="P37" s="1561"/>
      <c r="Q37" s="1561"/>
      <c r="R37" s="1561"/>
      <c r="S37" s="1561"/>
      <c r="T37" s="1561"/>
      <c r="U37" s="500"/>
      <c r="V37" s="1561"/>
      <c r="W37" s="1561"/>
      <c r="X37" s="1561"/>
      <c r="Y37" s="1561"/>
      <c r="Z37" s="1561"/>
      <c r="AA37" s="501"/>
      <c r="AB37" s="501"/>
      <c r="AC37" s="501"/>
      <c r="AD37" s="501"/>
      <c r="AE37" s="501"/>
      <c r="AF37" s="1566">
        <v>0</v>
      </c>
    </row>
    <row r="38" spans="1:32" s="1566" customFormat="1" ht="0.75" customHeight="1">
      <c r="A38" s="2273"/>
      <c r="B38" s="2274"/>
      <c r="C38" s="1092"/>
      <c r="D38" s="495"/>
      <c r="E38" s="502"/>
      <c r="F38" s="503"/>
      <c r="G38" s="498"/>
      <c r="H38" s="504"/>
      <c r="I38" s="504"/>
      <c r="J38" s="499"/>
      <c r="K38" s="1561" t="str">
        <f t="shared" si="0"/>
        <v/>
      </c>
      <c r="L38" s="1561"/>
      <c r="M38" s="1561"/>
      <c r="N38" s="1561"/>
      <c r="O38" s="1561"/>
      <c r="P38" s="1561"/>
      <c r="Q38" s="1561"/>
      <c r="R38" s="1561"/>
      <c r="S38" s="1561"/>
      <c r="T38" s="1561"/>
      <c r="U38" s="500"/>
      <c r="V38" s="1561"/>
      <c r="W38" s="1561"/>
      <c r="X38" s="1561"/>
      <c r="Y38" s="1561"/>
      <c r="Z38" s="1561"/>
      <c r="AA38" s="501"/>
      <c r="AB38" s="501"/>
      <c r="AC38" s="501"/>
      <c r="AD38" s="501"/>
      <c r="AE38" s="501"/>
      <c r="AF38" s="1566">
        <v>0</v>
      </c>
    </row>
    <row r="39" spans="1:32" s="1566" customFormat="1" ht="0.75" customHeight="1">
      <c r="A39" s="2273"/>
      <c r="B39" s="2274"/>
      <c r="C39" s="1092"/>
      <c r="D39" s="495"/>
      <c r="E39" s="502"/>
      <c r="F39" s="503"/>
      <c r="G39" s="498"/>
      <c r="H39" s="432"/>
      <c r="I39" s="432"/>
      <c r="J39" s="499"/>
      <c r="K39" s="1561" t="str">
        <f t="shared" si="0"/>
        <v/>
      </c>
      <c r="L39" s="1561"/>
      <c r="M39" s="1561"/>
      <c r="N39" s="1561"/>
      <c r="O39" s="1561"/>
      <c r="P39" s="1561"/>
      <c r="Q39" s="1561"/>
      <c r="R39" s="1561"/>
      <c r="S39" s="1561"/>
      <c r="T39" s="1561"/>
      <c r="U39" s="500"/>
      <c r="V39" s="1561"/>
      <c r="W39" s="1561"/>
      <c r="X39" s="1561"/>
      <c r="Y39" s="1561"/>
      <c r="Z39" s="1561"/>
      <c r="AA39" s="501"/>
      <c r="AB39" s="501"/>
      <c r="AC39" s="501"/>
      <c r="AD39" s="501"/>
      <c r="AE39" s="501"/>
      <c r="AF39" s="1566">
        <v>0</v>
      </c>
    </row>
    <row r="40" spans="1:32" s="1291" customFormat="1" ht="15" customHeight="1">
      <c r="A40" s="2273"/>
      <c r="C40" s="1561"/>
      <c r="D40" s="1558"/>
      <c r="E40" s="505"/>
      <c r="F40" s="506" t="s">
        <v>568</v>
      </c>
      <c r="G40" s="507"/>
      <c r="H40" s="508"/>
      <c r="I40" s="508"/>
      <c r="J40" s="237"/>
      <c r="K40" s="1561" t="str">
        <f t="shared" si="0"/>
        <v/>
      </c>
      <c r="L40" s="1561"/>
      <c r="M40" s="1561"/>
      <c r="R40" s="1561"/>
      <c r="U40" s="479"/>
      <c r="AA40" s="1557"/>
      <c r="AB40" s="1557"/>
      <c r="AC40" s="1557"/>
      <c r="AD40" s="1557"/>
      <c r="AE40" s="1557"/>
      <c r="AF40" s="1085">
        <v>0</v>
      </c>
    </row>
    <row r="41" spans="1:32" ht="11.25" hidden="1" customHeight="1">
      <c r="A41" s="2273" t="s">
        <v>569</v>
      </c>
      <c r="D41" s="1563"/>
      <c r="E41" s="481" t="str">
        <f>FHD_NUM_P_5</f>
        <v/>
      </c>
      <c r="F41" s="1449" t="str">
        <f>FHD_P_5</f>
        <v/>
      </c>
      <c r="G41" s="1802" t="s">
        <v>551</v>
      </c>
      <c r="H41" s="492"/>
      <c r="I41" s="492"/>
      <c r="J41" s="225" t="str">
        <f>FHD_NOTE_P_5</f>
        <v/>
      </c>
      <c r="K41" s="1561" t="str">
        <f t="shared" si="0"/>
        <v/>
      </c>
      <c r="AF41" s="1556">
        <v>0</v>
      </c>
    </row>
    <row r="42" spans="1:32" ht="11.25" hidden="1" customHeight="1">
      <c r="A42" s="2273"/>
      <c r="D42" s="1563"/>
      <c r="E42" s="481" t="str">
        <f>FHD_NUM_P_6</f>
        <v/>
      </c>
      <c r="F42" s="1449" t="str">
        <f>FHD_P_6</f>
        <v/>
      </c>
      <c r="G42" s="1802" t="s">
        <v>551</v>
      </c>
      <c r="H42" s="492"/>
      <c r="I42" s="492"/>
      <c r="J42" s="225" t="str">
        <f>FHD_NOTE_P_6</f>
        <v/>
      </c>
      <c r="K42" s="1561" t="str">
        <f t="shared" si="0"/>
        <v/>
      </c>
      <c r="AF42" s="1556">
        <v>0</v>
      </c>
    </row>
    <row r="43" spans="1:32" ht="11.25" hidden="1" customHeight="1">
      <c r="A43" s="2273"/>
      <c r="D43" s="1563"/>
      <c r="E43" s="481" t="str">
        <f>FHD_NUM_P_7</f>
        <v/>
      </c>
      <c r="F43" s="1449" t="str">
        <f>FHD_P_7</f>
        <v/>
      </c>
      <c r="G43" s="1802" t="s">
        <v>551</v>
      </c>
      <c r="H43" s="492"/>
      <c r="I43" s="492"/>
      <c r="J43" s="225" t="str">
        <f>FHD_NOTE_P_7</f>
        <v/>
      </c>
      <c r="K43" s="1561" t="str">
        <f t="shared" si="0"/>
        <v/>
      </c>
      <c r="AF43" s="1556">
        <v>0</v>
      </c>
    </row>
    <row r="44" spans="1:32" ht="11.45" customHeight="1">
      <c r="D44" s="1563"/>
      <c r="E44" s="481" t="str">
        <f>FHD_NUM_P_8</f>
        <v>2.3</v>
      </c>
      <c r="F44" s="1449" t="str">
        <f>FHD_P_8</f>
        <v>Расходы на приобретаемую электрическую энергию (мощность), используемую в технологическом процессе</v>
      </c>
      <c r="G44" s="1802" t="s">
        <v>551</v>
      </c>
      <c r="H44" s="492"/>
      <c r="I44" s="492"/>
      <c r="J44" s="225" t="str">
        <f>FHD_NOTE_P_8</f>
        <v/>
      </c>
      <c r="K44" s="1561" t="str">
        <f t="shared" si="0"/>
        <v>p</v>
      </c>
      <c r="AF44" s="1556">
        <v>11</v>
      </c>
    </row>
    <row r="45" spans="1:32" ht="11.45" customHeight="1">
      <c r="D45" s="1563"/>
      <c r="E45" s="481" t="str">
        <f>FHD_NUM_P_9</f>
        <v>2.3.1</v>
      </c>
      <c r="F45" s="1575" t="str">
        <f>FHD_P_9</f>
        <v>Средневзвешенная стоимость 1 кВт.ч (с учетом мощности)</v>
      </c>
      <c r="G45" s="1802" t="s">
        <v>570</v>
      </c>
      <c r="H45" s="492"/>
      <c r="I45" s="492"/>
      <c r="J45" s="225" t="str">
        <f>FHD_NOTE_P_9</f>
        <v/>
      </c>
      <c r="K45" s="1561" t="str">
        <f t="shared" si="0"/>
        <v/>
      </c>
      <c r="AF45" s="1556">
        <v>11</v>
      </c>
    </row>
    <row r="46" spans="1:32" s="1291" customFormat="1" ht="11.45" customHeight="1">
      <c r="A46" s="915"/>
      <c r="C46" s="1561"/>
      <c r="D46" s="509"/>
      <c r="E46" s="481" t="str">
        <f>FHD_NUM_P_10</f>
        <v>2.3.2</v>
      </c>
      <c r="F46" s="1575" t="str">
        <f>FHD_P_10</f>
        <v>Объём приобретения электрической энергии</v>
      </c>
      <c r="G46" s="1802" t="s">
        <v>571</v>
      </c>
      <c r="H46" s="492"/>
      <c r="I46" s="492"/>
      <c r="J46" s="225" t="str">
        <f>FHD_NOTE_P_10</f>
        <v/>
      </c>
      <c r="K46" s="1561" t="str">
        <f t="shared" si="0"/>
        <v/>
      </c>
      <c r="L46" s="1561"/>
      <c r="M46" s="1561"/>
      <c r="R46" s="1561"/>
      <c r="U46" s="479"/>
      <c r="AA46" s="1557"/>
      <c r="AB46" s="1557"/>
      <c r="AC46" s="1557"/>
      <c r="AD46" s="1557"/>
      <c r="AE46" s="1557"/>
      <c r="AF46" s="1085">
        <v>11</v>
      </c>
    </row>
    <row r="47" spans="1:32" s="1291" customFormat="1" ht="11.25" customHeight="1">
      <c r="A47" s="917" t="s">
        <v>572</v>
      </c>
      <c r="C47" s="1561"/>
      <c r="D47" s="510"/>
      <c r="E47" s="481" t="str">
        <f>FHD_NUM_P_11</f>
        <v>2.4</v>
      </c>
      <c r="F47" s="1449" t="str">
        <f>FHD_P_11</f>
        <v>Расходы на приобретение холодной воды, используемой в технологическом процессе</v>
      </c>
      <c r="G47" s="1802" t="s">
        <v>551</v>
      </c>
      <c r="H47" s="492"/>
      <c r="I47" s="492"/>
      <c r="J47" s="225" t="str">
        <f>FHD_NOTE_P_11</f>
        <v/>
      </c>
      <c r="K47" s="1561" t="str">
        <f t="shared" si="0"/>
        <v>p</v>
      </c>
      <c r="L47" s="1561"/>
      <c r="M47" s="1561"/>
      <c r="R47" s="1561"/>
      <c r="U47" s="479"/>
      <c r="AA47" s="1557"/>
      <c r="AB47" s="1557"/>
      <c r="AC47" s="1557"/>
      <c r="AD47" s="1557"/>
      <c r="AE47" s="1557"/>
      <c r="AF47" s="1085">
        <v>0</v>
      </c>
    </row>
    <row r="48" spans="1:32" s="1291" customFormat="1" ht="18.75" customHeight="1">
      <c r="A48" s="917" t="s">
        <v>573</v>
      </c>
      <c r="C48" s="1561"/>
      <c r="D48" s="1563"/>
      <c r="E48" s="481" t="str">
        <f>FHD_NUM_P_12</f>
        <v>2.5</v>
      </c>
      <c r="F48" s="1449" t="str">
        <f>FHD_P_12</f>
        <v>Расходы на  химические реагенты, используемые в технологическом процессе</v>
      </c>
      <c r="G48" s="1802" t="s">
        <v>551</v>
      </c>
      <c r="H48" s="512"/>
      <c r="I48" s="512"/>
      <c r="J48" s="225" t="str">
        <f>FHD_NOTE_P_12</f>
        <v/>
      </c>
      <c r="K48" s="1561" t="str">
        <f t="shared" si="0"/>
        <v>p</v>
      </c>
      <c r="L48" s="1561"/>
      <c r="M48" s="1561"/>
      <c r="R48" s="1561"/>
      <c r="U48" s="479"/>
      <c r="AA48" s="1557"/>
      <c r="AB48" s="1557"/>
      <c r="AC48" s="1557"/>
      <c r="AD48" s="1557"/>
      <c r="AE48" s="1557"/>
      <c r="AF48" s="1085">
        <v>18</v>
      </c>
    </row>
    <row r="49" spans="1:32" s="1290" customFormat="1" ht="11.45" customHeight="1">
      <c r="A49" s="916"/>
      <c r="C49" s="665"/>
      <c r="D49" s="608"/>
      <c r="E49" s="481" t="str">
        <f>FHD_NUM_P_13</f>
        <v>2.6</v>
      </c>
      <c r="F49" s="1449" t="str">
        <f>FHD_P_13</f>
        <v>Расходы на оплату труда и страховые взносы на обязательное социальное страхование, выплачиваемые из фонда оплаты труда основного производственного персонала, в том числе:</v>
      </c>
      <c r="G49" s="1802" t="s">
        <v>551</v>
      </c>
      <c r="H49" s="492"/>
      <c r="I49" s="492"/>
      <c r="J49" s="225" t="str">
        <f>FHD_NOTE_P_13</f>
        <v/>
      </c>
      <c r="K49" s="1561" t="str">
        <f t="shared" si="0"/>
        <v>p</v>
      </c>
      <c r="L49" s="665"/>
      <c r="M49" s="665"/>
      <c r="R49" s="665"/>
      <c r="U49" s="666"/>
      <c r="AA49" s="667"/>
      <c r="AB49" s="667"/>
      <c r="AC49" s="667"/>
      <c r="AD49" s="667"/>
      <c r="AE49" s="667"/>
      <c r="AF49" s="664">
        <v>11</v>
      </c>
    </row>
    <row r="50" spans="1:32" s="1290" customFormat="1" ht="11.45" customHeight="1">
      <c r="A50" s="916"/>
      <c r="C50" s="665"/>
      <c r="D50" s="608"/>
      <c r="E50" s="481" t="str">
        <f>FHD_NUM_P_14</f>
        <v>2.6.1</v>
      </c>
      <c r="F50" s="1575" t="str">
        <f>FHD_P_14</f>
        <v>Расходы на оплату труда основного производственного персонала</v>
      </c>
      <c r="G50" s="1802" t="s">
        <v>551</v>
      </c>
      <c r="H50" s="492"/>
      <c r="I50" s="492"/>
      <c r="J50" s="225" t="str">
        <f>FHD_NOTE_P_14</f>
        <v/>
      </c>
      <c r="K50" s="1561" t="str">
        <f t="shared" si="0"/>
        <v/>
      </c>
      <c r="L50" s="665"/>
      <c r="M50" s="665"/>
      <c r="R50" s="665"/>
      <c r="U50" s="666"/>
      <c r="AA50" s="667"/>
      <c r="AB50" s="667"/>
      <c r="AC50" s="667"/>
      <c r="AD50" s="667"/>
      <c r="AE50" s="667"/>
      <c r="AF50" s="664">
        <v>11</v>
      </c>
    </row>
    <row r="51" spans="1:32" s="1290" customFormat="1" ht="11.45" customHeight="1">
      <c r="A51" s="916"/>
      <c r="C51" s="665"/>
      <c r="D51" s="608"/>
      <c r="E51" s="481" t="str">
        <f>FHD_NUM_P_15</f>
        <v>2.6.2</v>
      </c>
      <c r="F51" s="1575" t="str">
        <f>FHD_P_15</f>
        <v>Страховые взносы на обязательное социальное страхование, выплачиваемые из фонда оплаты труда основного производственного персонала</v>
      </c>
      <c r="G51" s="1802" t="s">
        <v>551</v>
      </c>
      <c r="H51" s="492"/>
      <c r="I51" s="492"/>
      <c r="J51" s="225" t="str">
        <f>FHD_NOTE_P_15</f>
        <v/>
      </c>
      <c r="K51" s="1561" t="str">
        <f t="shared" si="0"/>
        <v/>
      </c>
      <c r="L51" s="665"/>
      <c r="M51" s="665"/>
      <c r="R51" s="665"/>
      <c r="U51" s="666"/>
      <c r="AA51" s="667"/>
      <c r="AB51" s="667"/>
      <c r="AC51" s="667"/>
      <c r="AD51" s="667"/>
      <c r="AE51" s="667"/>
      <c r="AF51" s="664">
        <v>11</v>
      </c>
    </row>
    <row r="52" spans="1:32" s="1291" customFormat="1" ht="11.45" customHeight="1">
      <c r="A52" s="915"/>
      <c r="C52" s="1561"/>
      <c r="D52" s="1563"/>
      <c r="E52" s="481" t="str">
        <f>FHD_NUM_P_16</f>
        <v>2.7</v>
      </c>
      <c r="F52" s="1449" t="str">
        <f>FHD_P_16</f>
        <v>Расходы на оплату труда и страховые взносы на обязательное социальное страхование, выплачиваемые из фонда оплаты труда административно-управленческого персонала, в том числе:</v>
      </c>
      <c r="G52" s="1802" t="s">
        <v>551</v>
      </c>
      <c r="H52" s="492"/>
      <c r="I52" s="492"/>
      <c r="J52" s="225" t="str">
        <f>FHD_NOTE_P_16</f>
        <v/>
      </c>
      <c r="K52" s="1561" t="str">
        <f t="shared" si="0"/>
        <v>p</v>
      </c>
      <c r="L52" s="1561"/>
      <c r="M52" s="1567"/>
      <c r="N52" s="472"/>
      <c r="O52" s="472"/>
      <c r="R52" s="1561"/>
      <c r="U52" s="479"/>
      <c r="AA52" s="1557"/>
      <c r="AB52" s="1557"/>
      <c r="AC52" s="1557"/>
      <c r="AD52" s="1557"/>
      <c r="AE52" s="1557"/>
      <c r="AF52" s="1085">
        <v>11</v>
      </c>
    </row>
    <row r="53" spans="1:32" s="1291" customFormat="1" ht="11.45" customHeight="1">
      <c r="A53" s="915"/>
      <c r="C53" s="1561"/>
      <c r="D53" s="1563"/>
      <c r="E53" s="481" t="str">
        <f>FHD_NUM_P_17</f>
        <v>2.7.1</v>
      </c>
      <c r="F53" s="1575" t="str">
        <f>FHD_P_17</f>
        <v>Расходы на оплату труда административно-управленческого персонала</v>
      </c>
      <c r="G53" s="1802" t="s">
        <v>551</v>
      </c>
      <c r="H53" s="492"/>
      <c r="I53" s="492"/>
      <c r="J53" s="225" t="str">
        <f>FHD_NOTE_P_17</f>
        <v/>
      </c>
      <c r="K53" s="1561" t="str">
        <f t="shared" si="0"/>
        <v/>
      </c>
      <c r="L53" s="1561"/>
      <c r="M53" s="1567"/>
      <c r="N53" s="472"/>
      <c r="O53" s="472"/>
      <c r="R53" s="1561"/>
      <c r="U53" s="479"/>
      <c r="AA53" s="1557"/>
      <c r="AB53" s="1557"/>
      <c r="AC53" s="1557"/>
      <c r="AD53" s="1557"/>
      <c r="AE53" s="1557"/>
      <c r="AF53" s="1085">
        <v>11</v>
      </c>
    </row>
    <row r="54" spans="1:32" s="1291" customFormat="1" ht="11.45" customHeight="1">
      <c r="A54" s="915"/>
      <c r="C54" s="1561"/>
      <c r="D54" s="1563"/>
      <c r="E54" s="481" t="str">
        <f>FHD_NUM_P_18</f>
        <v>2.7.2</v>
      </c>
      <c r="F54" s="1575" t="str">
        <f>FHD_P_18</f>
        <v>Страховые взносы на обязательное социальное страхование, выплачиваемые из фонда оплаты труда административно-управленческого персонала</v>
      </c>
      <c r="G54" s="1802" t="s">
        <v>551</v>
      </c>
      <c r="H54" s="492"/>
      <c r="I54" s="492"/>
      <c r="J54" s="225" t="str">
        <f>FHD_NOTE_P_18</f>
        <v/>
      </c>
      <c r="K54" s="1561" t="str">
        <f t="shared" si="0"/>
        <v/>
      </c>
      <c r="L54" s="1561"/>
      <c r="M54" s="1567"/>
      <c r="N54" s="472"/>
      <c r="O54" s="472"/>
      <c r="R54" s="1561"/>
      <c r="U54" s="479"/>
      <c r="AA54" s="1557"/>
      <c r="AB54" s="1557"/>
      <c r="AC54" s="1557"/>
      <c r="AD54" s="1557"/>
      <c r="AE54" s="1557"/>
      <c r="AF54" s="1085">
        <v>11</v>
      </c>
    </row>
    <row r="55" spans="1:32" s="1291" customFormat="1" ht="11.45" customHeight="1">
      <c r="A55" s="915"/>
      <c r="C55" s="1561"/>
      <c r="D55" s="510"/>
      <c r="E55" s="481" t="str">
        <f>FHD_NUM_P_19</f>
        <v>2.8</v>
      </c>
      <c r="F55" s="1449" t="str">
        <f>FHD_P_19</f>
        <v>Расходы на амортизацию основных средств и нематериальных активов</v>
      </c>
      <c r="G55" s="1802" t="s">
        <v>551</v>
      </c>
      <c r="H55" s="492"/>
      <c r="I55" s="492"/>
      <c r="J55" s="225" t="str">
        <f>FHD_NOTE_P_19</f>
        <v/>
      </c>
      <c r="K55" s="1561" t="str">
        <f t="shared" si="0"/>
        <v>p</v>
      </c>
      <c r="L55" s="1561"/>
      <c r="M55" s="1561"/>
      <c r="R55" s="1561"/>
      <c r="U55" s="479"/>
      <c r="AA55" s="1557"/>
      <c r="AB55" s="1557"/>
      <c r="AC55" s="1557"/>
      <c r="AD55" s="1557"/>
      <c r="AE55" s="1557"/>
      <c r="AF55" s="1085">
        <v>11</v>
      </c>
    </row>
    <row r="56" spans="1:32" s="1291" customFormat="1" ht="11.45" customHeight="1">
      <c r="A56" s="915"/>
      <c r="C56" s="1561"/>
      <c r="D56" s="510"/>
      <c r="E56" s="481" t="str">
        <f>FHD_NUM_P_20</f>
        <v>2.8.1</v>
      </c>
      <c r="F56" s="1575" t="str">
        <f>FHD_P_20</f>
        <v>Расходы на амортизацию основных средств</v>
      </c>
      <c r="G56" s="1802" t="s">
        <v>551</v>
      </c>
      <c r="H56" s="492"/>
      <c r="I56" s="492"/>
      <c r="J56" s="225" t="str">
        <f>FHD_NOTE_P_20</f>
        <v/>
      </c>
      <c r="K56" s="1561" t="str">
        <f t="shared" si="0"/>
        <v/>
      </c>
      <c r="L56" s="1561"/>
      <c r="M56" s="1561"/>
      <c r="R56" s="1561"/>
      <c r="U56" s="479"/>
      <c r="AA56" s="1557"/>
      <c r="AB56" s="1557"/>
      <c r="AC56" s="1557"/>
      <c r="AD56" s="1557"/>
      <c r="AE56" s="1557"/>
      <c r="AF56" s="1085">
        <v>11</v>
      </c>
    </row>
    <row r="57" spans="1:32" s="1291" customFormat="1" ht="11.45" customHeight="1">
      <c r="A57" s="915"/>
      <c r="C57" s="1561"/>
      <c r="D57" s="510"/>
      <c r="E57" s="481" t="str">
        <f>FHD_NUM_P_21</f>
        <v>2.8.2</v>
      </c>
      <c r="F57" s="1575" t="str">
        <f>FHD_P_21</f>
        <v>Расходы на амортизацию нематериальных активов</v>
      </c>
      <c r="G57" s="1802" t="s">
        <v>551</v>
      </c>
      <c r="H57" s="492"/>
      <c r="I57" s="492"/>
      <c r="J57" s="225" t="str">
        <f>FHD_NOTE_P_21</f>
        <v/>
      </c>
      <c r="K57" s="1561" t="str">
        <f t="shared" si="0"/>
        <v/>
      </c>
      <c r="L57" s="1561"/>
      <c r="M57" s="1561"/>
      <c r="R57" s="1561"/>
      <c r="U57" s="479"/>
      <c r="AA57" s="1557"/>
      <c r="AB57" s="1557"/>
      <c r="AC57" s="1557"/>
      <c r="AD57" s="1557"/>
      <c r="AE57" s="1557"/>
      <c r="AF57" s="1085">
        <v>11</v>
      </c>
    </row>
    <row r="58" spans="1:32" s="1291" customFormat="1" ht="11.45" customHeight="1">
      <c r="A58" s="915"/>
      <c r="C58" s="1561"/>
      <c r="D58" s="1563"/>
      <c r="E58" s="481" t="str">
        <f>FHD_NUM_P_22</f>
        <v>2.9</v>
      </c>
      <c r="F58" s="1449" t="str">
        <f>FHD_P_22</f>
        <v>Расходы на аренду имущества, используемого для осуществления регулируемого вида деятельности</v>
      </c>
      <c r="G58" s="1802" t="s">
        <v>551</v>
      </c>
      <c r="H58" s="492"/>
      <c r="I58" s="492"/>
      <c r="J58" s="225" t="str">
        <f>FHD_NOTE_P_22</f>
        <v/>
      </c>
      <c r="K58" s="1561" t="str">
        <f t="shared" si="0"/>
        <v>p</v>
      </c>
      <c r="L58" s="1561"/>
      <c r="M58" s="1561"/>
      <c r="R58" s="1561"/>
      <c r="U58" s="479"/>
      <c r="AA58" s="1557"/>
      <c r="AB58" s="1557"/>
      <c r="AC58" s="1557"/>
      <c r="AD58" s="1557"/>
      <c r="AE58" s="1557"/>
      <c r="AF58" s="1085">
        <v>11</v>
      </c>
    </row>
    <row r="59" spans="1:32" s="1291" customFormat="1" ht="11.45" customHeight="1">
      <c r="A59" s="915"/>
      <c r="C59" s="1561"/>
      <c r="D59" s="510"/>
      <c r="E59" s="481" t="str">
        <f>FHD_NUM_P_23</f>
        <v>2.10</v>
      </c>
      <c r="F59" s="1449" t="str">
        <f>FHD_P_23</f>
        <v>Общепроизводственные расходы, в том числе:</v>
      </c>
      <c r="G59" s="1802" t="s">
        <v>551</v>
      </c>
      <c r="H59" s="492"/>
      <c r="I59" s="492"/>
      <c r="J59" s="225" t="str">
        <f>FHD_NOTE_P_23</f>
        <v>Указывается общая сумма общепроизводственных расходов.</v>
      </c>
      <c r="K59" s="1561" t="str">
        <f t="shared" si="0"/>
        <v>p</v>
      </c>
      <c r="L59" s="1561"/>
      <c r="M59" s="1561"/>
      <c r="R59" s="1561"/>
      <c r="U59" s="479"/>
      <c r="AA59" s="1557"/>
      <c r="AB59" s="1557"/>
      <c r="AC59" s="1557"/>
      <c r="AD59" s="1557"/>
      <c r="AE59" s="1557"/>
      <c r="AF59" s="1085">
        <v>11</v>
      </c>
    </row>
    <row r="60" spans="1:32" s="1291" customFormat="1" ht="11.45" customHeight="1">
      <c r="A60" s="915"/>
      <c r="C60" s="1561"/>
      <c r="D60" s="510"/>
      <c r="E60" s="481" t="str">
        <f>FHD_NUM_P_24</f>
        <v>2.10.1</v>
      </c>
      <c r="F60" s="1575" t="str">
        <f>FHD_P_24</f>
        <v>Расходы на текущий ремонт</v>
      </c>
      <c r="G60" s="1802" t="s">
        <v>551</v>
      </c>
      <c r="H60" s="492"/>
      <c r="I60" s="492"/>
      <c r="J60" s="225" t="str">
        <f>FHD_NOTE_P_24</f>
        <v>Указываются расходы на текущий ремонт, отнесенные к общепроизводственным расходам.</v>
      </c>
      <c r="K60" s="1561" t="str">
        <f t="shared" si="0"/>
        <v/>
      </c>
      <c r="L60" s="1561"/>
      <c r="M60" s="1561"/>
      <c r="R60" s="1561"/>
      <c r="U60" s="479"/>
      <c r="AA60" s="1557"/>
      <c r="AB60" s="1557"/>
      <c r="AC60" s="1557"/>
      <c r="AD60" s="1557"/>
      <c r="AE60" s="1557"/>
      <c r="AF60" s="1085">
        <v>11</v>
      </c>
    </row>
    <row r="61" spans="1:32" s="1291" customFormat="1" ht="11.45" customHeight="1">
      <c r="A61" s="915"/>
      <c r="C61" s="1561"/>
      <c r="D61" s="510"/>
      <c r="E61" s="481" t="str">
        <f>FHD_NUM_P_25</f>
        <v>2.10.2</v>
      </c>
      <c r="F61" s="1575" t="str">
        <f>FHD_P_25</f>
        <v>Расходы на капитальный ремонт</v>
      </c>
      <c r="G61" s="1802" t="s">
        <v>551</v>
      </c>
      <c r="H61" s="492"/>
      <c r="I61" s="492"/>
      <c r="J61" s="225" t="str">
        <f>FHD_NOTE_P_25</f>
        <v>Указываются расходы на капитальный ремонт, отнесенные к общепроизводственным расходам.</v>
      </c>
      <c r="K61" s="1561" t="str">
        <f t="shared" si="0"/>
        <v/>
      </c>
      <c r="L61" s="1561"/>
      <c r="M61" s="1561"/>
      <c r="R61" s="1561"/>
      <c r="U61" s="479"/>
      <c r="AA61" s="1557"/>
      <c r="AB61" s="1557"/>
      <c r="AC61" s="1557"/>
      <c r="AD61" s="1557"/>
      <c r="AE61" s="1557"/>
      <c r="AF61" s="1085">
        <v>11</v>
      </c>
    </row>
    <row r="62" spans="1:32" s="1291" customFormat="1" ht="11.45" customHeight="1">
      <c r="A62" s="915"/>
      <c r="C62" s="1561"/>
      <c r="D62" s="1563"/>
      <c r="E62" s="481" t="str">
        <f>FHD_NUM_P_26</f>
        <v>2.11</v>
      </c>
      <c r="F62" s="1449" t="str">
        <f>FHD_P_26</f>
        <v>Общехозяйственные расходы, в том числе:</v>
      </c>
      <c r="G62" s="1802" t="s">
        <v>551</v>
      </c>
      <c r="H62" s="492"/>
      <c r="I62" s="492"/>
      <c r="J62" s="225" t="str">
        <f>FHD_NOTE_P_26</f>
        <v>Указывается общая сумма общехозяйственных расходов.</v>
      </c>
      <c r="K62" s="1561" t="str">
        <f t="shared" si="0"/>
        <v>p</v>
      </c>
      <c r="L62" s="1561"/>
      <c r="M62" s="1561"/>
      <c r="R62" s="1561"/>
      <c r="U62" s="479"/>
      <c r="AA62" s="1557"/>
      <c r="AB62" s="1557"/>
      <c r="AC62" s="1557"/>
      <c r="AD62" s="1557"/>
      <c r="AE62" s="1557"/>
      <c r="AF62" s="1085">
        <v>11</v>
      </c>
    </row>
    <row r="63" spans="1:32" s="1291" customFormat="1" ht="11.45" customHeight="1">
      <c r="A63" s="915"/>
      <c r="C63" s="1561"/>
      <c r="D63" s="1563"/>
      <c r="E63" s="481" t="str">
        <f>FHD_NUM_P_27</f>
        <v>2.11.1</v>
      </c>
      <c r="F63" s="1575" t="str">
        <f>FHD_P_27</f>
        <v>Расходы на текущий ремонт</v>
      </c>
      <c r="G63" s="1802" t="s">
        <v>551</v>
      </c>
      <c r="H63" s="492"/>
      <c r="I63" s="492"/>
      <c r="J63" s="225" t="str">
        <f>FHD_NOTE_P_27</f>
        <v>Указываются расходы на текущий ремонт, отнесенные к общехозяйственным расходам.</v>
      </c>
      <c r="K63" s="1561" t="str">
        <f t="shared" si="0"/>
        <v/>
      </c>
      <c r="L63" s="1561"/>
      <c r="M63" s="1561"/>
      <c r="R63" s="1561"/>
      <c r="U63" s="479"/>
      <c r="AA63" s="1557"/>
      <c r="AB63" s="1557"/>
      <c r="AC63" s="1557"/>
      <c r="AD63" s="1557"/>
      <c r="AE63" s="1557"/>
      <c r="AF63" s="1085">
        <v>11</v>
      </c>
    </row>
    <row r="64" spans="1:32" s="1291" customFormat="1" ht="11.45" customHeight="1">
      <c r="A64" s="915"/>
      <c r="C64" s="1561"/>
      <c r="D64" s="1563"/>
      <c r="E64" s="481" t="str">
        <f>FHD_NUM_P_28</f>
        <v>2.11.2</v>
      </c>
      <c r="F64" s="1575" t="str">
        <f>FHD_P_28</f>
        <v>Расходы на капитальный ремонт</v>
      </c>
      <c r="G64" s="1802" t="s">
        <v>551</v>
      </c>
      <c r="H64" s="492"/>
      <c r="I64" s="492"/>
      <c r="J64" s="225" t="str">
        <f>FHD_NOTE_P_28</f>
        <v>Указываются расходы на капитальный ремонт, отнесенные к общехозяйственным расходам.</v>
      </c>
      <c r="K64" s="1561" t="str">
        <f t="shared" si="0"/>
        <v/>
      </c>
      <c r="L64" s="1561"/>
      <c r="M64" s="1561"/>
      <c r="R64" s="1561"/>
      <c r="U64" s="479"/>
      <c r="AA64" s="1557"/>
      <c r="AB64" s="1557"/>
      <c r="AC64" s="1557"/>
      <c r="AD64" s="1557"/>
      <c r="AE64" s="1557"/>
      <c r="AF64" s="1085">
        <v>11</v>
      </c>
    </row>
    <row r="65" spans="1:32" s="1291" customFormat="1" ht="11.45" customHeight="1">
      <c r="A65" s="915"/>
      <c r="C65" s="1561"/>
      <c r="D65" s="1563"/>
      <c r="E65" s="481" t="str">
        <f>FHD_NUM_P_29</f>
        <v>2.12</v>
      </c>
      <c r="F65" s="1449" t="str">
        <f>FHD_P_29</f>
        <v>Расходы на капитальный и текущий ремонт основных средств</v>
      </c>
      <c r="G65" s="1802" t="s">
        <v>551</v>
      </c>
      <c r="H65" s="492"/>
      <c r="I65" s="492"/>
      <c r="J65" s="225" t="str">
        <f>FHD_NOTE_P_29</f>
        <v>Указывается информация об объемах товаров и услуг, их стоимости и о способах приобретения у тех организаций, сумма оплаты услуг которых превышает 20 процентов суммы расходов по указанной статье расходов</v>
      </c>
      <c r="K65" s="1561" t="str">
        <f t="shared" si="0"/>
        <v>p</v>
      </c>
      <c r="L65" s="1561"/>
      <c r="M65" s="1561"/>
      <c r="R65" s="1561"/>
      <c r="U65" s="479"/>
      <c r="AA65" s="1557"/>
      <c r="AB65" s="1557"/>
      <c r="AC65" s="1557"/>
      <c r="AD65" s="1557"/>
      <c r="AE65" s="1557"/>
      <c r="AF65" s="1085">
        <v>11</v>
      </c>
    </row>
    <row r="66" spans="1:32" s="1291" customFormat="1" ht="11.45" customHeight="1">
      <c r="A66" s="915"/>
      <c r="C66" s="1561"/>
      <c r="D66" s="1563"/>
      <c r="E66" s="481" t="str">
        <f>FHD_NUM_P_30</f>
        <v>2.12.1</v>
      </c>
      <c r="F66" s="1575" t="str">
        <f>FHD_P_30</f>
        <v>Информация об объемах товаров и услуг, их стоимости и способах приобретения у тех организаций, сумма оплаты услуг которых превышает 20 процентов суммы расходов по указанной статье расходов</v>
      </c>
      <c r="G66" s="1802" t="s">
        <v>305</v>
      </c>
      <c r="H66" s="1574" t="s">
        <v>574</v>
      </c>
      <c r="I66" s="1574" t="s">
        <v>574</v>
      </c>
      <c r="J66" s="225" t="str">
        <f>FHD_NOTE_P_30</f>
        <v/>
      </c>
      <c r="K66" s="1561" t="str">
        <f t="shared" si="0"/>
        <v/>
      </c>
      <c r="L66" s="1561">
        <f>IFERROR(MATCH("есть",B_FHD_FLAG_INDEX_1,0),0)</f>
        <v>0</v>
      </c>
      <c r="M66" s="1561"/>
      <c r="R66" s="1561"/>
      <c r="U66" s="479"/>
      <c r="AA66" s="1557"/>
      <c r="AB66" s="1557"/>
      <c r="AC66" s="1557"/>
      <c r="AD66" s="1557"/>
      <c r="AE66" s="1557"/>
      <c r="AF66" s="1085">
        <v>11</v>
      </c>
    </row>
    <row r="67" spans="1:32" s="1291" customFormat="1" ht="23.25" hidden="1" customHeight="1">
      <c r="A67" s="2273" t="s">
        <v>575</v>
      </c>
      <c r="C67" s="1561"/>
      <c r="D67" s="1563"/>
      <c r="E67" s="481" t="str">
        <f>FHD_NUM_P_31</f>
        <v/>
      </c>
      <c r="F67" s="1449" t="str">
        <f>FHD_P_31</f>
        <v/>
      </c>
      <c r="G67" s="1802" t="s">
        <v>551</v>
      </c>
      <c r="H67" s="492"/>
      <c r="I67" s="492"/>
      <c r="J67" s="225" t="str">
        <f>FHD_NOTE_P_31</f>
        <v/>
      </c>
      <c r="K67" s="1561" t="str">
        <f t="shared" si="0"/>
        <v/>
      </c>
      <c r="L67" s="1561"/>
      <c r="M67" s="1561"/>
      <c r="R67" s="1561"/>
      <c r="U67" s="479"/>
      <c r="AA67" s="1557"/>
      <c r="AB67" s="1557"/>
      <c r="AC67" s="1557"/>
      <c r="AD67" s="1557"/>
      <c r="AE67" s="1557"/>
      <c r="AF67" s="1085">
        <v>22</v>
      </c>
    </row>
    <row r="68" spans="1:32" s="1291" customFormat="1" ht="47.25" hidden="1" customHeight="1">
      <c r="A68" s="2273"/>
      <c r="C68" s="1561"/>
      <c r="D68" s="1563"/>
      <c r="E68" s="481" t="str">
        <f>FHD_NUM_P_32</f>
        <v/>
      </c>
      <c r="F68" s="1575" t="str">
        <f>FHD_P_32</f>
        <v/>
      </c>
      <c r="G68" s="1802" t="s">
        <v>305</v>
      </c>
      <c r="H68" s="1574" t="s">
        <v>574</v>
      </c>
      <c r="I68" s="1574" t="s">
        <v>574</v>
      </c>
      <c r="J68" s="225" t="str">
        <f>FHD_NOTE_P_32</f>
        <v/>
      </c>
      <c r="K68" s="1561" t="str">
        <f t="shared" si="0"/>
        <v/>
      </c>
      <c r="L68" s="1561">
        <f>IFERROR(MATCH("есть",B_FHD_FLAG_INDEX_2,0),0)</f>
        <v>0</v>
      </c>
      <c r="M68" s="1561"/>
      <c r="R68" s="1561"/>
      <c r="U68" s="479"/>
      <c r="AA68" s="1557"/>
      <c r="AB68" s="1557"/>
      <c r="AC68" s="1557"/>
      <c r="AD68" s="1557"/>
      <c r="AE68" s="1557"/>
      <c r="AF68" s="1085">
        <v>45</v>
      </c>
    </row>
    <row r="69" spans="1:32" s="1291" customFormat="1" ht="11.45" customHeight="1">
      <c r="A69" s="915"/>
      <c r="C69" s="1561"/>
      <c r="D69" s="1563"/>
      <c r="E69" s="481" t="str">
        <f>FHD_NUM_P_33</f>
        <v>2.13</v>
      </c>
      <c r="F69" s="1449" t="str">
        <f>FHD_P_33</f>
        <v>Прочие расходы, которые подлежат отнесению на регулируемые виды деятельности в соответствии с законодательством Российской Федерации</v>
      </c>
      <c r="G69" s="1803" t="s">
        <v>551</v>
      </c>
      <c r="H69" s="514">
        <f>SUM(H70:H71)</f>
        <v>0</v>
      </c>
      <c r="I69" s="514">
        <f>SUM(I70:I71)</f>
        <v>0</v>
      </c>
      <c r="J69" s="225" t="str">
        <f>FHD_NOTE_P_33</f>
        <v>Указывается общая сумма прочих расходов, которые подлежат отнесению на регулируемые виды деятельности в соответствии с законодательством в сфере теплоснабжения.</v>
      </c>
      <c r="K69" s="1561" t="str">
        <f t="shared" si="0"/>
        <v>p</v>
      </c>
      <c r="L69" s="1561"/>
      <c r="M69" s="1561"/>
      <c r="R69" s="1561"/>
      <c r="U69" s="479"/>
      <c r="AA69" s="1557"/>
      <c r="AB69" s="1557"/>
      <c r="AC69" s="1557"/>
      <c r="AD69" s="1557"/>
      <c r="AE69" s="1557"/>
      <c r="AF69" s="1085">
        <v>11</v>
      </c>
    </row>
    <row r="70" spans="1:32" s="1567" customFormat="1" ht="1.1499999999999999" customHeight="1">
      <c r="A70" s="1092"/>
      <c r="D70" s="483"/>
      <c r="E70" s="941" t="str">
        <f>E69&amp;".0"</f>
        <v>2.13.0</v>
      </c>
      <c r="F70" s="919"/>
      <c r="G70" s="941"/>
      <c r="H70" s="920"/>
      <c r="I70" s="920"/>
      <c r="J70" s="921"/>
      <c r="K70" s="1561" t="str">
        <f t="shared" si="0"/>
        <v/>
      </c>
      <c r="AF70" s="1561">
        <v>1</v>
      </c>
    </row>
    <row r="71" spans="1:32" s="1291" customFormat="1" ht="14.65" customHeight="1">
      <c r="A71" s="915"/>
      <c r="C71" s="1561"/>
      <c r="D71" s="1558"/>
      <c r="E71" s="505"/>
      <c r="F71" s="506" t="s">
        <v>576</v>
      </c>
      <c r="G71" s="507"/>
      <c r="H71" s="508"/>
      <c r="I71" s="508"/>
      <c r="J71" s="237"/>
      <c r="K71" s="1561"/>
      <c r="L71" s="1561"/>
      <c r="M71" s="1561"/>
      <c r="R71" s="1561"/>
      <c r="U71" s="479"/>
      <c r="AA71" s="1557"/>
      <c r="AB71" s="1557"/>
      <c r="AC71" s="1557"/>
      <c r="AD71" s="1557"/>
      <c r="AE71" s="1557"/>
      <c r="AF71" s="1085">
        <v>14</v>
      </c>
    </row>
    <row r="72" spans="1:32" s="1291" customFormat="1" ht="18.75" customHeight="1">
      <c r="A72" s="917" t="s">
        <v>577</v>
      </c>
      <c r="C72" s="1561"/>
      <c r="D72" s="1563"/>
      <c r="E72" s="481" t="str">
        <f>FHD_NUM_P_34</f>
        <v>3</v>
      </c>
      <c r="F72" s="1804" t="str">
        <f>FHD_P_34</f>
        <v>Валовая прибыль (убытки) от реализации товаров и оказания услуг по регулируемому виду деятельности</v>
      </c>
      <c r="G72" s="1802" t="s">
        <v>551</v>
      </c>
      <c r="H72" s="492"/>
      <c r="I72" s="492"/>
      <c r="J72" s="225" t="str">
        <f>FHD_NOTE_P_34</f>
        <v/>
      </c>
      <c r="K72" s="478"/>
      <c r="L72" s="1561"/>
      <c r="M72" s="1561"/>
      <c r="R72" s="1561"/>
      <c r="U72" s="479"/>
      <c r="AA72" s="1557"/>
      <c r="AB72" s="1557"/>
      <c r="AC72" s="1557"/>
      <c r="AD72" s="1557"/>
      <c r="AE72" s="1557"/>
      <c r="AF72" s="1085">
        <v>0</v>
      </c>
    </row>
    <row r="73" spans="1:32" s="1291" customFormat="1" ht="19.899999999999999" customHeight="1">
      <c r="A73" s="915"/>
      <c r="C73" s="1561"/>
      <c r="D73" s="510"/>
      <c r="E73" s="481" t="str">
        <f>FHD_NUM_P_35</f>
        <v>4</v>
      </c>
      <c r="F73" s="1804" t="str">
        <f>FHD_P_35</f>
        <v>Чистая прибыль, полученная от регулируемого вида деятельности, в том числе:</v>
      </c>
      <c r="G73" s="1802" t="s">
        <v>551</v>
      </c>
      <c r="H73" s="492"/>
      <c r="I73" s="492"/>
      <c r="J73" s="225" t="str">
        <f>FHD_NOTE_P_35</f>
        <v>Указывается общая сумма чистой прибыли, полученной от регулируемого вида деятельности.</v>
      </c>
      <c r="K73" s="478"/>
      <c r="L73" s="1561"/>
      <c r="M73" s="1561"/>
      <c r="R73" s="1561"/>
      <c r="U73" s="479"/>
      <c r="AA73" s="1557"/>
      <c r="AB73" s="1557"/>
      <c r="AC73" s="1557"/>
      <c r="AD73" s="1557"/>
      <c r="AE73" s="1557"/>
      <c r="AF73" s="1085">
        <v>19</v>
      </c>
    </row>
    <row r="74" spans="1:32" s="1291" customFormat="1" ht="19.899999999999999" customHeight="1">
      <c r="A74" s="915"/>
      <c r="C74" s="1561"/>
      <c r="D74" s="1563"/>
      <c r="E74" s="481" t="str">
        <f>FHD_NUM_P_36</f>
        <v>4.1</v>
      </c>
      <c r="F74" s="1449" t="str">
        <f>FHD_P_36</f>
        <v>Размер расходования чистой прибыли на финансирование мероприятий, предусмотренных инвестиционной программой регулируемой организации</v>
      </c>
      <c r="G74" s="1802" t="s">
        <v>551</v>
      </c>
      <c r="H74" s="492"/>
      <c r="I74" s="492"/>
      <c r="J74" s="225" t="str">
        <f>FHD_NOTE_P_36</f>
        <v/>
      </c>
      <c r="K74" s="478"/>
      <c r="L74" s="1561"/>
      <c r="M74" s="1561"/>
      <c r="R74" s="1561"/>
      <c r="U74" s="479"/>
      <c r="AA74" s="1557"/>
      <c r="AB74" s="1557"/>
      <c r="AC74" s="1557"/>
      <c r="AD74" s="1557"/>
      <c r="AE74" s="1557"/>
      <c r="AF74" s="1085">
        <v>19</v>
      </c>
    </row>
    <row r="75" spans="1:32" s="1291" customFormat="1" ht="19.899999999999999" customHeight="1">
      <c r="A75" s="915"/>
      <c r="C75" s="1561"/>
      <c r="D75" s="1563"/>
      <c r="E75" s="481" t="str">
        <f>FHD_NUM_P_37</f>
        <v>5</v>
      </c>
      <c r="F75" s="1804" t="str">
        <f>FHD_P_37</f>
        <v>Изменение стоимости основных фондов, в том числе:</v>
      </c>
      <c r="G75" s="1802" t="s">
        <v>551</v>
      </c>
      <c r="H75" s="492"/>
      <c r="I75" s="492"/>
      <c r="J75" s="225" t="str">
        <f>FHD_NOTE_P_37</f>
        <v>Указывается общее изменение стоимости основных фондов.</v>
      </c>
      <c r="K75" s="478"/>
      <c r="L75" s="1561"/>
      <c r="M75" s="1561"/>
      <c r="R75" s="1561"/>
      <c r="U75" s="479"/>
      <c r="AA75" s="1557"/>
      <c r="AB75" s="1557"/>
      <c r="AC75" s="1557"/>
      <c r="AD75" s="1557"/>
      <c r="AE75" s="1557"/>
      <c r="AF75" s="1085">
        <v>19</v>
      </c>
    </row>
    <row r="76" spans="1:32" s="1291" customFormat="1" ht="19.899999999999999" customHeight="1">
      <c r="A76" s="915"/>
      <c r="C76" s="1561"/>
      <c r="D76" s="1563"/>
      <c r="E76" s="481" t="str">
        <f>FHD_NUM_P_38</f>
        <v>5.1</v>
      </c>
      <c r="F76" s="1449" t="str">
        <f>FHD_P_38</f>
        <v>Изменение стоимости основных фондов за счет:</v>
      </c>
      <c r="G76" s="1802" t="s">
        <v>551</v>
      </c>
      <c r="H76" s="492"/>
      <c r="I76" s="492"/>
      <c r="J76" s="225" t="str">
        <f>FHD_NOTE_P_38</f>
        <v>Указываются общее изменение стоимости основных фондов за счет их ввода в эксплуатацию и вывода из эксплуатации.</v>
      </c>
      <c r="K76" s="478"/>
      <c r="L76" s="1561"/>
      <c r="M76" s="1561"/>
      <c r="R76" s="1561"/>
      <c r="U76" s="479"/>
      <c r="AA76" s="1557"/>
      <c r="AB76" s="1557"/>
      <c r="AC76" s="1557"/>
      <c r="AD76" s="1557"/>
      <c r="AE76" s="1557"/>
      <c r="AF76" s="1085">
        <v>19</v>
      </c>
    </row>
    <row r="77" spans="1:32" s="1291" customFormat="1" ht="19.899999999999999" customHeight="1">
      <c r="A77" s="915"/>
      <c r="C77" s="1561"/>
      <c r="D77" s="1563"/>
      <c r="E77" s="481" t="str">
        <f>FHD_NUM_P_39</f>
        <v>5.1.1</v>
      </c>
      <c r="F77" s="1575" t="str">
        <f>FHD_P_39</f>
        <v>Изменения стоимости основных фондов за счет их ввода в эксплуатацию</v>
      </c>
      <c r="G77" s="1993" t="s">
        <v>551</v>
      </c>
      <c r="H77" s="492"/>
      <c r="I77" s="492"/>
      <c r="J77" s="225" t="str">
        <f>FHD_NOTE_P_39</f>
        <v>Указываются изменение стоимости основных фондов за счет их ввода в эксплуатацию.</v>
      </c>
      <c r="K77" s="478"/>
      <c r="L77" s="1561"/>
      <c r="M77" s="1561"/>
      <c r="R77" s="1561"/>
      <c r="U77" s="479"/>
      <c r="AA77" s="1557"/>
      <c r="AB77" s="1557"/>
      <c r="AC77" s="1557"/>
      <c r="AD77" s="1557"/>
      <c r="AE77" s="1557"/>
      <c r="AF77" s="1085">
        <v>19</v>
      </c>
    </row>
    <row r="78" spans="1:32" s="1291" customFormat="1" ht="19.899999999999999" customHeight="1">
      <c r="A78" s="915"/>
      <c r="C78" s="1561"/>
      <c r="D78" s="1563"/>
      <c r="E78" s="481" t="str">
        <f>FHD_NUM_P_40</f>
        <v>5.1.2</v>
      </c>
      <c r="F78" s="1997" t="str">
        <f>FHD_P_40</f>
        <v>Изменения стоимости основных фондов за счет их вывода в эксплуатацию</v>
      </c>
      <c r="G78" s="1992" t="s">
        <v>551</v>
      </c>
      <c r="H78" s="904"/>
      <c r="I78" s="492"/>
      <c r="J78" s="225" t="str">
        <f>FHD_NOTE_P_40</f>
        <v>Указываются изменение стоимости основных фондов за счет их вывода из эксплуатации.</v>
      </c>
      <c r="K78" s="478"/>
      <c r="L78" s="1561"/>
      <c r="M78" s="1561"/>
      <c r="R78" s="1561"/>
      <c r="U78" s="479"/>
      <c r="AA78" s="1557"/>
      <c r="AB78" s="1557"/>
      <c r="AC78" s="1557"/>
      <c r="AD78" s="1557"/>
      <c r="AE78" s="1557"/>
      <c r="AF78" s="1085">
        <v>19</v>
      </c>
    </row>
    <row r="79" spans="1:32" s="1291" customFormat="1" ht="19.899999999999999" customHeight="1">
      <c r="A79" s="915"/>
      <c r="C79" s="1561"/>
      <c r="D79" s="1563"/>
      <c r="E79" s="481" t="str">
        <f>FHD_NUM_P_41</f>
        <v>5.2</v>
      </c>
      <c r="F79" s="1996" t="str">
        <f>FHD_P_41</f>
        <v>Изменение стоимости основных фондов за счет их переоценки</v>
      </c>
      <c r="G79" s="1992" t="s">
        <v>551</v>
      </c>
      <c r="H79" s="904"/>
      <c r="I79" s="492"/>
      <c r="J79" s="225" t="str">
        <f>FHD_NOTE_P_41</f>
        <v/>
      </c>
      <c r="K79" s="478"/>
      <c r="L79" s="1561"/>
      <c r="M79" s="1561"/>
      <c r="R79" s="1561"/>
      <c r="U79" s="479"/>
      <c r="AA79" s="1557"/>
      <c r="AB79" s="1557"/>
      <c r="AC79" s="1557"/>
      <c r="AD79" s="1557"/>
      <c r="AE79" s="1557"/>
      <c r="AF79" s="1085">
        <v>19</v>
      </c>
    </row>
    <row r="80" spans="1:32" s="1291" customFormat="1" ht="19.899999999999999" hidden="1" customHeight="1">
      <c r="A80" s="917" t="s">
        <v>578</v>
      </c>
      <c r="C80" s="1561"/>
      <c r="D80" s="1563"/>
      <c r="E80" s="481" t="str">
        <f>FHD_NUM_P_42</f>
        <v/>
      </c>
      <c r="F80" s="1994" t="str">
        <f>FHD_P_42</f>
        <v/>
      </c>
      <c r="G80" s="1992" t="s">
        <v>551</v>
      </c>
      <c r="H80" s="904"/>
      <c r="I80" s="492"/>
      <c r="J80" s="225" t="str">
        <f>FHD_NOTE_P_42</f>
        <v/>
      </c>
      <c r="K80" s="478"/>
      <c r="L80" s="1561"/>
      <c r="M80" s="1561"/>
      <c r="R80" s="1561"/>
      <c r="U80" s="479"/>
      <c r="AA80" s="1557"/>
      <c r="AB80" s="1557"/>
      <c r="AC80" s="1557"/>
      <c r="AD80" s="1557"/>
      <c r="AE80" s="1557"/>
      <c r="AF80" s="1085">
        <v>19</v>
      </c>
    </row>
    <row r="81" spans="1:32" s="1291" customFormat="1" ht="19.899999999999999" customHeight="1">
      <c r="A81" s="915"/>
      <c r="C81" s="1561"/>
      <c r="D81" s="1563"/>
      <c r="E81" s="481" t="str">
        <f>FHD_NUM_P_43</f>
        <v>6</v>
      </c>
      <c r="F81" s="1804" t="str">
        <f>FHD_P_43</f>
        <v>Годовая бухгалтерская (финансовая) отчетность, включая бухгалтерский баланс и приложения к нему</v>
      </c>
      <c r="G81" s="1995" t="s">
        <v>305</v>
      </c>
      <c r="H81" s="983"/>
      <c r="I81" s="747"/>
      <c r="J81" s="225" t="str">
        <f>FHD_NOTE_P_43</f>
        <v>Указывается ссылка на документ, предварительно загруженный в хранилище файлов ФГИС ЕИАС._x000D_
Регулируемыми организациями информация раскрывается в случае, если выручка от регулируемых видов деятельности превышает 80 процентов совокупной выручки за отчетный год.</v>
      </c>
      <c r="K81" s="478"/>
      <c r="L81" s="1561"/>
      <c r="M81" s="1561"/>
      <c r="R81" s="1561"/>
      <c r="U81" s="479"/>
      <c r="AA81" s="1557"/>
      <c r="AB81" s="1557"/>
      <c r="AC81" s="1557"/>
      <c r="AD81" s="1557"/>
      <c r="AE81" s="1557"/>
      <c r="AF81" s="1085">
        <v>19</v>
      </c>
    </row>
    <row r="82" spans="1:32" s="1291" customFormat="1" ht="18.75" hidden="1" customHeight="1">
      <c r="A82" s="2273" t="s">
        <v>579</v>
      </c>
      <c r="C82" s="670"/>
      <c r="D82" s="668"/>
      <c r="E82" s="481" t="str">
        <f>FHD_NUM_P_44</f>
        <v/>
      </c>
      <c r="F82" s="1804" t="str">
        <f>FHD_P_44</f>
        <v/>
      </c>
      <c r="G82" s="1805" t="s">
        <v>580</v>
      </c>
      <c r="H82" s="905"/>
      <c r="I82" s="512"/>
      <c r="J82" s="225" t="str">
        <f>FHD_NOTE_P_44</f>
        <v/>
      </c>
      <c r="K82" s="669"/>
      <c r="L82" s="670"/>
      <c r="M82" s="670"/>
      <c r="R82" s="670"/>
      <c r="U82" s="671"/>
      <c r="AA82" s="672"/>
      <c r="AB82" s="672"/>
      <c r="AC82" s="672"/>
      <c r="AD82" s="672"/>
      <c r="AE82" s="672"/>
      <c r="AF82" s="838">
        <v>0</v>
      </c>
    </row>
    <row r="83" spans="1:32" s="1291" customFormat="1" ht="18.75" hidden="1" customHeight="1">
      <c r="A83" s="2273"/>
      <c r="C83" s="670"/>
      <c r="D83" s="668"/>
      <c r="E83" s="481" t="str">
        <f>FHD_NUM_P_45</f>
        <v/>
      </c>
      <c r="F83" s="1804" t="str">
        <f>FHD_P_45</f>
        <v/>
      </c>
      <c r="G83" s="1805" t="s">
        <v>580</v>
      </c>
      <c r="H83" s="905"/>
      <c r="I83" s="512"/>
      <c r="J83" s="225" t="str">
        <f>FHD_NOTE_P_45</f>
        <v/>
      </c>
      <c r="K83" s="669"/>
      <c r="L83" s="670"/>
      <c r="M83" s="670"/>
      <c r="R83" s="670"/>
      <c r="U83" s="671"/>
      <c r="AA83" s="672"/>
      <c r="AB83" s="672"/>
      <c r="AC83" s="672"/>
      <c r="AD83" s="672"/>
      <c r="AE83" s="672"/>
      <c r="AF83" s="838">
        <v>0</v>
      </c>
    </row>
    <row r="84" spans="1:32" s="1291" customFormat="1" ht="18.75" hidden="1" customHeight="1">
      <c r="A84" s="2273"/>
      <c r="C84" s="670"/>
      <c r="D84" s="673"/>
      <c r="E84" s="481" t="str">
        <f>FHD_NUM_P_46</f>
        <v/>
      </c>
      <c r="F84" s="1804" t="str">
        <f>FHD_P_46</f>
        <v/>
      </c>
      <c r="G84" s="1805" t="s">
        <v>580</v>
      </c>
      <c r="H84" s="905"/>
      <c r="I84" s="512"/>
      <c r="J84" s="225" t="str">
        <f>FHD_NOTE_P_46</f>
        <v/>
      </c>
      <c r="K84" s="669"/>
      <c r="L84" s="670"/>
      <c r="M84" s="670"/>
      <c r="R84" s="670"/>
      <c r="U84" s="671"/>
      <c r="AA84" s="672"/>
      <c r="AB84" s="672"/>
      <c r="AC84" s="672"/>
      <c r="AD84" s="672"/>
      <c r="AE84" s="672"/>
      <c r="AF84" s="838">
        <v>0</v>
      </c>
    </row>
    <row r="85" spans="1:32" s="1291" customFormat="1" ht="18.75" hidden="1" customHeight="1">
      <c r="A85" s="2273"/>
      <c r="C85" s="670"/>
      <c r="D85" s="668"/>
      <c r="E85" s="481" t="str">
        <f>FHD_NUM_P_47</f>
        <v/>
      </c>
      <c r="F85" s="1804" t="str">
        <f>FHD_P_47</f>
        <v/>
      </c>
      <c r="G85" s="1805" t="s">
        <v>580</v>
      </c>
      <c r="H85" s="905"/>
      <c r="I85" s="512"/>
      <c r="J85" s="225" t="str">
        <f>FHD_NOTE_P_47</f>
        <v/>
      </c>
      <c r="K85" s="669"/>
      <c r="L85" s="670"/>
      <c r="M85" s="670"/>
      <c r="R85" s="670"/>
      <c r="U85" s="671"/>
      <c r="AA85" s="672"/>
      <c r="AB85" s="672"/>
      <c r="AC85" s="672"/>
      <c r="AD85" s="672"/>
      <c r="AE85" s="672"/>
      <c r="AF85" s="838">
        <v>0</v>
      </c>
    </row>
    <row r="86" spans="1:32" s="1560" customFormat="1" ht="18.75" hidden="1" customHeight="1">
      <c r="A86" s="2273"/>
      <c r="B86" s="838"/>
      <c r="C86" s="670"/>
      <c r="D86" s="668"/>
      <c r="E86" s="481" t="str">
        <f>FHD_NUM_P_48</f>
        <v/>
      </c>
      <c r="F86" s="1804" t="str">
        <f>FHD_P_48</f>
        <v/>
      </c>
      <c r="G86" s="1805" t="s">
        <v>580</v>
      </c>
      <c r="H86" s="905"/>
      <c r="I86" s="512"/>
      <c r="J86" s="225" t="str">
        <f>FHD_NOTE_P_48</f>
        <v/>
      </c>
      <c r="K86" s="669"/>
      <c r="L86" s="670"/>
      <c r="M86" s="670"/>
      <c r="N86" s="838"/>
      <c r="O86" s="838"/>
      <c r="P86" s="838"/>
      <c r="Q86" s="838"/>
      <c r="R86" s="670"/>
      <c r="S86" s="838"/>
      <c r="T86" s="838"/>
      <c r="U86" s="671"/>
      <c r="V86" s="838"/>
      <c r="W86" s="838"/>
      <c r="X86" s="838"/>
      <c r="Y86" s="838"/>
      <c r="Z86" s="838"/>
      <c r="AA86" s="672"/>
      <c r="AB86" s="672"/>
      <c r="AC86" s="672"/>
      <c r="AD86" s="672"/>
      <c r="AE86" s="672"/>
      <c r="AF86" s="674">
        <v>0</v>
      </c>
    </row>
    <row r="87" spans="1:32" s="1560" customFormat="1" ht="18.75" hidden="1" customHeight="1">
      <c r="A87" s="2273"/>
      <c r="B87" s="838"/>
      <c r="C87" s="670"/>
      <c r="D87" s="668"/>
      <c r="E87" s="481" t="str">
        <f>FHD_NUM_P_49</f>
        <v/>
      </c>
      <c r="F87" s="1804" t="str">
        <f>FHD_P_49</f>
        <v/>
      </c>
      <c r="G87" s="1805" t="s">
        <v>580</v>
      </c>
      <c r="H87" s="906">
        <f>SUM(H88:H89)</f>
        <v>0</v>
      </c>
      <c r="I87" s="684">
        <f>SUM(I88:I89)</f>
        <v>0</v>
      </c>
      <c r="J87" s="225" t="str">
        <f>FHD_NOTE_P_49</f>
        <v/>
      </c>
      <c r="K87" s="669"/>
      <c r="L87" s="670"/>
      <c r="M87" s="670"/>
      <c r="N87" s="838"/>
      <c r="O87" s="838"/>
      <c r="P87" s="838"/>
      <c r="Q87" s="838"/>
      <c r="R87" s="670"/>
      <c r="S87" s="838"/>
      <c r="T87" s="838"/>
      <c r="U87" s="671"/>
      <c r="V87" s="838"/>
      <c r="W87" s="838"/>
      <c r="X87" s="838"/>
      <c r="Y87" s="838"/>
      <c r="Z87" s="838"/>
      <c r="AA87" s="672"/>
      <c r="AB87" s="672"/>
      <c r="AC87" s="672"/>
      <c r="AD87" s="672"/>
      <c r="AE87" s="672"/>
      <c r="AF87" s="674">
        <v>0</v>
      </c>
    </row>
    <row r="88" spans="1:32" s="1560" customFormat="1" ht="18.75" hidden="1" customHeight="1">
      <c r="A88" s="2273"/>
      <c r="B88" s="838"/>
      <c r="C88" s="670"/>
      <c r="D88" s="668"/>
      <c r="E88" s="481" t="str">
        <f>FHD_NUM_P_50</f>
        <v/>
      </c>
      <c r="F88" s="1804" t="str">
        <f>FHD_P_50</f>
        <v/>
      </c>
      <c r="G88" s="1805" t="s">
        <v>580</v>
      </c>
      <c r="H88" s="905"/>
      <c r="I88" s="512"/>
      <c r="J88" s="225" t="str">
        <f>FHD_NOTE_P_50</f>
        <v/>
      </c>
      <c r="K88" s="669"/>
      <c r="L88" s="670"/>
      <c r="M88" s="670"/>
      <c r="N88" s="838"/>
      <c r="O88" s="838"/>
      <c r="P88" s="838"/>
      <c r="Q88" s="838"/>
      <c r="R88" s="670"/>
      <c r="S88" s="838"/>
      <c r="T88" s="838"/>
      <c r="U88" s="671"/>
      <c r="V88" s="838"/>
      <c r="W88" s="838"/>
      <c r="X88" s="838"/>
      <c r="Y88" s="838"/>
      <c r="Z88" s="838"/>
      <c r="AA88" s="672"/>
      <c r="AB88" s="672"/>
      <c r="AC88" s="672"/>
      <c r="AD88" s="672"/>
      <c r="AE88" s="672"/>
      <c r="AF88" s="674">
        <v>0</v>
      </c>
    </row>
    <row r="89" spans="1:32" s="1560" customFormat="1" ht="18.75" hidden="1" customHeight="1">
      <c r="A89" s="2273"/>
      <c r="B89" s="838"/>
      <c r="C89" s="670"/>
      <c r="D89" s="668"/>
      <c r="E89" s="481" t="str">
        <f>FHD_NUM_P_51</f>
        <v/>
      </c>
      <c r="F89" s="1804" t="str">
        <f>FHD_P_51</f>
        <v/>
      </c>
      <c r="G89" s="1805" t="s">
        <v>580</v>
      </c>
      <c r="H89" s="905"/>
      <c r="I89" s="512"/>
      <c r="J89" s="225" t="str">
        <f>FHD_NOTE_P_51</f>
        <v/>
      </c>
      <c r="K89" s="669"/>
      <c r="L89" s="670"/>
      <c r="M89" s="670"/>
      <c r="N89" s="838"/>
      <c r="O89" s="838"/>
      <c r="P89" s="838"/>
      <c r="Q89" s="838"/>
      <c r="R89" s="670"/>
      <c r="S89" s="838"/>
      <c r="T89" s="838"/>
      <c r="U89" s="671"/>
      <c r="V89" s="838"/>
      <c r="W89" s="838"/>
      <c r="X89" s="838"/>
      <c r="Y89" s="838"/>
      <c r="Z89" s="838"/>
      <c r="AA89" s="672"/>
      <c r="AB89" s="672"/>
      <c r="AC89" s="672"/>
      <c r="AD89" s="672"/>
      <c r="AE89" s="672"/>
      <c r="AF89" s="674">
        <v>0</v>
      </c>
    </row>
    <row r="90" spans="1:32" s="1560" customFormat="1" ht="18.75" hidden="1" customHeight="1">
      <c r="A90" s="2273"/>
      <c r="B90" s="838"/>
      <c r="C90" s="670"/>
      <c r="D90" s="668"/>
      <c r="E90" s="481" t="str">
        <f>FHD_NUM_P_52</f>
        <v/>
      </c>
      <c r="F90" s="1804" t="str">
        <f>FHD_P_52</f>
        <v/>
      </c>
      <c r="G90" s="1805" t="s">
        <v>557</v>
      </c>
      <c r="H90" s="904"/>
      <c r="I90" s="492"/>
      <c r="J90" s="225" t="str">
        <f>FHD_NOTE_P_52</f>
        <v/>
      </c>
      <c r="K90" s="669"/>
      <c r="L90" s="670"/>
      <c r="M90" s="670"/>
      <c r="N90" s="838"/>
      <c r="O90" s="838"/>
      <c r="P90" s="838"/>
      <c r="Q90" s="838"/>
      <c r="R90" s="670"/>
      <c r="S90" s="838"/>
      <c r="T90" s="838"/>
      <c r="U90" s="671"/>
      <c r="V90" s="838"/>
      <c r="W90" s="838"/>
      <c r="X90" s="838"/>
      <c r="Y90" s="838"/>
      <c r="Z90" s="838"/>
      <c r="AA90" s="672"/>
      <c r="AB90" s="672"/>
      <c r="AC90" s="672"/>
      <c r="AD90" s="672"/>
      <c r="AE90" s="672"/>
      <c r="AF90" s="674">
        <v>0</v>
      </c>
    </row>
    <row r="91" spans="1:32" s="1291" customFormat="1" ht="18.75" hidden="1" customHeight="1">
      <c r="A91" s="2273" t="s">
        <v>581</v>
      </c>
      <c r="C91" s="670"/>
      <c r="D91" s="668"/>
      <c r="E91" s="481" t="str">
        <f>FHD_NUM_P_53</f>
        <v/>
      </c>
      <c r="F91" s="1804" t="str">
        <f>FHD_P_53</f>
        <v/>
      </c>
      <c r="G91" s="1805" t="s">
        <v>580</v>
      </c>
      <c r="H91" s="905"/>
      <c r="I91" s="512"/>
      <c r="J91" s="225" t="str">
        <f>FHD_NOTE_P_53</f>
        <v/>
      </c>
      <c r="K91" s="669"/>
      <c r="L91" s="670"/>
      <c r="M91" s="670"/>
      <c r="R91" s="670"/>
      <c r="U91" s="671"/>
      <c r="AA91" s="672"/>
      <c r="AB91" s="672"/>
      <c r="AC91" s="672"/>
      <c r="AD91" s="672"/>
      <c r="AE91" s="672"/>
      <c r="AF91" s="838">
        <v>0</v>
      </c>
    </row>
    <row r="92" spans="1:32" s="1291" customFormat="1" ht="18.75" hidden="1" customHeight="1">
      <c r="A92" s="2273"/>
      <c r="C92" s="670"/>
      <c r="D92" s="668"/>
      <c r="E92" s="481" t="str">
        <f>FHD_NUM_P_54</f>
        <v/>
      </c>
      <c r="F92" s="1804" t="str">
        <f>FHD_P_54</f>
        <v/>
      </c>
      <c r="G92" s="1805" t="s">
        <v>580</v>
      </c>
      <c r="H92" s="905"/>
      <c r="I92" s="512"/>
      <c r="J92" s="225" t="str">
        <f>FHD_NOTE_P_54</f>
        <v/>
      </c>
      <c r="K92" s="669"/>
      <c r="L92" s="670"/>
      <c r="M92" s="670"/>
      <c r="R92" s="670"/>
      <c r="U92" s="671"/>
      <c r="AA92" s="672"/>
      <c r="AB92" s="672"/>
      <c r="AC92" s="672"/>
      <c r="AD92" s="672"/>
      <c r="AE92" s="672"/>
      <c r="AF92" s="838">
        <v>0</v>
      </c>
    </row>
    <row r="93" spans="1:32" s="1291" customFormat="1" ht="18.75" hidden="1" customHeight="1">
      <c r="A93" s="2273"/>
      <c r="C93" s="670"/>
      <c r="D93" s="673"/>
      <c r="E93" s="481" t="str">
        <f>FHD_NUM_P_55</f>
        <v/>
      </c>
      <c r="F93" s="1804" t="str">
        <f>FHD_P_55</f>
        <v/>
      </c>
      <c r="G93" s="1808"/>
      <c r="H93" s="905"/>
      <c r="I93" s="512"/>
      <c r="J93" s="225" t="str">
        <f>FHD_NOTE_P_55</f>
        <v/>
      </c>
      <c r="K93" s="669"/>
      <c r="L93" s="670"/>
      <c r="M93" s="670"/>
      <c r="R93" s="670"/>
      <c r="U93" s="671"/>
      <c r="AA93" s="672"/>
      <c r="AB93" s="672"/>
      <c r="AC93" s="672"/>
      <c r="AD93" s="672"/>
      <c r="AE93" s="672"/>
      <c r="AF93" s="838">
        <v>0</v>
      </c>
    </row>
    <row r="94" spans="1:32" s="1291" customFormat="1" ht="18.75" hidden="1" customHeight="1">
      <c r="A94" s="2273"/>
      <c r="C94" s="670"/>
      <c r="D94" s="668"/>
      <c r="E94" s="481" t="str">
        <f>FHD_NUM_P_56</f>
        <v/>
      </c>
      <c r="F94" s="1804" t="str">
        <f>FHD_P_56</f>
        <v/>
      </c>
      <c r="G94" s="1805" t="s">
        <v>582</v>
      </c>
      <c r="H94" s="905"/>
      <c r="I94" s="512"/>
      <c r="J94" s="225" t="str">
        <f>FHD_NOTE_P_56</f>
        <v/>
      </c>
      <c r="K94" s="669"/>
      <c r="L94" s="670"/>
      <c r="M94" s="670"/>
      <c r="R94" s="670"/>
      <c r="U94" s="671"/>
      <c r="AA94" s="672"/>
      <c r="AB94" s="672"/>
      <c r="AC94" s="672"/>
      <c r="AD94" s="672"/>
      <c r="AE94" s="672"/>
      <c r="AF94" s="838">
        <v>0</v>
      </c>
    </row>
    <row r="95" spans="1:32" s="1560" customFormat="1" ht="18.75" hidden="1" customHeight="1">
      <c r="A95" s="2273"/>
      <c r="B95" s="838"/>
      <c r="C95" s="670"/>
      <c r="D95" s="668"/>
      <c r="E95" s="481" t="str">
        <f>FHD_NUM_P_57</f>
        <v/>
      </c>
      <c r="F95" s="1804" t="str">
        <f>FHD_P_57</f>
        <v/>
      </c>
      <c r="G95" s="1805" t="s">
        <v>557</v>
      </c>
      <c r="H95" s="904"/>
      <c r="I95" s="492"/>
      <c r="J95" s="225" t="str">
        <f>FHD_NOTE_P_57</f>
        <v/>
      </c>
      <c r="K95" s="669"/>
      <c r="L95" s="670"/>
      <c r="M95" s="670"/>
      <c r="N95" s="838"/>
      <c r="O95" s="838"/>
      <c r="P95" s="838"/>
      <c r="Q95" s="838"/>
      <c r="R95" s="670"/>
      <c r="S95" s="838"/>
      <c r="T95" s="838"/>
      <c r="U95" s="671"/>
      <c r="V95" s="838"/>
      <c r="W95" s="838"/>
      <c r="X95" s="838"/>
      <c r="Y95" s="838"/>
      <c r="Z95" s="838"/>
      <c r="AA95" s="672"/>
      <c r="AB95" s="672"/>
      <c r="AC95" s="672"/>
      <c r="AD95" s="672"/>
      <c r="AE95" s="672"/>
      <c r="AF95" s="674">
        <v>0</v>
      </c>
    </row>
    <row r="96" spans="1:32" ht="18.75" hidden="1" customHeight="1">
      <c r="A96" s="2273" t="s">
        <v>583</v>
      </c>
      <c r="D96" s="1563"/>
      <c r="E96" s="481" t="str">
        <f>FHD_NUM_P_58</f>
        <v/>
      </c>
      <c r="F96" s="1804" t="str">
        <f>FHD_P_58</f>
        <v/>
      </c>
      <c r="G96" s="1805" t="s">
        <v>580</v>
      </c>
      <c r="H96" s="905"/>
      <c r="I96" s="512"/>
      <c r="J96" s="225" t="str">
        <f>FHD_NOTE_P_58</f>
        <v/>
      </c>
      <c r="K96" s="478"/>
      <c r="AF96" s="1556">
        <v>0</v>
      </c>
    </row>
    <row r="97" spans="1:32" ht="18.75" hidden="1" customHeight="1">
      <c r="A97" s="2273"/>
      <c r="D97" s="1563"/>
      <c r="E97" s="481" t="str">
        <f>FHD_NUM_P_59</f>
        <v/>
      </c>
      <c r="F97" s="1804" t="str">
        <f>FHD_P_59</f>
        <v/>
      </c>
      <c r="G97" s="1805" t="s">
        <v>580</v>
      </c>
      <c r="H97" s="905"/>
      <c r="I97" s="512"/>
      <c r="J97" s="225" t="str">
        <f>FHD_NOTE_P_59</f>
        <v/>
      </c>
      <c r="K97" s="478"/>
      <c r="AF97" s="1556">
        <v>0</v>
      </c>
    </row>
    <row r="98" spans="1:32" ht="18.75" hidden="1" customHeight="1">
      <c r="A98" s="2273"/>
      <c r="D98" s="1563"/>
      <c r="E98" s="481" t="str">
        <f>FHD_NUM_P_60</f>
        <v/>
      </c>
      <c r="F98" s="1804" t="str">
        <f>FHD_P_60</f>
        <v/>
      </c>
      <c r="G98" s="1805" t="s">
        <v>580</v>
      </c>
      <c r="H98" s="905"/>
      <c r="I98" s="512"/>
      <c r="J98" s="225" t="str">
        <f>FHD_NOTE_P_60</f>
        <v/>
      </c>
      <c r="K98" s="478"/>
      <c r="AF98" s="1556">
        <v>0</v>
      </c>
    </row>
    <row r="99" spans="1:32" s="1291" customFormat="1" ht="18.75" customHeight="1">
      <c r="A99" s="2273" t="s">
        <v>584</v>
      </c>
      <c r="C99" s="1561"/>
      <c r="D99" s="1563"/>
      <c r="E99" s="481" t="str">
        <f>FHD_NUM_P_61</f>
        <v>7</v>
      </c>
      <c r="F99" s="1804" t="str">
        <f>FHD_P_61</f>
        <v>Установленная тепловая мощность объектов основных фондов, используемых для теплоснабжения, в том числе по каждому источнику тепловой энергии</v>
      </c>
      <c r="G99" s="1802" t="s">
        <v>555</v>
      </c>
      <c r="H99" s="907"/>
      <c r="I99" s="677"/>
      <c r="J99" s="225" t="str">
        <f>FHD_NOTE_P_61</f>
        <v>Указывается суммарная установленная тепловая мощность объектов основных фондов, используемых для осуществления теплоснабжения._x000D_
Регулируемыми организациями указывается информация по объектам, используемым для осуществления регулируемых видов деятельности.</v>
      </c>
      <c r="K99" s="478"/>
      <c r="L99" s="1561"/>
      <c r="M99" s="1561"/>
      <c r="R99" s="1561"/>
      <c r="U99" s="479"/>
      <c r="AA99" s="1557"/>
      <c r="AB99" s="1557"/>
      <c r="AC99" s="1557"/>
      <c r="AD99" s="1557"/>
      <c r="AE99" s="1557"/>
      <c r="AF99" s="1085">
        <v>0</v>
      </c>
    </row>
    <row r="100" spans="1:32" s="1567" customFormat="1" ht="0.75" customHeight="1">
      <c r="A100" s="2273"/>
      <c r="D100" s="483"/>
      <c r="E100" s="941" t="str">
        <f>E99&amp;".0"</f>
        <v>7.0</v>
      </c>
      <c r="F100" s="922"/>
      <c r="G100" s="923"/>
      <c r="H100" s="920"/>
      <c r="I100" s="920"/>
      <c r="J100" s="924"/>
      <c r="AF100" s="1561">
        <v>0</v>
      </c>
    </row>
    <row r="101" spans="1:32" ht="15" customHeight="1">
      <c r="A101" s="2273"/>
      <c r="D101" s="1558"/>
      <c r="E101" s="899"/>
      <c r="F101" s="900" t="s">
        <v>585</v>
      </c>
      <c r="G101" s="507"/>
      <c r="H101" s="508"/>
      <c r="I101" s="508"/>
      <c r="J101" s="932" t="s">
        <v>586</v>
      </c>
      <c r="K101" s="478"/>
      <c r="AF101" s="1556">
        <v>0</v>
      </c>
    </row>
    <row r="102" spans="1:32" s="1291" customFormat="1" ht="18.75" customHeight="1">
      <c r="A102" s="2273"/>
      <c r="C102" s="1561"/>
      <c r="D102" s="1563"/>
      <c r="E102" s="481" t="str">
        <f>FHD_NUM_P_62</f>
        <v>8</v>
      </c>
      <c r="F102" s="1804" t="str">
        <f>FHD_P_62</f>
        <v>Тепловая нагрузка по договорам, заключенным в рамках осуществления регулируемых видов деятельности</v>
      </c>
      <c r="G102" s="1801" t="s">
        <v>555</v>
      </c>
      <c r="H102" s="492"/>
      <c r="I102" s="492"/>
      <c r="J102" s="225" t="str">
        <f>FHD_NOTE_P_62</f>
        <v>Регулируемыми организациями указывается информация по договорам, заключенным в рамках осуществления регулируемых видов деятельности</v>
      </c>
      <c r="K102" s="478"/>
      <c r="L102" s="1561"/>
      <c r="M102" s="1561"/>
      <c r="R102" s="1561"/>
      <c r="U102" s="479"/>
      <c r="AA102" s="1557"/>
      <c r="AB102" s="1557"/>
      <c r="AC102" s="1557"/>
      <c r="AD102" s="1557"/>
      <c r="AE102" s="1557"/>
      <c r="AF102" s="1085">
        <v>0</v>
      </c>
    </row>
    <row r="103" spans="1:32" s="1291" customFormat="1" ht="18.75" customHeight="1">
      <c r="A103" s="2273"/>
      <c r="C103" s="1561"/>
      <c r="D103" s="1563"/>
      <c r="E103" s="481" t="str">
        <f>FHD_NUM_P_63</f>
        <v>9</v>
      </c>
      <c r="F103" s="1804" t="str">
        <f>FHD_P_63</f>
        <v>Объем вырабатываемой регулируемой организацией тепловой энергии в рамках осуществления регулируемых видов деятельности</v>
      </c>
      <c r="G103" s="1801" t="s">
        <v>582</v>
      </c>
      <c r="H103" s="512"/>
      <c r="I103" s="512"/>
      <c r="J103" s="225" t="str">
        <f>FHD_NOTE_P_63</f>
        <v>Регулируемыми организациями указывается информация тепловой энергии, выработанной в рамках осуществления регулируемых видов деятельности.</v>
      </c>
      <c r="K103" s="478"/>
      <c r="L103" s="1561"/>
      <c r="M103" s="1561"/>
      <c r="R103" s="1561"/>
      <c r="U103" s="479"/>
      <c r="AA103" s="1557"/>
      <c r="AB103" s="1557"/>
      <c r="AC103" s="1557"/>
      <c r="AD103" s="1557"/>
      <c r="AE103" s="1557"/>
      <c r="AF103" s="1085">
        <v>0</v>
      </c>
    </row>
    <row r="104" spans="1:32" s="1291" customFormat="1" ht="18.75" customHeight="1">
      <c r="A104" s="2273"/>
      <c r="C104" s="1561" t="s">
        <v>587</v>
      </c>
      <c r="D104" s="1563"/>
      <c r="E104" s="481" t="str">
        <f>FHD_NUM_P_64</f>
        <v>9.1</v>
      </c>
      <c r="F104" s="1804" t="str">
        <f>FHD_P_64</f>
        <v>Объем приобретаемой регулируемой организацией тепловой энергии в рамках осуществления регулируемых видов деятельности</v>
      </c>
      <c r="G104" s="1801" t="s">
        <v>582</v>
      </c>
      <c r="H104" s="480"/>
      <c r="I104" s="480"/>
      <c r="J104" s="225" t="str">
        <f>FHD_NOTE_P_64</f>
        <v>Информация указывается только едиными теплоснабжающими организациями.</v>
      </c>
      <c r="K104" s="478"/>
      <c r="L104" s="1561"/>
      <c r="M104" s="1561"/>
      <c r="R104" s="1561"/>
      <c r="U104" s="479"/>
      <c r="AA104" s="1557"/>
      <c r="AB104" s="1557"/>
      <c r="AC104" s="1557"/>
      <c r="AD104" s="1557"/>
      <c r="AE104" s="1557"/>
      <c r="AF104" s="1085">
        <v>0</v>
      </c>
    </row>
    <row r="105" spans="1:32" s="1291" customFormat="1" ht="18.75" customHeight="1">
      <c r="A105" s="2273"/>
      <c r="C105" s="1561"/>
      <c r="D105" s="1563"/>
      <c r="E105" s="481" t="str">
        <f>FHD_NUM_P_65</f>
        <v>10</v>
      </c>
      <c r="F105" s="1804" t="str">
        <f>FHD_P_65</f>
        <v>Объем тепловой энергии, отпускаемой потребителям по договорам, заключенным в рамках осуществления регулируемых видов деятельности, определенном в том числе</v>
      </c>
      <c r="G105" s="1801" t="s">
        <v>582</v>
      </c>
      <c r="H105" s="512"/>
      <c r="I105" s="512"/>
      <c r="J105" s="225" t="str">
        <f>FHD_NOTE_P_65</f>
        <v>Указывается общий объем тепловой энергии, отпускаемой потребителям._x000D_
Регулируемыми организациями указывается информация, включая отдельно сведения об определенном по приборам учета объеме тепловой энергии, отпускаемой потребителям по договорам, максимальный объем потребления тепловой энергии объектов которых составляет менее чем 0,2 Гкал/ч</v>
      </c>
      <c r="K105" s="478"/>
      <c r="L105" s="1561"/>
      <c r="M105" s="1561"/>
      <c r="R105" s="1561"/>
      <c r="U105" s="479"/>
      <c r="AA105" s="1557"/>
      <c r="AB105" s="1557"/>
      <c r="AC105" s="1557"/>
      <c r="AD105" s="1557"/>
      <c r="AE105" s="1557"/>
      <c r="AF105" s="1085">
        <v>0</v>
      </c>
    </row>
    <row r="106" spans="1:32" s="1291" customFormat="1" ht="18.75" customHeight="1">
      <c r="A106" s="2273"/>
      <c r="C106" s="1561"/>
      <c r="D106" s="1563"/>
      <c r="E106" s="481" t="str">
        <f>FHD_NUM_P_66</f>
        <v>10.1</v>
      </c>
      <c r="F106" s="1449" t="str">
        <f>FHD_P_66</f>
        <v xml:space="preserve">По приборам учёта </v>
      </c>
      <c r="G106" s="1801" t="s">
        <v>582</v>
      </c>
      <c r="H106" s="512"/>
      <c r="I106" s="512"/>
      <c r="J106" s="225" t="str">
        <f>FHD_NOTE_P_66</f>
        <v/>
      </c>
      <c r="K106" s="478"/>
      <c r="L106" s="1561"/>
      <c r="M106" s="1561"/>
      <c r="R106" s="1561"/>
      <c r="U106" s="479"/>
      <c r="AA106" s="1557"/>
      <c r="AB106" s="1557"/>
      <c r="AC106" s="1557"/>
      <c r="AD106" s="1557"/>
      <c r="AE106" s="1557"/>
      <c r="AF106" s="1085">
        <v>0</v>
      </c>
    </row>
    <row r="107" spans="1:32" s="1291" customFormat="1" ht="18.75" customHeight="1">
      <c r="A107" s="2273"/>
      <c r="C107" s="1561"/>
      <c r="D107" s="1563"/>
      <c r="E107" s="481" t="str">
        <f>FHD_NUM_P_67</f>
        <v>10.1.1</v>
      </c>
      <c r="F107" s="1575" t="str">
        <f>FHD_P_67</f>
        <v>Определенный по приборам учета объем тепловой энергии, отпускаемой по договорам потребителям, максимальный объем потребления тепловой энергии объектов которых составляет менее чем 0,2 Гкал</v>
      </c>
      <c r="G107" s="1801" t="s">
        <v>582</v>
      </c>
      <c r="H107" s="512"/>
      <c r="I107" s="512"/>
      <c r="J107" s="225" t="str">
        <f>FHD_NOTE_P_67</f>
        <v/>
      </c>
      <c r="K107" s="478"/>
      <c r="L107" s="1561"/>
      <c r="M107" s="1561"/>
      <c r="R107" s="1561"/>
      <c r="U107" s="479"/>
      <c r="AA107" s="1557"/>
      <c r="AB107" s="1557"/>
      <c r="AC107" s="1557"/>
      <c r="AD107" s="1557"/>
      <c r="AE107" s="1557"/>
      <c r="AF107" s="1085">
        <v>0</v>
      </c>
    </row>
    <row r="108" spans="1:32" s="1291" customFormat="1" ht="18.75" customHeight="1">
      <c r="A108" s="2273"/>
      <c r="C108" s="1561"/>
      <c r="D108" s="1563"/>
      <c r="E108" s="481" t="str">
        <f>FHD_NUM_P_68</f>
        <v>10.2</v>
      </c>
      <c r="F108" s="1449" t="str">
        <f>FHD_P_68</f>
        <v>Расчётным путём</v>
      </c>
      <c r="G108" s="1801" t="s">
        <v>582</v>
      </c>
      <c r="H108" s="512"/>
      <c r="I108" s="512"/>
      <c r="J108" s="225" t="str">
        <f>FHD_NOTE_P_68</f>
        <v/>
      </c>
      <c r="K108" s="478"/>
      <c r="L108" s="1561"/>
      <c r="M108" s="1561"/>
      <c r="R108" s="1561"/>
      <c r="U108" s="479"/>
      <c r="AA108" s="1557"/>
      <c r="AB108" s="1557"/>
      <c r="AC108" s="1557"/>
      <c r="AD108" s="1557"/>
      <c r="AE108" s="1557"/>
      <c r="AF108" s="1085">
        <v>0</v>
      </c>
    </row>
    <row r="109" spans="1:32" s="1291" customFormat="1" ht="18.75" customHeight="1">
      <c r="A109" s="2273"/>
      <c r="C109" s="1561"/>
      <c r="D109" s="1563"/>
      <c r="E109" s="481" t="str">
        <f>FHD_NUM_P_69</f>
        <v>10.3</v>
      </c>
      <c r="F109" s="1449" t="str">
        <f>FHD_P_69</f>
        <v>По нормативам потребления коммунальных услуг и нормативам потребления коммунальных ресурсов</v>
      </c>
      <c r="G109" s="1801" t="s">
        <v>582</v>
      </c>
      <c r="H109" s="512"/>
      <c r="I109" s="512"/>
      <c r="J109" s="225" t="str">
        <f>FHD_NOTE_P_69</f>
        <v/>
      </c>
      <c r="K109" s="478"/>
      <c r="L109" s="1561"/>
      <c r="M109" s="1561"/>
      <c r="R109" s="1561"/>
      <c r="U109" s="479"/>
      <c r="AA109" s="1557"/>
      <c r="AB109" s="1557"/>
      <c r="AC109" s="1557"/>
      <c r="AD109" s="1557"/>
      <c r="AE109" s="1557"/>
      <c r="AF109" s="1085">
        <v>0</v>
      </c>
    </row>
    <row r="110" spans="1:32" s="1291" customFormat="1" ht="22.5" customHeight="1">
      <c r="A110" s="2273"/>
      <c r="C110" s="1561"/>
      <c r="D110" s="1563"/>
      <c r="E110" s="481" t="str">
        <f>FHD_NUM_P_70</f>
        <v>11</v>
      </c>
      <c r="F110" s="1804" t="str">
        <f>FHD_P_70</f>
        <v>Нормативы технологических потерь при передаче тепловой энергии, теплоносителя по тепловым сетям, утвержденные уполномоченным органом</v>
      </c>
      <c r="G110" s="1801" t="s">
        <v>588</v>
      </c>
      <c r="H110" s="492"/>
      <c r="I110" s="492"/>
      <c r="J110" s="225" t="str">
        <f>FHD_NOTE_P_70</f>
        <v/>
      </c>
      <c r="K110" s="478"/>
      <c r="L110" s="1561"/>
      <c r="M110" s="1561"/>
      <c r="R110" s="1561"/>
      <c r="U110" s="479"/>
      <c r="AA110" s="1557"/>
      <c r="AB110" s="1557"/>
      <c r="AC110" s="1557"/>
      <c r="AD110" s="1557"/>
      <c r="AE110" s="1557"/>
      <c r="AF110" s="1085">
        <v>0</v>
      </c>
    </row>
    <row r="111" spans="1:32" s="1291" customFormat="1" ht="22.5" customHeight="1">
      <c r="A111" s="2273"/>
      <c r="C111" s="1561"/>
      <c r="D111" s="1563"/>
      <c r="E111" s="481" t="str">
        <f>FHD_NUM_P_71</f>
        <v>12</v>
      </c>
      <c r="F111" s="1804" t="str">
        <f>FHD_P_71</f>
        <v>Фактический объем потерь при передаче тепловой энергии</v>
      </c>
      <c r="G111" s="1801" t="s">
        <v>588</v>
      </c>
      <c r="H111" s="492"/>
      <c r="I111" s="492"/>
      <c r="J111" s="225" t="str">
        <f>FHD_NOTE_P_71</f>
        <v/>
      </c>
      <c r="K111" s="478"/>
      <c r="L111" s="1561"/>
      <c r="M111" s="1561"/>
      <c r="R111" s="1561"/>
      <c r="U111" s="479"/>
      <c r="AA111" s="1557"/>
      <c r="AB111" s="1557"/>
      <c r="AC111" s="1557"/>
      <c r="AD111" s="1557"/>
      <c r="AE111" s="1557"/>
      <c r="AF111" s="1085">
        <v>0</v>
      </c>
    </row>
    <row r="112" spans="1:32" ht="19.899999999999999" customHeight="1">
      <c r="D112" s="1563"/>
      <c r="E112" s="481" t="str">
        <f>FHD_NUM_P_72</f>
        <v>13</v>
      </c>
      <c r="F112" s="1804" t="str">
        <f>FHD_P_72</f>
        <v>Среднесписочная численность основного производственного персонала</v>
      </c>
      <c r="G112" s="1800" t="s">
        <v>589</v>
      </c>
      <c r="H112" s="512"/>
      <c r="I112" s="512"/>
      <c r="J112" s="225" t="str">
        <f>FHD_NOTE_P_72</f>
        <v/>
      </c>
      <c r="K112" s="478"/>
      <c r="AF112" s="1556">
        <v>19</v>
      </c>
    </row>
    <row r="113" spans="1:32" ht="18.75" customHeight="1">
      <c r="A113" s="917" t="s">
        <v>590</v>
      </c>
      <c r="D113" s="1563"/>
      <c r="E113" s="481" t="str">
        <f>FHD_NUM_P_73</f>
        <v>14</v>
      </c>
      <c r="F113" s="1804" t="str">
        <f>FHD_P_73</f>
        <v>Среднесписочная численность административно-управленческого персонала</v>
      </c>
      <c r="G113" s="898" t="s">
        <v>589</v>
      </c>
      <c r="H113" s="896"/>
      <c r="I113" s="896"/>
      <c r="J113" s="225" t="str">
        <f>FHD_NOTE_P_73</f>
        <v/>
      </c>
      <c r="K113" s="478"/>
      <c r="AF113" s="1556">
        <v>0</v>
      </c>
    </row>
    <row r="114" spans="1:32" ht="33.75" hidden="1" customHeight="1">
      <c r="A114" s="917" t="s">
        <v>591</v>
      </c>
      <c r="D114" s="1563"/>
      <c r="E114" s="481" t="str">
        <f>FHD_NUM_P_74</f>
        <v/>
      </c>
      <c r="F114" s="1804" t="str">
        <f>FHD_P_74</f>
        <v/>
      </c>
      <c r="G114" s="1800" t="s">
        <v>592</v>
      </c>
      <c r="H114" s="512"/>
      <c r="I114" s="512"/>
      <c r="J114" s="225" t="str">
        <f>FHD_NOTE_P_74</f>
        <v/>
      </c>
      <c r="K114" s="478"/>
      <c r="AF114" s="1556">
        <v>0</v>
      </c>
    </row>
    <row r="115" spans="1:32" s="1560" customFormat="1" ht="18.75" hidden="1" customHeight="1">
      <c r="A115" s="2273" t="s">
        <v>593</v>
      </c>
      <c r="B115" s="838"/>
      <c r="C115" s="670"/>
      <c r="D115" s="668"/>
      <c r="E115" s="481" t="str">
        <f>FHD_NUM_P_75</f>
        <v/>
      </c>
      <c r="F115" s="1804" t="str">
        <f>FHD_P_75</f>
        <v/>
      </c>
      <c r="G115" s="1800" t="s">
        <v>557</v>
      </c>
      <c r="H115" s="492"/>
      <c r="I115" s="492"/>
      <c r="J115" s="225" t="str">
        <f>FHD_NOTE_P_75</f>
        <v/>
      </c>
      <c r="K115" s="669"/>
      <c r="L115" s="670"/>
      <c r="M115" s="670"/>
      <c r="N115" s="838"/>
      <c r="O115" s="838"/>
      <c r="P115" s="838"/>
      <c r="Q115" s="838"/>
      <c r="R115" s="670"/>
      <c r="S115" s="838"/>
      <c r="T115" s="838"/>
      <c r="U115" s="671"/>
      <c r="V115" s="838"/>
      <c r="W115" s="838"/>
      <c r="X115" s="838"/>
      <c r="Y115" s="838"/>
      <c r="Z115" s="838"/>
      <c r="AA115" s="672"/>
      <c r="AB115" s="672"/>
      <c r="AC115" s="672"/>
      <c r="AD115" s="672"/>
      <c r="AE115" s="672"/>
      <c r="AF115" s="674">
        <v>0</v>
      </c>
    </row>
    <row r="116" spans="1:32" s="1560" customFormat="1" ht="18.75" hidden="1" customHeight="1">
      <c r="A116" s="2273"/>
      <c r="B116" s="838"/>
      <c r="C116" s="670"/>
      <c r="D116" s="668"/>
      <c r="E116" s="481" t="str">
        <f>FHD_NUM_P_76</f>
        <v/>
      </c>
      <c r="F116" s="1804" t="str">
        <f>FHD_P_76</f>
        <v/>
      </c>
      <c r="G116" s="1800" t="s">
        <v>557</v>
      </c>
      <c r="H116" s="492"/>
      <c r="I116" s="492"/>
      <c r="J116" s="225" t="str">
        <f>FHD_NOTE_P_76</f>
        <v/>
      </c>
      <c r="K116" s="669"/>
      <c r="L116" s="670"/>
      <c r="M116" s="670"/>
      <c r="N116" s="838"/>
      <c r="O116" s="838"/>
      <c r="P116" s="838"/>
      <c r="Q116" s="838"/>
      <c r="R116" s="670"/>
      <c r="S116" s="838"/>
      <c r="T116" s="838"/>
      <c r="U116" s="671"/>
      <c r="V116" s="838"/>
      <c r="W116" s="838"/>
      <c r="X116" s="838"/>
      <c r="Y116" s="838"/>
      <c r="Z116" s="838"/>
      <c r="AA116" s="672"/>
      <c r="AB116" s="672"/>
      <c r="AC116" s="672"/>
      <c r="AD116" s="672"/>
      <c r="AE116" s="672"/>
      <c r="AF116" s="674">
        <v>0</v>
      </c>
    </row>
    <row r="117" spans="1:32" s="1560" customFormat="1" ht="18.75" hidden="1" customHeight="1">
      <c r="A117" s="2273"/>
      <c r="B117" s="838"/>
      <c r="C117" s="670"/>
      <c r="D117" s="668"/>
      <c r="E117" s="481" t="str">
        <f>FHD_NUM_P_77</f>
        <v/>
      </c>
      <c r="F117" s="1804" t="str">
        <f>FHD_P_77</f>
        <v/>
      </c>
      <c r="G117" s="1800" t="s">
        <v>557</v>
      </c>
      <c r="H117" s="492"/>
      <c r="I117" s="492"/>
      <c r="J117" s="225" t="str">
        <f>FHD_NOTE_P_77</f>
        <v/>
      </c>
      <c r="K117" s="669"/>
      <c r="L117" s="670"/>
      <c r="M117" s="670"/>
      <c r="N117" s="838"/>
      <c r="O117" s="838"/>
      <c r="P117" s="838"/>
      <c r="Q117" s="838"/>
      <c r="R117" s="670"/>
      <c r="S117" s="838"/>
      <c r="T117" s="838"/>
      <c r="U117" s="671"/>
      <c r="V117" s="838"/>
      <c r="W117" s="838"/>
      <c r="X117" s="838"/>
      <c r="Y117" s="838"/>
      <c r="Z117" s="838"/>
      <c r="AA117" s="672"/>
      <c r="AB117" s="672"/>
      <c r="AC117" s="672"/>
      <c r="AD117" s="672"/>
      <c r="AE117" s="672"/>
      <c r="AF117" s="674">
        <v>0</v>
      </c>
    </row>
    <row r="118" spans="1:32" s="1567" customFormat="1" ht="0.75" hidden="1" customHeight="1">
      <c r="A118" s="2273"/>
      <c r="D118" s="483"/>
      <c r="E118" s="941" t="str">
        <f>E117&amp;".0"</f>
        <v>.0</v>
      </c>
      <c r="F118" s="925"/>
      <c r="G118" s="1576"/>
      <c r="H118" s="920"/>
      <c r="I118" s="920"/>
      <c r="J118" s="924"/>
      <c r="AF118" s="1561">
        <v>0</v>
      </c>
    </row>
    <row r="119" spans="1:32" s="1560" customFormat="1" ht="15" hidden="1" customHeight="1">
      <c r="A119" s="2273"/>
      <c r="B119" s="838"/>
      <c r="C119" s="670"/>
      <c r="D119" s="681"/>
      <c r="E119" s="901"/>
      <c r="F119" s="902" t="s">
        <v>594</v>
      </c>
      <c r="G119" s="682"/>
      <c r="H119" s="683"/>
      <c r="I119" s="683"/>
      <c r="J119" s="931" t="s">
        <v>595</v>
      </c>
      <c r="K119" s="669"/>
      <c r="L119" s="670"/>
      <c r="M119" s="670"/>
      <c r="N119" s="838"/>
      <c r="O119" s="838"/>
      <c r="P119" s="838"/>
      <c r="Q119" s="838"/>
      <c r="R119" s="670"/>
      <c r="S119" s="838"/>
      <c r="T119" s="838"/>
      <c r="U119" s="671"/>
      <c r="V119" s="838"/>
      <c r="W119" s="838"/>
      <c r="X119" s="838"/>
      <c r="Y119" s="838"/>
      <c r="Z119" s="838"/>
      <c r="AA119" s="672"/>
      <c r="AB119" s="672"/>
      <c r="AC119" s="672"/>
      <c r="AD119" s="672"/>
      <c r="AE119" s="672"/>
      <c r="AF119" s="674">
        <v>0</v>
      </c>
    </row>
    <row r="120" spans="1:32" ht="22.5" customHeight="1">
      <c r="A120" s="2273" t="s">
        <v>596</v>
      </c>
      <c r="D120" s="1563"/>
      <c r="E120" s="481" t="str">
        <f>FHD_NUM_P_78</f>
        <v>15</v>
      </c>
      <c r="F120" s="1804" t="str">
        <f>FHD_P_78</f>
        <v>Норматив удельного расхода условного топлива при производстве тепловой энергии источниками тепловой энергии, используемыми для осуществления регулируемых видов деятельности, в целом по регулируемой организации или с распределением по источникам тепловой энергии (в зависимости от показателя (показателей), утвержденного уполномоченным органом)</v>
      </c>
      <c r="G120" s="1801" t="s">
        <v>559</v>
      </c>
      <c r="H120" s="512"/>
      <c r="I120" s="512"/>
      <c r="J120" s="225" t="str">
        <f>FHD_NOTE_P_78</f>
        <v/>
      </c>
      <c r="K120" s="478"/>
      <c r="AF120" s="1556">
        <v>0</v>
      </c>
    </row>
    <row r="121" spans="1:32" s="1567" customFormat="1" ht="0.75" customHeight="1">
      <c r="A121" s="2273"/>
      <c r="D121" s="483"/>
      <c r="E121" s="941" t="str">
        <f>E120&amp;".0"</f>
        <v>15.0</v>
      </c>
      <c r="F121" s="925"/>
      <c r="G121" s="1576"/>
      <c r="H121" s="920"/>
      <c r="I121" s="920"/>
      <c r="J121" s="924"/>
      <c r="AF121" s="1561">
        <v>0</v>
      </c>
    </row>
    <row r="122" spans="1:32" ht="15" customHeight="1">
      <c r="A122" s="2273"/>
      <c r="D122" s="1558"/>
      <c r="E122" s="505"/>
      <c r="F122" s="1093" t="s">
        <v>585</v>
      </c>
      <c r="G122" s="507"/>
      <c r="H122" s="508"/>
      <c r="I122" s="508"/>
      <c r="J122" s="932" t="s">
        <v>597</v>
      </c>
      <c r="K122" s="478"/>
      <c r="AF122" s="1556">
        <v>0</v>
      </c>
    </row>
    <row r="123" spans="1:32" ht="22.5" customHeight="1">
      <c r="A123" s="2273"/>
      <c r="D123" s="1563"/>
      <c r="E123" s="481" t="str">
        <f>FHD_NUM_P_79</f>
        <v>16</v>
      </c>
      <c r="F123" s="1804" t="str">
        <f>FHD_P_79</f>
        <v>Фактический удельный расход условного топлива при производстве тепловой энергии источниками тепловой энергии, используемыми для осуществления регулируемых видов деятельности, в целом по регулируемой организации или с распределением по источникам тепловой энергии (в зависимости от показателя (показателей), утвержденного уполномоченным органом)</v>
      </c>
      <c r="G123" s="1802" t="s">
        <v>561</v>
      </c>
      <c r="H123" s="512"/>
      <c r="I123" s="512"/>
      <c r="J123" s="225" t="str">
        <f>FHD_NOTE_P_79</f>
        <v>Регулируемыми организациями указывается информация с распределением по источникам тепловой энергии, используемым для осуществления регулируемых видов деятельности.</v>
      </c>
      <c r="K123" s="478"/>
      <c r="AF123" s="1556">
        <v>0</v>
      </c>
    </row>
    <row r="124" spans="1:32" s="1567" customFormat="1" ht="0.75" customHeight="1">
      <c r="A124" s="2273"/>
      <c r="D124" s="483"/>
      <c r="E124" s="941" t="str">
        <f>E123&amp;".0"</f>
        <v>16.0</v>
      </c>
      <c r="F124" s="926"/>
      <c r="G124" s="1576"/>
      <c r="H124" s="920"/>
      <c r="I124" s="920"/>
      <c r="J124" s="924"/>
      <c r="AF124" s="1561">
        <v>0</v>
      </c>
    </row>
    <row r="125" spans="1:32" ht="15" customHeight="1">
      <c r="A125" s="2273"/>
      <c r="D125" s="1558"/>
      <c r="E125" s="505"/>
      <c r="F125" s="1093" t="s">
        <v>585</v>
      </c>
      <c r="G125" s="507"/>
      <c r="H125" s="508"/>
      <c r="I125" s="508"/>
      <c r="J125" s="932" t="s">
        <v>598</v>
      </c>
      <c r="K125" s="478"/>
      <c r="AF125" s="1556">
        <v>0</v>
      </c>
    </row>
    <row r="126" spans="1:32" ht="22.5" customHeight="1">
      <c r="A126" s="2273"/>
      <c r="D126" s="1563"/>
      <c r="E126" s="481" t="str">
        <f>FHD_NUM_P_80</f>
        <v>17</v>
      </c>
      <c r="F126" s="1804" t="str">
        <f>FHD_P_80</f>
        <v>Удельный расход электрической энергии на производство (передачу) тепловой энергии на единицу тепловой энергии, отпускаемой потребителям по договорам, заключенным в рамках осуществления регулируемых видов деятельности</v>
      </c>
      <c r="G126" s="1802" t="s">
        <v>599</v>
      </c>
      <c r="H126" s="492"/>
      <c r="I126" s="492"/>
      <c r="J126" s="225" t="str">
        <f>FHD_NOTE_P_80</f>
        <v>Регулируемыми организациями указывается информация с по договорам, заключенным в рамках осуществления регулируемой деятельности.</v>
      </c>
      <c r="K126" s="478"/>
      <c r="AF126" s="1556">
        <v>0</v>
      </c>
    </row>
    <row r="127" spans="1:32" ht="18.75" customHeight="1">
      <c r="A127" s="2273"/>
      <c r="D127" s="1563"/>
      <c r="E127" s="481" t="str">
        <f>FHD_NUM_P_81</f>
        <v>18</v>
      </c>
      <c r="F127" s="1804" t="str">
        <f>FHD_P_81</f>
        <v>Удельный расход холодной воды на производство (передачу) тепловой энергии на единицу тепловой энергии, отпускаемой потребителям по договорам, заключенным в рамках осуществления регулируемых видов деятельности</v>
      </c>
      <c r="G127" s="1802" t="s">
        <v>600</v>
      </c>
      <c r="H127" s="492"/>
      <c r="I127" s="492"/>
      <c r="J127" s="225" t="str">
        <f>FHD_NOTE_P_81</f>
        <v>Регулируемыми организациями указывается информация с по договорам, заключенным в рамках осуществления регулируемой деятельности.</v>
      </c>
      <c r="K127" s="478"/>
      <c r="AF127" s="1556">
        <v>0</v>
      </c>
    </row>
    <row r="128" spans="1:32" ht="18.75" customHeight="1">
      <c r="A128" s="2273"/>
      <c r="C128" s="1561" t="s">
        <v>587</v>
      </c>
      <c r="D128" s="1563"/>
      <c r="E128" s="481" t="str">
        <f>FHD_NUM_P_82</f>
        <v>19</v>
      </c>
      <c r="F128" s="1804" t="str">
        <f>FHD_P_82</f>
        <v>Информация о показателях технико-экономического состояния систем теплоснабжения (за исключением теплопотребляющих установок потребителей тепловой энергии, теплоносителя, а также источников тепловой энергии, функционирующих в режиме комбинированной выработки электрической и тепловой энергии), в т.ч.:</v>
      </c>
      <c r="G128" s="1802" t="s">
        <v>305</v>
      </c>
      <c r="H128" s="336"/>
      <c r="I128" s="336"/>
      <c r="J128" s="225" t="str">
        <f>FHD_NOTE_P_82</f>
        <v>Указывается ссылка на документ, предварительно загруженный в хранилище файлов ФГИС ЕИАС.</v>
      </c>
      <c r="K128" s="478"/>
      <c r="AF128" s="1556">
        <v>0</v>
      </c>
    </row>
    <row r="129" spans="1:32" ht="18.75" customHeight="1">
      <c r="A129" s="2273"/>
      <c r="C129" s="1561" t="s">
        <v>587</v>
      </c>
      <c r="D129" s="1563"/>
      <c r="E129" s="481" t="str">
        <f>FHD_NUM_P_83</f>
        <v>19.1</v>
      </c>
      <c r="F129" s="1449" t="str">
        <f>FHD_P_83</f>
        <v>Информация о показателях физического износа объектов теплоснабжения</v>
      </c>
      <c r="G129" s="1802" t="s">
        <v>305</v>
      </c>
      <c r="H129" s="336"/>
      <c r="I129" s="336"/>
      <c r="J129" s="225" t="str">
        <f>FHD_NOTE_P_83</f>
        <v>Указывается ссылка на документ, предварительно загруженный в хранилище файлов ФГИС ЕИАС.</v>
      </c>
      <c r="K129" s="478"/>
      <c r="AF129" s="1556">
        <v>0</v>
      </c>
    </row>
    <row r="130" spans="1:32" ht="18.75" customHeight="1">
      <c r="A130" s="2273"/>
      <c r="C130" s="1561" t="s">
        <v>587</v>
      </c>
      <c r="D130" s="1563"/>
      <c r="E130" s="481" t="str">
        <f>FHD_NUM_P_84</f>
        <v>19.2</v>
      </c>
      <c r="F130" s="1449" t="str">
        <f>FHD_P_84</f>
        <v>Информация о показателях энергетической эффективности объектов теплоснабжения</v>
      </c>
      <c r="G130" s="1802" t="s">
        <v>305</v>
      </c>
      <c r="H130" s="336"/>
      <c r="I130" s="336"/>
      <c r="J130" s="225" t="str">
        <f>FHD_NOTE_P_84</f>
        <v>Указывается ссылка на документ, предварительно загруженный в хранилище файлов ФГИС ЕИАС.</v>
      </c>
      <c r="K130" s="478"/>
      <c r="AF130" s="1556">
        <v>0</v>
      </c>
    </row>
    <row r="131" spans="1:32" ht="11.45" customHeight="1">
      <c r="D131" s="1563"/>
      <c r="AF131" s="1556">
        <v>11</v>
      </c>
    </row>
    <row r="132" spans="1:32" ht="13.5" customHeight="1">
      <c r="D132" s="1563"/>
      <c r="E132" s="272"/>
      <c r="F132" s="304"/>
      <c r="G132" s="304"/>
      <c r="H132" s="304"/>
      <c r="I132" s="1572"/>
      <c r="J132" s="516"/>
      <c r="AF132" s="1556">
        <v>13</v>
      </c>
    </row>
    <row r="133" spans="1:32" s="1566" customFormat="1" ht="11.45" customHeight="1">
      <c r="A133" s="915"/>
      <c r="B133" s="1561"/>
      <c r="C133" s="1561"/>
      <c r="D133" s="286"/>
      <c r="F133" s="1565"/>
      <c r="G133" s="1556"/>
      <c r="H133" s="1556"/>
      <c r="I133" s="1556"/>
      <c r="K133" s="1085"/>
      <c r="L133" s="1561"/>
      <c r="M133" s="1561"/>
      <c r="N133" s="1085"/>
      <c r="O133" s="1085"/>
      <c r="P133" s="1085"/>
      <c r="Q133" s="1085"/>
      <c r="R133" s="1561"/>
      <c r="S133" s="1085"/>
      <c r="T133" s="1085"/>
      <c r="U133" s="479"/>
      <c r="V133" s="1085"/>
      <c r="W133" s="1085"/>
      <c r="X133" s="1085"/>
      <c r="Y133" s="1085"/>
      <c r="Z133" s="1085"/>
      <c r="AA133" s="1557"/>
      <c r="AB133" s="501"/>
      <c r="AC133" s="501"/>
      <c r="AD133" s="501"/>
      <c r="AE133" s="501"/>
      <c r="AF133" s="1566">
        <v>11</v>
      </c>
    </row>
    <row r="134" spans="1:32" s="1566" customFormat="1" ht="11.45" customHeight="1">
      <c r="A134" s="915"/>
      <c r="B134" s="1561"/>
      <c r="C134" s="1561"/>
      <c r="D134" s="286"/>
      <c r="K134" s="1085"/>
      <c r="L134" s="1561"/>
      <c r="M134" s="1561"/>
      <c r="N134" s="1085"/>
      <c r="O134" s="1085"/>
      <c r="P134" s="1085"/>
      <c r="Q134" s="1085"/>
      <c r="R134" s="1561"/>
      <c r="S134" s="1085"/>
      <c r="T134" s="1085"/>
      <c r="U134" s="479"/>
      <c r="V134" s="1085"/>
      <c r="W134" s="1085"/>
      <c r="X134" s="1085"/>
      <c r="Y134" s="1085"/>
      <c r="Z134" s="1085"/>
      <c r="AA134" s="1557"/>
      <c r="AB134" s="501"/>
      <c r="AC134" s="501"/>
      <c r="AD134" s="501"/>
      <c r="AE134" s="501"/>
      <c r="AF134" s="1566">
        <v>11</v>
      </c>
    </row>
    <row r="135" spans="1:32" s="1566" customFormat="1" ht="11.45" customHeight="1">
      <c r="A135" s="915"/>
      <c r="B135" s="1561"/>
      <c r="C135" s="1561"/>
      <c r="D135" s="286"/>
      <c r="K135" s="1085"/>
      <c r="L135" s="1561"/>
      <c r="M135" s="1561"/>
      <c r="N135" s="1085"/>
      <c r="O135" s="1085"/>
      <c r="P135" s="1085"/>
      <c r="Q135" s="1085"/>
      <c r="R135" s="1561"/>
      <c r="S135" s="1085"/>
      <c r="T135" s="1085"/>
      <c r="U135" s="479"/>
      <c r="V135" s="1085"/>
      <c r="W135" s="1085"/>
      <c r="X135" s="1085"/>
      <c r="Y135" s="1085"/>
      <c r="Z135" s="1085"/>
      <c r="AA135" s="1557"/>
      <c r="AB135" s="501"/>
      <c r="AC135" s="501"/>
      <c r="AD135" s="501"/>
      <c r="AE135" s="501"/>
      <c r="AF135" s="1566">
        <v>11</v>
      </c>
    </row>
    <row r="136" spans="1:32" s="1566" customFormat="1" ht="11.45" customHeight="1">
      <c r="A136" s="915"/>
      <c r="B136" s="1561"/>
      <c r="C136" s="1561"/>
      <c r="D136" s="286"/>
      <c r="H136" s="501" t="str">
        <f>IF(H30-H31&lt;&gt;H72,"WARNING","")</f>
        <v/>
      </c>
      <c r="I136" s="501" t="str">
        <f>IF(I30-I31&lt;&gt;I72,"WARNING","")</f>
        <v/>
      </c>
      <c r="K136" s="1085"/>
      <c r="L136" s="1561"/>
      <c r="M136" s="1561"/>
      <c r="N136" s="1085"/>
      <c r="O136" s="1085"/>
      <c r="P136" s="1085"/>
      <c r="Q136" s="1085"/>
      <c r="R136" s="1561"/>
      <c r="S136" s="1085"/>
      <c r="T136" s="1085"/>
      <c r="U136" s="479"/>
      <c r="V136" s="1085"/>
      <c r="W136" s="1085"/>
      <c r="X136" s="1085"/>
      <c r="Y136" s="1085"/>
      <c r="Z136" s="1085"/>
      <c r="AA136" s="1557"/>
      <c r="AB136" s="501"/>
      <c r="AC136" s="501"/>
      <c r="AD136" s="501"/>
      <c r="AE136" s="501"/>
      <c r="AF136" s="1566">
        <v>11</v>
      </c>
    </row>
    <row r="137" spans="1:32" s="1566" customFormat="1" ht="11.45" customHeight="1">
      <c r="A137" s="915"/>
      <c r="B137" s="1561"/>
      <c r="C137" s="1561"/>
      <c r="D137" s="286"/>
      <c r="K137" s="1085"/>
      <c r="L137" s="1561"/>
      <c r="M137" s="1561"/>
      <c r="N137" s="1085"/>
      <c r="O137" s="1085"/>
      <c r="P137" s="1085"/>
      <c r="Q137" s="1085"/>
      <c r="R137" s="1561"/>
      <c r="S137" s="1085"/>
      <c r="T137" s="1085"/>
      <c r="U137" s="479"/>
      <c r="V137" s="1085"/>
      <c r="W137" s="1085"/>
      <c r="X137" s="1085"/>
      <c r="Y137" s="1085"/>
      <c r="Z137" s="1085"/>
      <c r="AA137" s="1557"/>
      <c r="AB137" s="501"/>
      <c r="AC137" s="501"/>
      <c r="AD137" s="501"/>
      <c r="AE137" s="501"/>
      <c r="AF137" s="1566">
        <v>11</v>
      </c>
    </row>
    <row r="138" spans="1:32" s="1566" customFormat="1" ht="11.45" customHeight="1">
      <c r="A138" s="915"/>
      <c r="B138" s="1561"/>
      <c r="C138" s="1561"/>
      <c r="D138" s="286"/>
      <c r="K138" s="1085"/>
      <c r="L138" s="1561"/>
      <c r="M138" s="1561"/>
      <c r="N138" s="1085"/>
      <c r="O138" s="1085"/>
      <c r="P138" s="1085"/>
      <c r="Q138" s="1085"/>
      <c r="R138" s="1561"/>
      <c r="S138" s="1085"/>
      <c r="T138" s="1085"/>
      <c r="U138" s="479"/>
      <c r="V138" s="1085"/>
      <c r="W138" s="1085"/>
      <c r="X138" s="1085"/>
      <c r="Y138" s="1085"/>
      <c r="Z138" s="1085"/>
      <c r="AA138" s="1557"/>
      <c r="AB138" s="501"/>
      <c r="AC138" s="501"/>
      <c r="AD138" s="501"/>
      <c r="AE138" s="501"/>
      <c r="AF138" s="1566">
        <v>11</v>
      </c>
    </row>
    <row r="139" spans="1:32" s="1566" customFormat="1" ht="11.45" customHeight="1">
      <c r="A139" s="915"/>
      <c r="B139" s="1561"/>
      <c r="C139" s="1561"/>
      <c r="D139" s="286"/>
      <c r="K139" s="1085"/>
      <c r="L139" s="1561"/>
      <c r="M139" s="1561"/>
      <c r="N139" s="1085"/>
      <c r="O139" s="1085"/>
      <c r="P139" s="1085"/>
      <c r="Q139" s="1085"/>
      <c r="R139" s="1561"/>
      <c r="S139" s="1085"/>
      <c r="T139" s="1085"/>
      <c r="U139" s="479"/>
      <c r="V139" s="1085"/>
      <c r="W139" s="1085"/>
      <c r="X139" s="1085"/>
      <c r="Y139" s="1085"/>
      <c r="Z139" s="1085"/>
      <c r="AA139" s="1557"/>
      <c r="AB139" s="501"/>
      <c r="AC139" s="501"/>
      <c r="AD139" s="501"/>
      <c r="AE139" s="501"/>
      <c r="AF139" s="1566">
        <v>11</v>
      </c>
    </row>
    <row r="140" spans="1:32" s="1566" customFormat="1" ht="11.45" customHeight="1">
      <c r="A140" s="915"/>
      <c r="B140" s="1561"/>
      <c r="C140" s="1561"/>
      <c r="D140" s="286"/>
      <c r="K140" s="1085"/>
      <c r="L140" s="1561"/>
      <c r="M140" s="1561"/>
      <c r="N140" s="1085"/>
      <c r="O140" s="1085"/>
      <c r="P140" s="1085"/>
      <c r="Q140" s="1085"/>
      <c r="R140" s="1561"/>
      <c r="S140" s="1085"/>
      <c r="T140" s="1085"/>
      <c r="U140" s="479"/>
      <c r="V140" s="1085"/>
      <c r="W140" s="1085"/>
      <c r="X140" s="1085"/>
      <c r="Y140" s="1085"/>
      <c r="Z140" s="1085"/>
      <c r="AA140" s="1557"/>
      <c r="AB140" s="501"/>
      <c r="AC140" s="501"/>
      <c r="AD140" s="501"/>
      <c r="AE140" s="501"/>
      <c r="AF140" s="1566">
        <v>11</v>
      </c>
    </row>
    <row r="141" spans="1:32" s="1566" customFormat="1" ht="11.45" customHeight="1">
      <c r="A141" s="915"/>
      <c r="B141" s="1561"/>
      <c r="C141" s="1561"/>
      <c r="D141" s="286"/>
      <c r="K141" s="1085"/>
      <c r="L141" s="1561"/>
      <c r="M141" s="1561"/>
      <c r="N141" s="1085"/>
      <c r="O141" s="1085"/>
      <c r="P141" s="1085"/>
      <c r="Q141" s="1085"/>
      <c r="R141" s="1561"/>
      <c r="S141" s="1085"/>
      <c r="T141" s="1085"/>
      <c r="U141" s="479"/>
      <c r="V141" s="1085"/>
      <c r="W141" s="1085"/>
      <c r="X141" s="1085"/>
      <c r="Y141" s="1085"/>
      <c r="Z141" s="1085"/>
      <c r="AA141" s="1557"/>
      <c r="AB141" s="501"/>
      <c r="AC141" s="501"/>
      <c r="AD141" s="501"/>
      <c r="AE141" s="501"/>
      <c r="AF141" s="1566">
        <v>11</v>
      </c>
    </row>
    <row r="142" spans="1:32" s="1566" customFormat="1" ht="11.45" customHeight="1">
      <c r="A142" s="915"/>
      <c r="B142" s="1561"/>
      <c r="C142" s="1561"/>
      <c r="D142" s="286"/>
      <c r="K142" s="1085"/>
      <c r="L142" s="1561"/>
      <c r="M142" s="1561"/>
      <c r="N142" s="1085"/>
      <c r="O142" s="1085"/>
      <c r="P142" s="1085"/>
      <c r="Q142" s="1085"/>
      <c r="R142" s="1561"/>
      <c r="S142" s="1085"/>
      <c r="T142" s="1085"/>
      <c r="U142" s="479"/>
      <c r="V142" s="1085"/>
      <c r="W142" s="1085"/>
      <c r="X142" s="1085"/>
      <c r="Y142" s="1085"/>
      <c r="Z142" s="1085"/>
      <c r="AA142" s="1557"/>
      <c r="AB142" s="501"/>
      <c r="AC142" s="501"/>
      <c r="AD142" s="501"/>
      <c r="AE142" s="501"/>
      <c r="AF142" s="1566">
        <v>11</v>
      </c>
    </row>
    <row r="143" spans="1:32" s="1566" customFormat="1" ht="11.45" customHeight="1">
      <c r="A143" s="915"/>
      <c r="B143" s="1561"/>
      <c r="C143" s="1561"/>
      <c r="D143" s="286"/>
      <c r="K143" s="1085"/>
      <c r="L143" s="1561"/>
      <c r="M143" s="1561"/>
      <c r="N143" s="1085"/>
      <c r="O143" s="1085"/>
      <c r="P143" s="1085"/>
      <c r="Q143" s="1085"/>
      <c r="R143" s="1561"/>
      <c r="S143" s="1085"/>
      <c r="T143" s="1085"/>
      <c r="U143" s="479"/>
      <c r="V143" s="1085"/>
      <c r="W143" s="1085"/>
      <c r="X143" s="1085"/>
      <c r="Y143" s="1085"/>
      <c r="Z143" s="1085"/>
      <c r="AA143" s="1557"/>
      <c r="AB143" s="501"/>
      <c r="AC143" s="501"/>
      <c r="AD143" s="501"/>
      <c r="AE143" s="501"/>
      <c r="AF143" s="1566">
        <v>11</v>
      </c>
    </row>
    <row r="144" spans="1:32" s="1566" customFormat="1" ht="11.45" customHeight="1">
      <c r="A144" s="915"/>
      <c r="B144" s="1561"/>
      <c r="C144" s="1561"/>
      <c r="D144" s="286"/>
      <c r="K144" s="1085"/>
      <c r="L144" s="1561"/>
      <c r="M144" s="1561"/>
      <c r="N144" s="1085"/>
      <c r="O144" s="1085"/>
      <c r="P144" s="1085"/>
      <c r="Q144" s="1085"/>
      <c r="R144" s="1561"/>
      <c r="S144" s="1085"/>
      <c r="T144" s="1085"/>
      <c r="U144" s="479"/>
      <c r="V144" s="1085"/>
      <c r="W144" s="1085"/>
      <c r="X144" s="1085"/>
      <c r="Y144" s="1085"/>
      <c r="Z144" s="1085"/>
      <c r="AA144" s="1557"/>
      <c r="AB144" s="501"/>
      <c r="AC144" s="501"/>
      <c r="AD144" s="501"/>
      <c r="AE144" s="501"/>
      <c r="AF144" s="1566">
        <v>11</v>
      </c>
    </row>
    <row r="145" spans="1:32" s="1566" customFormat="1" ht="11.45" customHeight="1">
      <c r="A145" s="915"/>
      <c r="B145" s="1561"/>
      <c r="C145" s="1561"/>
      <c r="D145" s="286"/>
      <c r="K145" s="1085"/>
      <c r="L145" s="1561"/>
      <c r="M145" s="1561"/>
      <c r="N145" s="1085"/>
      <c r="O145" s="1085"/>
      <c r="P145" s="1085"/>
      <c r="Q145" s="1085"/>
      <c r="R145" s="1561"/>
      <c r="S145" s="1085"/>
      <c r="T145" s="1085"/>
      <c r="U145" s="479"/>
      <c r="V145" s="1085"/>
      <c r="W145" s="1085"/>
      <c r="X145" s="1085"/>
      <c r="Y145" s="1085"/>
      <c r="Z145" s="1085"/>
      <c r="AA145" s="1557"/>
      <c r="AB145" s="501"/>
      <c r="AC145" s="501"/>
      <c r="AD145" s="501"/>
      <c r="AE145" s="501"/>
      <c r="AF145" s="1566">
        <v>11</v>
      </c>
    </row>
    <row r="146" spans="1:32" s="1566" customFormat="1" ht="11.45" customHeight="1">
      <c r="A146" s="915"/>
      <c r="B146" s="1561"/>
      <c r="C146" s="1561"/>
      <c r="D146" s="286"/>
      <c r="K146" s="1085"/>
      <c r="L146" s="1561"/>
      <c r="M146" s="1561"/>
      <c r="N146" s="1085"/>
      <c r="O146" s="1085"/>
      <c r="P146" s="1085"/>
      <c r="Q146" s="1085"/>
      <c r="R146" s="1561"/>
      <c r="S146" s="1085"/>
      <c r="T146" s="1085"/>
      <c r="U146" s="479"/>
      <c r="V146" s="1085"/>
      <c r="W146" s="1085"/>
      <c r="X146" s="1085"/>
      <c r="Y146" s="1085"/>
      <c r="Z146" s="1085"/>
      <c r="AA146" s="1557"/>
      <c r="AB146" s="501"/>
      <c r="AC146" s="501"/>
      <c r="AD146" s="501"/>
      <c r="AE146" s="501"/>
      <c r="AF146" s="1566">
        <v>11</v>
      </c>
    </row>
    <row r="147" spans="1:32" s="1566" customFormat="1" ht="11.45" customHeight="1">
      <c r="A147" s="915"/>
      <c r="B147" s="1561"/>
      <c r="C147" s="1561"/>
      <c r="D147" s="286"/>
      <c r="K147" s="1085"/>
      <c r="L147" s="1561"/>
      <c r="M147" s="1561"/>
      <c r="N147" s="1085"/>
      <c r="O147" s="1085"/>
      <c r="P147" s="1085"/>
      <c r="Q147" s="1085"/>
      <c r="R147" s="1561"/>
      <c r="S147" s="1085"/>
      <c r="T147" s="1085"/>
      <c r="U147" s="479"/>
      <c r="V147" s="1085"/>
      <c r="W147" s="1085"/>
      <c r="X147" s="1085"/>
      <c r="Y147" s="1085"/>
      <c r="Z147" s="1085"/>
      <c r="AA147" s="1557"/>
      <c r="AB147" s="501"/>
      <c r="AC147" s="501"/>
      <c r="AD147" s="501"/>
      <c r="AE147" s="501"/>
      <c r="AF147" s="1566">
        <v>11</v>
      </c>
    </row>
    <row r="148" spans="1:32" s="1566" customFormat="1" ht="11.45" customHeight="1">
      <c r="A148" s="915"/>
      <c r="B148" s="1561"/>
      <c r="C148" s="1561"/>
      <c r="D148" s="286"/>
      <c r="K148" s="1085"/>
      <c r="L148" s="1561"/>
      <c r="M148" s="1561"/>
      <c r="N148" s="1085"/>
      <c r="O148" s="1085"/>
      <c r="P148" s="1085"/>
      <c r="Q148" s="1085"/>
      <c r="R148" s="1561"/>
      <c r="S148" s="1085"/>
      <c r="T148" s="1085"/>
      <c r="U148" s="479"/>
      <c r="V148" s="1085"/>
      <c r="W148" s="1085"/>
      <c r="X148" s="1085"/>
      <c r="Y148" s="1085"/>
      <c r="Z148" s="1085"/>
      <c r="AA148" s="1557"/>
      <c r="AB148" s="501"/>
      <c r="AC148" s="501"/>
      <c r="AD148" s="501"/>
      <c r="AE148" s="501"/>
      <c r="AF148" s="1566">
        <v>11</v>
      </c>
    </row>
    <row r="149" spans="1:32" s="1566" customFormat="1" ht="11.45" customHeight="1">
      <c r="A149" s="915"/>
      <c r="B149" s="1561"/>
      <c r="C149" s="1561"/>
      <c r="D149" s="286"/>
      <c r="K149" s="1085"/>
      <c r="L149" s="1561"/>
      <c r="M149" s="1561"/>
      <c r="N149" s="1085"/>
      <c r="O149" s="1085"/>
      <c r="P149" s="1085"/>
      <c r="Q149" s="1085"/>
      <c r="R149" s="1561"/>
      <c r="S149" s="1085"/>
      <c r="T149" s="1085"/>
      <c r="U149" s="479"/>
      <c r="V149" s="1085"/>
      <c r="W149" s="1085"/>
      <c r="X149" s="1085"/>
      <c r="Y149" s="1085"/>
      <c r="Z149" s="1085"/>
      <c r="AA149" s="1557"/>
      <c r="AB149" s="501"/>
      <c r="AC149" s="501"/>
      <c r="AD149" s="501"/>
      <c r="AE149" s="501"/>
      <c r="AF149" s="1566">
        <v>11</v>
      </c>
    </row>
    <row r="150" spans="1:32" s="1566" customFormat="1" ht="11.45" customHeight="1">
      <c r="A150" s="915"/>
      <c r="B150" s="1561"/>
      <c r="C150" s="1561"/>
      <c r="D150" s="286"/>
      <c r="K150" s="1085"/>
      <c r="L150" s="1561"/>
      <c r="M150" s="1561"/>
      <c r="N150" s="1085"/>
      <c r="O150" s="1085"/>
      <c r="P150" s="1085"/>
      <c r="Q150" s="1085"/>
      <c r="R150" s="1561"/>
      <c r="S150" s="1085"/>
      <c r="T150" s="1085"/>
      <c r="U150" s="479"/>
      <c r="V150" s="1085"/>
      <c r="W150" s="1085"/>
      <c r="X150" s="1085"/>
      <c r="Y150" s="1085"/>
      <c r="Z150" s="1085"/>
      <c r="AA150" s="1557"/>
      <c r="AB150" s="501"/>
      <c r="AC150" s="501"/>
      <c r="AD150" s="501"/>
      <c r="AE150" s="501"/>
      <c r="AF150" s="1566">
        <v>11</v>
      </c>
    </row>
    <row r="151" spans="1:32" s="1566" customFormat="1" ht="11.45" customHeight="1">
      <c r="A151" s="915"/>
      <c r="B151" s="1561"/>
      <c r="C151" s="1561"/>
      <c r="D151" s="286"/>
      <c r="K151" s="1085"/>
      <c r="L151" s="1561"/>
      <c r="M151" s="1561"/>
      <c r="N151" s="1085"/>
      <c r="O151" s="1085"/>
      <c r="P151" s="1085"/>
      <c r="Q151" s="1085"/>
      <c r="R151" s="1561"/>
      <c r="S151" s="1085"/>
      <c r="T151" s="1085"/>
      <c r="U151" s="479"/>
      <c r="V151" s="1085"/>
      <c r="W151" s="1085"/>
      <c r="X151" s="1085"/>
      <c r="Y151" s="1085"/>
      <c r="Z151" s="1085"/>
      <c r="AA151" s="1557"/>
      <c r="AB151" s="501"/>
      <c r="AC151" s="501"/>
      <c r="AD151" s="501"/>
      <c r="AE151" s="501"/>
      <c r="AF151" s="1566">
        <v>11</v>
      </c>
    </row>
    <row r="152" spans="1:32" s="1566" customFormat="1" ht="11.45" customHeight="1">
      <c r="A152" s="915"/>
      <c r="B152" s="1561"/>
      <c r="C152" s="1561"/>
      <c r="D152" s="286"/>
      <c r="K152" s="1085"/>
      <c r="L152" s="1561"/>
      <c r="M152" s="1561"/>
      <c r="N152" s="1085"/>
      <c r="O152" s="1085"/>
      <c r="P152" s="1085"/>
      <c r="Q152" s="1085"/>
      <c r="R152" s="1561"/>
      <c r="S152" s="1085"/>
      <c r="T152" s="1085"/>
      <c r="U152" s="479"/>
      <c r="V152" s="1085"/>
      <c r="W152" s="1085"/>
      <c r="X152" s="1085"/>
      <c r="Y152" s="1085"/>
      <c r="Z152" s="1085"/>
      <c r="AA152" s="1557"/>
      <c r="AB152" s="501"/>
      <c r="AC152" s="501"/>
      <c r="AD152" s="501"/>
      <c r="AE152" s="501"/>
      <c r="AF152" s="1566">
        <v>11</v>
      </c>
    </row>
    <row r="153" spans="1:32" s="1566" customFormat="1" ht="11.45" customHeight="1">
      <c r="A153" s="915"/>
      <c r="B153" s="1561"/>
      <c r="C153" s="1561"/>
      <c r="D153" s="286"/>
      <c r="K153" s="1085"/>
      <c r="L153" s="1561"/>
      <c r="M153" s="1561"/>
      <c r="N153" s="1085"/>
      <c r="O153" s="1085"/>
      <c r="P153" s="1085"/>
      <c r="Q153" s="1085"/>
      <c r="R153" s="1561"/>
      <c r="S153" s="1085"/>
      <c r="T153" s="1085"/>
      <c r="U153" s="479"/>
      <c r="V153" s="1085"/>
      <c r="W153" s="1085"/>
      <c r="X153" s="1085"/>
      <c r="Y153" s="1085"/>
      <c r="Z153" s="1085"/>
      <c r="AA153" s="1557"/>
      <c r="AB153" s="501"/>
      <c r="AC153" s="501"/>
      <c r="AD153" s="501"/>
      <c r="AE153" s="501"/>
      <c r="AF153" s="1566">
        <v>11</v>
      </c>
    </row>
    <row r="154" spans="1:32" s="1566" customFormat="1" ht="11.45" customHeight="1">
      <c r="A154" s="915"/>
      <c r="B154" s="1561"/>
      <c r="C154" s="1561"/>
      <c r="D154" s="286"/>
      <c r="K154" s="1085"/>
      <c r="L154" s="1561"/>
      <c r="M154" s="1561"/>
      <c r="N154" s="1085"/>
      <c r="O154" s="1085"/>
      <c r="P154" s="1085"/>
      <c r="Q154" s="1085"/>
      <c r="R154" s="1561"/>
      <c r="S154" s="1085"/>
      <c r="T154" s="1085"/>
      <c r="U154" s="479"/>
      <c r="V154" s="1085"/>
      <c r="W154" s="1085"/>
      <c r="X154" s="1085"/>
      <c r="Y154" s="1085"/>
      <c r="Z154" s="1085"/>
      <c r="AA154" s="1557"/>
      <c r="AB154" s="501"/>
      <c r="AC154" s="501"/>
      <c r="AD154" s="501"/>
      <c r="AE154" s="501"/>
      <c r="AF154" s="1566">
        <v>11</v>
      </c>
    </row>
    <row r="155" spans="1:32" s="1566" customFormat="1" ht="11.45" customHeight="1">
      <c r="A155" s="915"/>
      <c r="B155" s="1561"/>
      <c r="C155" s="1561"/>
      <c r="D155" s="286"/>
      <c r="K155" s="1085"/>
      <c r="L155" s="1561"/>
      <c r="M155" s="1561"/>
      <c r="N155" s="1085"/>
      <c r="O155" s="1085"/>
      <c r="P155" s="1085"/>
      <c r="Q155" s="1085"/>
      <c r="R155" s="1561"/>
      <c r="S155" s="1085"/>
      <c r="T155" s="1085"/>
      <c r="U155" s="479"/>
      <c r="V155" s="1085"/>
      <c r="W155" s="1085"/>
      <c r="X155" s="1085"/>
      <c r="Y155" s="1085"/>
      <c r="Z155" s="1085"/>
      <c r="AA155" s="1557"/>
      <c r="AB155" s="501"/>
      <c r="AC155" s="501"/>
      <c r="AD155" s="501"/>
      <c r="AE155" s="501"/>
      <c r="AF155" s="1566">
        <v>11</v>
      </c>
    </row>
    <row r="156" spans="1:32" s="1566" customFormat="1" ht="11.45" customHeight="1">
      <c r="A156" s="915"/>
      <c r="B156" s="1561"/>
      <c r="C156" s="1561"/>
      <c r="D156" s="286"/>
      <c r="K156" s="1085"/>
      <c r="L156" s="1561"/>
      <c r="M156" s="1561"/>
      <c r="N156" s="1085"/>
      <c r="O156" s="1085"/>
      <c r="P156" s="1085"/>
      <c r="Q156" s="1085"/>
      <c r="R156" s="1561"/>
      <c r="S156" s="1085"/>
      <c r="T156" s="1085"/>
      <c r="U156" s="479"/>
      <c r="V156" s="1085"/>
      <c r="W156" s="1085"/>
      <c r="X156" s="1085"/>
      <c r="Y156" s="1085"/>
      <c r="Z156" s="1085"/>
      <c r="AA156" s="1557"/>
      <c r="AB156" s="501"/>
      <c r="AC156" s="501"/>
      <c r="AD156" s="501"/>
      <c r="AE156" s="501"/>
      <c r="AF156" s="1566">
        <v>11</v>
      </c>
    </row>
    <row r="157" spans="1:32" s="1566" customFormat="1" ht="11.45" customHeight="1">
      <c r="A157" s="915"/>
      <c r="B157" s="1561"/>
      <c r="C157" s="1561"/>
      <c r="D157" s="286"/>
      <c r="K157" s="1085"/>
      <c r="L157" s="1561"/>
      <c r="M157" s="1561"/>
      <c r="N157" s="1085"/>
      <c r="O157" s="1085"/>
      <c r="P157" s="1085"/>
      <c r="Q157" s="1085"/>
      <c r="R157" s="1561"/>
      <c r="S157" s="1085"/>
      <c r="T157" s="1085"/>
      <c r="U157" s="479"/>
      <c r="V157" s="1085"/>
      <c r="W157" s="1085"/>
      <c r="X157" s="1085"/>
      <c r="Y157" s="1085"/>
      <c r="Z157" s="1085"/>
      <c r="AA157" s="1557"/>
      <c r="AB157" s="501"/>
      <c r="AC157" s="501"/>
      <c r="AD157" s="501"/>
      <c r="AE157" s="501"/>
      <c r="AF157" s="1566">
        <v>11</v>
      </c>
    </row>
    <row r="158" spans="1:32" s="1566" customFormat="1" ht="11.45" customHeight="1">
      <c r="A158" s="915"/>
      <c r="B158" s="1561"/>
      <c r="C158" s="1561"/>
      <c r="D158" s="286"/>
      <c r="K158" s="1085"/>
      <c r="L158" s="1561"/>
      <c r="M158" s="1561"/>
      <c r="N158" s="1085"/>
      <c r="O158" s="1085"/>
      <c r="P158" s="1085"/>
      <c r="Q158" s="1085"/>
      <c r="R158" s="1561"/>
      <c r="S158" s="1085"/>
      <c r="T158" s="1085"/>
      <c r="U158" s="479"/>
      <c r="V158" s="1085"/>
      <c r="W158" s="1085"/>
      <c r="X158" s="1085"/>
      <c r="Y158" s="1085"/>
      <c r="Z158" s="1085"/>
      <c r="AA158" s="1557"/>
      <c r="AB158" s="501"/>
      <c r="AC158" s="501"/>
      <c r="AD158" s="501"/>
      <c r="AE158" s="501"/>
      <c r="AF158" s="1566">
        <v>11</v>
      </c>
    </row>
    <row r="159" spans="1:32" s="1566" customFormat="1" ht="11.45" customHeight="1">
      <c r="A159" s="915"/>
      <c r="B159" s="1561"/>
      <c r="C159" s="1561"/>
      <c r="D159" s="286"/>
      <c r="K159" s="1085"/>
      <c r="L159" s="1561"/>
      <c r="M159" s="1561"/>
      <c r="N159" s="1085"/>
      <c r="O159" s="1085"/>
      <c r="P159" s="1085"/>
      <c r="Q159" s="1085"/>
      <c r="R159" s="1561"/>
      <c r="S159" s="1085"/>
      <c r="T159" s="1085"/>
      <c r="U159" s="479"/>
      <c r="V159" s="1085"/>
      <c r="W159" s="1085"/>
      <c r="X159" s="1085"/>
      <c r="Y159" s="1085"/>
      <c r="Z159" s="1085"/>
      <c r="AA159" s="1557"/>
      <c r="AB159" s="501"/>
      <c r="AC159" s="501"/>
      <c r="AD159" s="501"/>
      <c r="AE159" s="501"/>
      <c r="AF159" s="1566">
        <v>11</v>
      </c>
    </row>
    <row r="160" spans="1:32" s="1566" customFormat="1" ht="11.45" customHeight="1">
      <c r="A160" s="915"/>
      <c r="B160" s="1561"/>
      <c r="C160" s="1561"/>
      <c r="D160" s="286"/>
      <c r="K160" s="1085"/>
      <c r="L160" s="1561"/>
      <c r="M160" s="1561"/>
      <c r="N160" s="1085"/>
      <c r="O160" s="1085"/>
      <c r="P160" s="1085"/>
      <c r="Q160" s="1085"/>
      <c r="R160" s="1561"/>
      <c r="S160" s="1085"/>
      <c r="T160" s="1085"/>
      <c r="U160" s="479"/>
      <c r="V160" s="1085"/>
      <c r="W160" s="1085"/>
      <c r="X160" s="1085"/>
      <c r="Y160" s="1085"/>
      <c r="Z160" s="1085"/>
      <c r="AA160" s="1557"/>
      <c r="AB160" s="501"/>
      <c r="AC160" s="501"/>
      <c r="AD160" s="501"/>
      <c r="AE160" s="501"/>
      <c r="AF160" s="1566">
        <v>11</v>
      </c>
    </row>
    <row r="161" spans="1:32" s="1566" customFormat="1" ht="11.45" customHeight="1">
      <c r="A161" s="915"/>
      <c r="B161" s="1561"/>
      <c r="C161" s="1561"/>
      <c r="D161" s="286"/>
      <c r="K161" s="1085"/>
      <c r="L161" s="1561"/>
      <c r="M161" s="1561"/>
      <c r="N161" s="1085"/>
      <c r="O161" s="1085"/>
      <c r="P161" s="1085"/>
      <c r="Q161" s="1085"/>
      <c r="R161" s="1561"/>
      <c r="S161" s="1085"/>
      <c r="T161" s="1085"/>
      <c r="U161" s="479"/>
      <c r="V161" s="1085"/>
      <c r="W161" s="1085"/>
      <c r="X161" s="1085"/>
      <c r="Y161" s="1085"/>
      <c r="Z161" s="1085"/>
      <c r="AA161" s="1557"/>
      <c r="AB161" s="501"/>
      <c r="AC161" s="501"/>
      <c r="AD161" s="501"/>
      <c r="AE161" s="501"/>
      <c r="AF161" s="1566">
        <v>11</v>
      </c>
    </row>
    <row r="162" spans="1:32" s="1566" customFormat="1" ht="11.45" customHeight="1">
      <c r="A162" s="915"/>
      <c r="B162" s="1561"/>
      <c r="C162" s="1561"/>
      <c r="D162" s="286"/>
      <c r="K162" s="1085"/>
      <c r="L162" s="1561"/>
      <c r="M162" s="1561"/>
      <c r="N162" s="1085"/>
      <c r="O162" s="1085"/>
      <c r="P162" s="1085"/>
      <c r="Q162" s="1085"/>
      <c r="R162" s="1561"/>
      <c r="S162" s="1085"/>
      <c r="T162" s="1085"/>
      <c r="U162" s="479"/>
      <c r="V162" s="1085"/>
      <c r="W162" s="1085"/>
      <c r="X162" s="1085"/>
      <c r="Y162" s="1085"/>
      <c r="Z162" s="1085"/>
      <c r="AA162" s="1557"/>
      <c r="AB162" s="501"/>
      <c r="AC162" s="501"/>
      <c r="AD162" s="501"/>
      <c r="AE162" s="501"/>
      <c r="AF162" s="1566">
        <v>11</v>
      </c>
    </row>
    <row r="163" spans="1:32" s="1566" customFormat="1" ht="11.45" customHeight="1">
      <c r="A163" s="915"/>
      <c r="B163" s="1561"/>
      <c r="C163" s="1561"/>
      <c r="D163" s="286"/>
      <c r="K163" s="1085"/>
      <c r="L163" s="1561"/>
      <c r="M163" s="1561"/>
      <c r="N163" s="1085"/>
      <c r="O163" s="1085"/>
      <c r="P163" s="1085"/>
      <c r="Q163" s="1085"/>
      <c r="R163" s="1561"/>
      <c r="S163" s="1085"/>
      <c r="T163" s="1085"/>
      <c r="U163" s="479"/>
      <c r="V163" s="1085"/>
      <c r="W163" s="1085"/>
      <c r="X163" s="1085"/>
      <c r="Y163" s="1085"/>
      <c r="Z163" s="1085"/>
      <c r="AA163" s="1557"/>
      <c r="AB163" s="501"/>
      <c r="AC163" s="501"/>
      <c r="AD163" s="501"/>
      <c r="AE163" s="501"/>
      <c r="AF163" s="1566">
        <v>11</v>
      </c>
    </row>
    <row r="164" spans="1:32" s="1566" customFormat="1" ht="11.45" customHeight="1">
      <c r="A164" s="915"/>
      <c r="B164" s="1561"/>
      <c r="C164" s="1561"/>
      <c r="D164" s="286"/>
      <c r="K164" s="1085"/>
      <c r="L164" s="1561"/>
      <c r="M164" s="1561"/>
      <c r="N164" s="1085"/>
      <c r="O164" s="1085"/>
      <c r="P164" s="1085"/>
      <c r="Q164" s="1085"/>
      <c r="R164" s="1561"/>
      <c r="S164" s="1085"/>
      <c r="T164" s="1085"/>
      <c r="U164" s="479"/>
      <c r="V164" s="1085"/>
      <c r="W164" s="1085"/>
      <c r="X164" s="1085"/>
      <c r="Y164" s="1085"/>
      <c r="Z164" s="1085"/>
      <c r="AA164" s="1557"/>
      <c r="AB164" s="501"/>
      <c r="AC164" s="501"/>
      <c r="AD164" s="501"/>
      <c r="AE164" s="501"/>
      <c r="AF164" s="1566">
        <v>11</v>
      </c>
    </row>
    <row r="165" spans="1:32" s="1566" customFormat="1" ht="11.45" customHeight="1">
      <c r="A165" s="915"/>
      <c r="B165" s="1561"/>
      <c r="C165" s="1561"/>
      <c r="D165" s="286"/>
      <c r="K165" s="1085"/>
      <c r="L165" s="1561"/>
      <c r="M165" s="1561"/>
      <c r="N165" s="1085"/>
      <c r="O165" s="1085"/>
      <c r="P165" s="1085"/>
      <c r="Q165" s="1085"/>
      <c r="R165" s="1561"/>
      <c r="S165" s="1085"/>
      <c r="T165" s="1085"/>
      <c r="U165" s="479"/>
      <c r="V165" s="1085"/>
      <c r="W165" s="1085"/>
      <c r="X165" s="1085"/>
      <c r="Y165" s="1085"/>
      <c r="Z165" s="1085"/>
      <c r="AA165" s="1557"/>
      <c r="AB165" s="501"/>
      <c r="AC165" s="501"/>
      <c r="AD165" s="501"/>
      <c r="AE165" s="501"/>
      <c r="AF165" s="1566">
        <v>11</v>
      </c>
    </row>
    <row r="166" spans="1:32" s="1566" customFormat="1" ht="11.45" customHeight="1">
      <c r="A166" s="915"/>
      <c r="B166" s="1561"/>
      <c r="C166" s="1561"/>
      <c r="D166" s="286"/>
      <c r="K166" s="1085"/>
      <c r="L166" s="1561"/>
      <c r="M166" s="1561"/>
      <c r="N166" s="1085"/>
      <c r="O166" s="1085"/>
      <c r="P166" s="1085"/>
      <c r="Q166" s="1085"/>
      <c r="R166" s="1561"/>
      <c r="S166" s="1085"/>
      <c r="T166" s="1085"/>
      <c r="U166" s="479"/>
      <c r="V166" s="1085"/>
      <c r="W166" s="1085"/>
      <c r="X166" s="1085"/>
      <c r="Y166" s="1085"/>
      <c r="Z166" s="1085"/>
      <c r="AA166" s="1557"/>
      <c r="AB166" s="501"/>
      <c r="AC166" s="501"/>
      <c r="AD166" s="501"/>
      <c r="AE166" s="501"/>
      <c r="AF166" s="1566">
        <v>11</v>
      </c>
    </row>
    <row r="167" spans="1:32" s="1566" customFormat="1" ht="11.45" customHeight="1">
      <c r="A167" s="915"/>
      <c r="B167" s="1561"/>
      <c r="C167" s="1561"/>
      <c r="D167" s="286"/>
      <c r="K167" s="1085"/>
      <c r="L167" s="1561"/>
      <c r="M167" s="1561"/>
      <c r="N167" s="1085"/>
      <c r="O167" s="1085"/>
      <c r="P167" s="1085"/>
      <c r="Q167" s="1085"/>
      <c r="R167" s="1561"/>
      <c r="S167" s="1085"/>
      <c r="T167" s="1085"/>
      <c r="U167" s="479"/>
      <c r="V167" s="1085"/>
      <c r="W167" s="1085"/>
      <c r="X167" s="1085"/>
      <c r="Y167" s="1085"/>
      <c r="Z167" s="1085"/>
      <c r="AA167" s="1557"/>
      <c r="AB167" s="501"/>
      <c r="AC167" s="501"/>
      <c r="AD167" s="501"/>
      <c r="AE167" s="501"/>
      <c r="AF167" s="1566">
        <v>11</v>
      </c>
    </row>
    <row r="168" spans="1:32" s="1566" customFormat="1" ht="11.45" customHeight="1">
      <c r="A168" s="915"/>
      <c r="B168" s="1561"/>
      <c r="C168" s="1561"/>
      <c r="D168" s="286"/>
      <c r="K168" s="1085"/>
      <c r="L168" s="1561"/>
      <c r="M168" s="1561"/>
      <c r="N168" s="1085"/>
      <c r="O168" s="1085"/>
      <c r="P168" s="1085"/>
      <c r="Q168" s="1085"/>
      <c r="R168" s="1561"/>
      <c r="S168" s="1085"/>
      <c r="T168" s="1085"/>
      <c r="U168" s="479"/>
      <c r="V168" s="1085"/>
      <c r="W168" s="1085"/>
      <c r="X168" s="1085"/>
      <c r="Y168" s="1085"/>
      <c r="Z168" s="1085"/>
      <c r="AA168" s="1557"/>
      <c r="AB168" s="501"/>
      <c r="AC168" s="501"/>
      <c r="AD168" s="501"/>
      <c r="AE168" s="501"/>
      <c r="AF168" s="1566">
        <v>11</v>
      </c>
    </row>
    <row r="169" spans="1:32" s="1566" customFormat="1" ht="11.45" customHeight="1">
      <c r="A169" s="915"/>
      <c r="B169" s="1561"/>
      <c r="C169" s="1561"/>
      <c r="D169" s="286"/>
      <c r="K169" s="1085"/>
      <c r="L169" s="1561"/>
      <c r="M169" s="1561"/>
      <c r="N169" s="1085"/>
      <c r="O169" s="1085"/>
      <c r="P169" s="1085"/>
      <c r="Q169" s="1085"/>
      <c r="R169" s="1561"/>
      <c r="S169" s="1085"/>
      <c r="T169" s="1085"/>
      <c r="U169" s="479"/>
      <c r="V169" s="1085"/>
      <c r="W169" s="1085"/>
      <c r="X169" s="1085"/>
      <c r="Y169" s="1085"/>
      <c r="Z169" s="1085"/>
      <c r="AA169" s="1557"/>
      <c r="AB169" s="501"/>
      <c r="AC169" s="501"/>
      <c r="AD169" s="501"/>
      <c r="AE169" s="501"/>
      <c r="AF169" s="1566">
        <v>11</v>
      </c>
    </row>
    <row r="170" spans="1:32" s="1566" customFormat="1" ht="11.45" customHeight="1">
      <c r="A170" s="915"/>
      <c r="B170" s="1561"/>
      <c r="C170" s="1561"/>
      <c r="D170" s="286"/>
      <c r="K170" s="1085"/>
      <c r="L170" s="1561"/>
      <c r="M170" s="1561"/>
      <c r="N170" s="1085"/>
      <c r="O170" s="1085"/>
      <c r="P170" s="1085"/>
      <c r="Q170" s="1085"/>
      <c r="R170" s="1561"/>
      <c r="S170" s="1085"/>
      <c r="T170" s="1085"/>
      <c r="U170" s="479"/>
      <c r="V170" s="1085"/>
      <c r="W170" s="1085"/>
      <c r="X170" s="1085"/>
      <c r="Y170" s="1085"/>
      <c r="Z170" s="1085"/>
      <c r="AA170" s="1557"/>
      <c r="AB170" s="501"/>
      <c r="AC170" s="501"/>
      <c r="AD170" s="501"/>
      <c r="AE170" s="501"/>
      <c r="AF170" s="1566">
        <v>11</v>
      </c>
    </row>
    <row r="171" spans="1:32" s="1566" customFormat="1" ht="11.45" customHeight="1">
      <c r="A171" s="915"/>
      <c r="B171" s="1561"/>
      <c r="C171" s="1561"/>
      <c r="D171" s="286"/>
      <c r="K171" s="1085"/>
      <c r="L171" s="1561"/>
      <c r="M171" s="1561"/>
      <c r="N171" s="1085"/>
      <c r="O171" s="1085"/>
      <c r="P171" s="1085"/>
      <c r="Q171" s="1085"/>
      <c r="R171" s="1561"/>
      <c r="S171" s="1085"/>
      <c r="T171" s="1085"/>
      <c r="U171" s="479"/>
      <c r="V171" s="1085"/>
      <c r="W171" s="1085"/>
      <c r="X171" s="1085"/>
      <c r="Y171" s="1085"/>
      <c r="Z171" s="1085"/>
      <c r="AA171" s="1557"/>
      <c r="AB171" s="501"/>
      <c r="AC171" s="501"/>
      <c r="AD171" s="501"/>
      <c r="AE171" s="501"/>
      <c r="AF171" s="1566">
        <v>11</v>
      </c>
    </row>
    <row r="172" spans="1:32" s="1566" customFormat="1" ht="11.45" customHeight="1">
      <c r="A172" s="915"/>
      <c r="B172" s="1561"/>
      <c r="C172" s="1561"/>
      <c r="D172" s="286"/>
      <c r="K172" s="1085"/>
      <c r="L172" s="1561"/>
      <c r="M172" s="1561"/>
      <c r="N172" s="1085"/>
      <c r="O172" s="1085"/>
      <c r="P172" s="1085"/>
      <c r="Q172" s="1085"/>
      <c r="R172" s="1561"/>
      <c r="S172" s="1085"/>
      <c r="T172" s="1085"/>
      <c r="U172" s="479"/>
      <c r="V172" s="1085"/>
      <c r="W172" s="1085"/>
      <c r="X172" s="1085"/>
      <c r="Y172" s="1085"/>
      <c r="Z172" s="1085"/>
      <c r="AA172" s="1557"/>
      <c r="AB172" s="501"/>
      <c r="AC172" s="501"/>
      <c r="AD172" s="501"/>
      <c r="AE172" s="501"/>
      <c r="AF172" s="1566">
        <v>11</v>
      </c>
    </row>
    <row r="173" spans="1:32" s="1566" customFormat="1" ht="11.45" customHeight="1">
      <c r="A173" s="915"/>
      <c r="B173" s="1561"/>
      <c r="C173" s="1561"/>
      <c r="D173" s="286"/>
      <c r="K173" s="1085"/>
      <c r="L173" s="1561"/>
      <c r="M173" s="1561"/>
      <c r="N173" s="1085"/>
      <c r="O173" s="1085"/>
      <c r="P173" s="1085"/>
      <c r="Q173" s="1085"/>
      <c r="R173" s="1561"/>
      <c r="S173" s="1085"/>
      <c r="T173" s="1085"/>
      <c r="U173" s="479"/>
      <c r="V173" s="1085"/>
      <c r="W173" s="1085"/>
      <c r="X173" s="1085"/>
      <c r="Y173" s="1085"/>
      <c r="Z173" s="1085"/>
      <c r="AA173" s="1557"/>
      <c r="AB173" s="501"/>
      <c r="AC173" s="501"/>
      <c r="AD173" s="501"/>
      <c r="AE173" s="501"/>
      <c r="AF173" s="1566">
        <v>11</v>
      </c>
    </row>
    <row r="174" spans="1:32" s="1566" customFormat="1" ht="11.45" customHeight="1">
      <c r="A174" s="915"/>
      <c r="B174" s="1561"/>
      <c r="C174" s="1561"/>
      <c r="D174" s="286"/>
      <c r="K174" s="1085"/>
      <c r="L174" s="1561"/>
      <c r="M174" s="1561"/>
      <c r="N174" s="1085"/>
      <c r="O174" s="1085"/>
      <c r="P174" s="1085"/>
      <c r="Q174" s="1085"/>
      <c r="R174" s="1561"/>
      <c r="S174" s="1085"/>
      <c r="T174" s="1085"/>
      <c r="U174" s="479"/>
      <c r="V174" s="1085"/>
      <c r="W174" s="1085"/>
      <c r="X174" s="1085"/>
      <c r="Y174" s="1085"/>
      <c r="Z174" s="1085"/>
      <c r="AA174" s="1557"/>
      <c r="AB174" s="501"/>
      <c r="AC174" s="501"/>
      <c r="AD174" s="501"/>
      <c r="AE174" s="501"/>
      <c r="AF174" s="1566">
        <v>11</v>
      </c>
    </row>
    <row r="175" spans="1:32" s="1566" customFormat="1" ht="11.45" customHeight="1">
      <c r="A175" s="915"/>
      <c r="B175" s="1561"/>
      <c r="C175" s="1561"/>
      <c r="D175" s="286"/>
      <c r="K175" s="1085"/>
      <c r="L175" s="1561"/>
      <c r="M175" s="1561"/>
      <c r="N175" s="1085"/>
      <c r="O175" s="1085"/>
      <c r="P175" s="1085"/>
      <c r="Q175" s="1085"/>
      <c r="R175" s="1561"/>
      <c r="S175" s="1085"/>
      <c r="T175" s="1085"/>
      <c r="U175" s="479"/>
      <c r="V175" s="1085"/>
      <c r="W175" s="1085"/>
      <c r="X175" s="1085"/>
      <c r="Y175" s="1085"/>
      <c r="Z175" s="1085"/>
      <c r="AA175" s="1557"/>
      <c r="AB175" s="501"/>
      <c r="AC175" s="501"/>
      <c r="AD175" s="501"/>
      <c r="AE175" s="501"/>
      <c r="AF175" s="1566">
        <v>11</v>
      </c>
    </row>
    <row r="176" spans="1:32" s="1566" customFormat="1" ht="11.45" customHeight="1">
      <c r="A176" s="915"/>
      <c r="B176" s="1561"/>
      <c r="C176" s="1561"/>
      <c r="D176" s="286"/>
      <c r="K176" s="1085"/>
      <c r="L176" s="1561"/>
      <c r="M176" s="1561"/>
      <c r="N176" s="1085"/>
      <c r="O176" s="1085"/>
      <c r="P176" s="1085"/>
      <c r="Q176" s="1085"/>
      <c r="R176" s="1561"/>
      <c r="S176" s="1085"/>
      <c r="T176" s="1085"/>
      <c r="U176" s="479"/>
      <c r="V176" s="1085"/>
      <c r="W176" s="1085"/>
      <c r="X176" s="1085"/>
      <c r="Y176" s="1085"/>
      <c r="Z176" s="1085"/>
      <c r="AA176" s="1557"/>
      <c r="AB176" s="501"/>
      <c r="AC176" s="501"/>
      <c r="AD176" s="501"/>
      <c r="AE176" s="501"/>
      <c r="AF176" s="1566">
        <v>11</v>
      </c>
    </row>
    <row r="177" spans="1:32" s="1566" customFormat="1" ht="11.45" customHeight="1">
      <c r="A177" s="915"/>
      <c r="B177" s="1561"/>
      <c r="C177" s="1561"/>
      <c r="D177" s="286"/>
      <c r="K177" s="1085"/>
      <c r="L177" s="1561"/>
      <c r="M177" s="1561"/>
      <c r="N177" s="1085"/>
      <c r="O177" s="1085"/>
      <c r="P177" s="1085"/>
      <c r="Q177" s="1085"/>
      <c r="R177" s="1561"/>
      <c r="S177" s="1085"/>
      <c r="T177" s="1085"/>
      <c r="U177" s="479"/>
      <c r="V177" s="1085"/>
      <c r="W177" s="1085"/>
      <c r="X177" s="1085"/>
      <c r="Y177" s="1085"/>
      <c r="Z177" s="1085"/>
      <c r="AA177" s="1557"/>
      <c r="AB177" s="501"/>
      <c r="AC177" s="501"/>
      <c r="AD177" s="501"/>
      <c r="AE177" s="501"/>
      <c r="AF177" s="1566">
        <v>11</v>
      </c>
    </row>
    <row r="178" spans="1:32" s="1566" customFormat="1" ht="11.45" customHeight="1">
      <c r="A178" s="915"/>
      <c r="B178" s="1561"/>
      <c r="C178" s="1561"/>
      <c r="D178" s="286"/>
      <c r="K178" s="1085"/>
      <c r="L178" s="1561"/>
      <c r="M178" s="1561"/>
      <c r="N178" s="1085"/>
      <c r="O178" s="1085"/>
      <c r="P178" s="1085"/>
      <c r="Q178" s="1085"/>
      <c r="R178" s="1561"/>
      <c r="S178" s="1085"/>
      <c r="T178" s="1085"/>
      <c r="U178" s="479"/>
      <c r="V178" s="1085"/>
      <c r="W178" s="1085"/>
      <c r="X178" s="1085"/>
      <c r="Y178" s="1085"/>
      <c r="Z178" s="1085"/>
      <c r="AA178" s="1557"/>
      <c r="AB178" s="501"/>
      <c r="AC178" s="501"/>
      <c r="AD178" s="501"/>
      <c r="AE178" s="501"/>
      <c r="AF178" s="1566">
        <v>11</v>
      </c>
    </row>
    <row r="179" spans="1:32" s="1566" customFormat="1" ht="11.45" customHeight="1">
      <c r="A179" s="915"/>
      <c r="B179" s="1561"/>
      <c r="C179" s="1561"/>
      <c r="D179" s="286"/>
      <c r="K179" s="1085"/>
      <c r="L179" s="1561"/>
      <c r="M179" s="1561"/>
      <c r="N179" s="1085"/>
      <c r="O179" s="1085"/>
      <c r="P179" s="1085"/>
      <c r="Q179" s="1085"/>
      <c r="R179" s="1561"/>
      <c r="S179" s="1085"/>
      <c r="T179" s="1085"/>
      <c r="U179" s="479"/>
      <c r="V179" s="1085"/>
      <c r="W179" s="1085"/>
      <c r="X179" s="1085"/>
      <c r="Y179" s="1085"/>
      <c r="Z179" s="1085"/>
      <c r="AA179" s="1557"/>
      <c r="AB179" s="501"/>
      <c r="AC179" s="501"/>
      <c r="AD179" s="501"/>
      <c r="AE179" s="501"/>
      <c r="AF179" s="1566">
        <v>11</v>
      </c>
    </row>
    <row r="180" spans="1:32" s="1566" customFormat="1" ht="11.45" customHeight="1">
      <c r="A180" s="915"/>
      <c r="B180" s="1561"/>
      <c r="C180" s="1561"/>
      <c r="D180" s="286"/>
      <c r="K180" s="1085"/>
      <c r="L180" s="1561"/>
      <c r="M180" s="1561"/>
      <c r="N180" s="1085"/>
      <c r="O180" s="1085"/>
      <c r="P180" s="1085"/>
      <c r="Q180" s="1085"/>
      <c r="R180" s="1561"/>
      <c r="S180" s="1085"/>
      <c r="T180" s="1085"/>
      <c r="U180" s="479"/>
      <c r="V180" s="1085"/>
      <c r="W180" s="1085"/>
      <c r="X180" s="1085"/>
      <c r="Y180" s="1085"/>
      <c r="Z180" s="1085"/>
      <c r="AA180" s="1557"/>
      <c r="AB180" s="501"/>
      <c r="AC180" s="501"/>
      <c r="AD180" s="501"/>
      <c r="AE180" s="501"/>
      <c r="AF180" s="1566">
        <v>11</v>
      </c>
    </row>
    <row r="181" spans="1:32" s="1566" customFormat="1" ht="11.45" customHeight="1">
      <c r="A181" s="915"/>
      <c r="B181" s="1561"/>
      <c r="C181" s="1561"/>
      <c r="D181" s="286"/>
      <c r="K181" s="1085"/>
      <c r="L181" s="1561"/>
      <c r="M181" s="1561"/>
      <c r="N181" s="1085"/>
      <c r="O181" s="1085"/>
      <c r="P181" s="1085"/>
      <c r="Q181" s="1085"/>
      <c r="R181" s="1561"/>
      <c r="S181" s="1085"/>
      <c r="T181" s="1085"/>
      <c r="U181" s="479"/>
      <c r="V181" s="1085"/>
      <c r="W181" s="1085"/>
      <c r="X181" s="1085"/>
      <c r="Y181" s="1085"/>
      <c r="Z181" s="1085"/>
      <c r="AA181" s="1557"/>
      <c r="AB181" s="501"/>
      <c r="AC181" s="501"/>
      <c r="AD181" s="501"/>
      <c r="AE181" s="501"/>
      <c r="AF181" s="1566">
        <v>11</v>
      </c>
    </row>
    <row r="182" spans="1:32" s="1566" customFormat="1" ht="11.45" customHeight="1">
      <c r="A182" s="915"/>
      <c r="B182" s="1561"/>
      <c r="C182" s="1561"/>
      <c r="D182" s="286"/>
      <c r="K182" s="1085"/>
      <c r="L182" s="1561"/>
      <c r="M182" s="1561"/>
      <c r="N182" s="1085"/>
      <c r="O182" s="1085"/>
      <c r="P182" s="1085"/>
      <c r="Q182" s="1085"/>
      <c r="R182" s="1561"/>
      <c r="S182" s="1085"/>
      <c r="T182" s="1085"/>
      <c r="U182" s="479"/>
      <c r="V182" s="1085"/>
      <c r="W182" s="1085"/>
      <c r="X182" s="1085"/>
      <c r="Y182" s="1085"/>
      <c r="Z182" s="1085"/>
      <c r="AA182" s="1557"/>
      <c r="AB182" s="501"/>
      <c r="AC182" s="501"/>
      <c r="AD182" s="501"/>
      <c r="AE182" s="501"/>
      <c r="AF182" s="1566">
        <v>11</v>
      </c>
    </row>
    <row r="183" spans="1:32" s="1566" customFormat="1" ht="11.45" customHeight="1">
      <c r="A183" s="915"/>
      <c r="B183" s="1561"/>
      <c r="C183" s="1561"/>
      <c r="D183" s="286"/>
      <c r="K183" s="1085"/>
      <c r="L183" s="1561"/>
      <c r="M183" s="1561"/>
      <c r="N183" s="1085"/>
      <c r="O183" s="1085"/>
      <c r="P183" s="1085"/>
      <c r="Q183" s="1085"/>
      <c r="R183" s="1561"/>
      <c r="S183" s="1085"/>
      <c r="T183" s="1085"/>
      <c r="U183" s="479"/>
      <c r="V183" s="1085"/>
      <c r="W183" s="1085"/>
      <c r="X183" s="1085"/>
      <c r="Y183" s="1085"/>
      <c r="Z183" s="1085"/>
      <c r="AA183" s="1557"/>
      <c r="AB183" s="501"/>
      <c r="AC183" s="501"/>
      <c r="AD183" s="501"/>
      <c r="AE183" s="501"/>
      <c r="AF183" s="1566">
        <v>11</v>
      </c>
    </row>
    <row r="184" spans="1:32" s="1566" customFormat="1" ht="11.45" customHeight="1">
      <c r="A184" s="915"/>
      <c r="B184" s="1561"/>
      <c r="C184" s="1561"/>
      <c r="D184" s="286"/>
      <c r="K184" s="1085"/>
      <c r="L184" s="1561"/>
      <c r="M184" s="1561"/>
      <c r="N184" s="1085"/>
      <c r="O184" s="1085"/>
      <c r="P184" s="1085"/>
      <c r="Q184" s="1085"/>
      <c r="R184" s="1561"/>
      <c r="S184" s="1085"/>
      <c r="T184" s="1085"/>
      <c r="U184" s="479"/>
      <c r="V184" s="1085"/>
      <c r="W184" s="1085"/>
      <c r="X184" s="1085"/>
      <c r="Y184" s="1085"/>
      <c r="Z184" s="1085"/>
      <c r="AA184" s="1557"/>
      <c r="AB184" s="501"/>
      <c r="AC184" s="501"/>
      <c r="AD184" s="501"/>
      <c r="AE184" s="501"/>
      <c r="AF184" s="1566">
        <v>11</v>
      </c>
    </row>
    <row r="185" spans="1:32" s="1566" customFormat="1" ht="11.45" customHeight="1">
      <c r="A185" s="915"/>
      <c r="B185" s="1561"/>
      <c r="C185" s="1561"/>
      <c r="D185" s="286"/>
      <c r="K185" s="1085"/>
      <c r="L185" s="1561"/>
      <c r="M185" s="1561"/>
      <c r="N185" s="1085"/>
      <c r="O185" s="1085"/>
      <c r="P185" s="1085"/>
      <c r="Q185" s="1085"/>
      <c r="R185" s="1561"/>
      <c r="S185" s="1085"/>
      <c r="T185" s="1085"/>
      <c r="U185" s="479"/>
      <c r="V185" s="1085"/>
      <c r="W185" s="1085"/>
      <c r="X185" s="1085"/>
      <c r="Y185" s="1085"/>
      <c r="Z185" s="1085"/>
      <c r="AA185" s="1557"/>
      <c r="AB185" s="501"/>
      <c r="AC185" s="501"/>
      <c r="AD185" s="501"/>
      <c r="AE185" s="501"/>
      <c r="AF185" s="1566">
        <v>11</v>
      </c>
    </row>
    <row r="186" spans="1:32" s="1566" customFormat="1" ht="11.45" customHeight="1">
      <c r="A186" s="915"/>
      <c r="B186" s="1561"/>
      <c r="C186" s="1561"/>
      <c r="D186" s="286"/>
      <c r="K186" s="1085"/>
      <c r="L186" s="1561"/>
      <c r="M186" s="1561"/>
      <c r="N186" s="1085"/>
      <c r="O186" s="1085"/>
      <c r="P186" s="1085"/>
      <c r="Q186" s="1085"/>
      <c r="R186" s="1561"/>
      <c r="S186" s="1085"/>
      <c r="T186" s="1085"/>
      <c r="U186" s="479"/>
      <c r="V186" s="1085"/>
      <c r="W186" s="1085"/>
      <c r="X186" s="1085"/>
      <c r="Y186" s="1085"/>
      <c r="Z186" s="1085"/>
      <c r="AA186" s="1557"/>
      <c r="AB186" s="501"/>
      <c r="AC186" s="501"/>
      <c r="AD186" s="501"/>
      <c r="AE186" s="501"/>
      <c r="AF186" s="1566">
        <v>11</v>
      </c>
    </row>
    <row r="187" spans="1:32" s="1566" customFormat="1" ht="11.45" customHeight="1">
      <c r="A187" s="915"/>
      <c r="B187" s="1561"/>
      <c r="C187" s="1561"/>
      <c r="D187" s="286"/>
      <c r="K187" s="1085"/>
      <c r="L187" s="1561"/>
      <c r="M187" s="1561"/>
      <c r="N187" s="1085"/>
      <c r="O187" s="1085"/>
      <c r="P187" s="1085"/>
      <c r="Q187" s="1085"/>
      <c r="R187" s="1561"/>
      <c r="S187" s="1085"/>
      <c r="T187" s="1085"/>
      <c r="U187" s="479"/>
      <c r="V187" s="1085"/>
      <c r="W187" s="1085"/>
      <c r="X187" s="1085"/>
      <c r="Y187" s="1085"/>
      <c r="Z187" s="1085"/>
      <c r="AA187" s="1557"/>
      <c r="AB187" s="501"/>
      <c r="AC187" s="501"/>
      <c r="AD187" s="501"/>
      <c r="AE187" s="501"/>
      <c r="AF187" s="1566">
        <v>11</v>
      </c>
    </row>
    <row r="188" spans="1:32" s="1566" customFormat="1" ht="11.45" customHeight="1">
      <c r="A188" s="915"/>
      <c r="B188" s="1561"/>
      <c r="C188" s="1561"/>
      <c r="D188" s="286"/>
      <c r="K188" s="1085"/>
      <c r="L188" s="1561"/>
      <c r="M188" s="1561"/>
      <c r="N188" s="1085"/>
      <c r="O188" s="1085"/>
      <c r="P188" s="1085"/>
      <c r="Q188" s="1085"/>
      <c r="R188" s="1561"/>
      <c r="S188" s="1085"/>
      <c r="T188" s="1085"/>
      <c r="U188" s="479"/>
      <c r="V188" s="1085"/>
      <c r="W188" s="1085"/>
      <c r="X188" s="1085"/>
      <c r="Y188" s="1085"/>
      <c r="Z188" s="1085"/>
      <c r="AA188" s="1557"/>
      <c r="AB188" s="501"/>
      <c r="AC188" s="501"/>
      <c r="AD188" s="501"/>
      <c r="AE188" s="501"/>
      <c r="AF188" s="1566">
        <v>11</v>
      </c>
    </row>
    <row r="189" spans="1:32" s="1566" customFormat="1" ht="11.45" customHeight="1">
      <c r="A189" s="915"/>
      <c r="B189" s="1561"/>
      <c r="C189" s="1561"/>
      <c r="D189" s="286"/>
      <c r="K189" s="1085"/>
      <c r="L189" s="1561"/>
      <c r="M189" s="1561"/>
      <c r="N189" s="1085"/>
      <c r="O189" s="1085"/>
      <c r="P189" s="1085"/>
      <c r="Q189" s="1085"/>
      <c r="R189" s="1561"/>
      <c r="S189" s="1085"/>
      <c r="T189" s="1085"/>
      <c r="U189" s="479"/>
      <c r="V189" s="1085"/>
      <c r="W189" s="1085"/>
      <c r="X189" s="1085"/>
      <c r="Y189" s="1085"/>
      <c r="Z189" s="1085"/>
      <c r="AA189" s="1557"/>
      <c r="AB189" s="501"/>
      <c r="AC189" s="501"/>
      <c r="AD189" s="501"/>
      <c r="AE189" s="501"/>
      <c r="AF189" s="1566">
        <v>11</v>
      </c>
    </row>
    <row r="190" spans="1:32" s="1566" customFormat="1" ht="11.45" customHeight="1">
      <c r="A190" s="915"/>
      <c r="B190" s="1561"/>
      <c r="C190" s="1561"/>
      <c r="D190" s="286"/>
      <c r="K190" s="1085"/>
      <c r="L190" s="1561"/>
      <c r="M190" s="1561"/>
      <c r="N190" s="1085"/>
      <c r="O190" s="1085"/>
      <c r="P190" s="1085"/>
      <c r="Q190" s="1085"/>
      <c r="R190" s="1561"/>
      <c r="S190" s="1085"/>
      <c r="T190" s="1085"/>
      <c r="U190" s="479"/>
      <c r="V190" s="1085"/>
      <c r="W190" s="1085"/>
      <c r="X190" s="1085"/>
      <c r="Y190" s="1085"/>
      <c r="Z190" s="1085"/>
      <c r="AA190" s="1557"/>
      <c r="AB190" s="501"/>
      <c r="AC190" s="501"/>
      <c r="AD190" s="501"/>
      <c r="AE190" s="501"/>
      <c r="AF190" s="1566">
        <v>11</v>
      </c>
    </row>
    <row r="191" spans="1:32" s="1566" customFormat="1" ht="11.45" customHeight="1">
      <c r="A191" s="915"/>
      <c r="B191" s="1561"/>
      <c r="C191" s="1561"/>
      <c r="D191" s="286"/>
      <c r="K191" s="1085"/>
      <c r="L191" s="1561"/>
      <c r="M191" s="1561"/>
      <c r="N191" s="1085"/>
      <c r="O191" s="1085"/>
      <c r="P191" s="1085"/>
      <c r="Q191" s="1085"/>
      <c r="R191" s="1561"/>
      <c r="S191" s="1085"/>
      <c r="T191" s="1085"/>
      <c r="U191" s="479"/>
      <c r="V191" s="1085"/>
      <c r="W191" s="1085"/>
      <c r="X191" s="1085"/>
      <c r="Y191" s="1085"/>
      <c r="Z191" s="1085"/>
      <c r="AA191" s="1557"/>
      <c r="AB191" s="501"/>
      <c r="AC191" s="501"/>
      <c r="AD191" s="501"/>
      <c r="AE191" s="501"/>
      <c r="AF191" s="1566">
        <v>11</v>
      </c>
    </row>
    <row r="192" spans="1:32" s="1566" customFormat="1" ht="11.45" customHeight="1">
      <c r="A192" s="915"/>
      <c r="B192" s="1561"/>
      <c r="C192" s="1561"/>
      <c r="D192" s="286"/>
      <c r="K192" s="1085"/>
      <c r="L192" s="1561"/>
      <c r="M192" s="1561"/>
      <c r="N192" s="1085"/>
      <c r="O192" s="1085"/>
      <c r="P192" s="1085"/>
      <c r="Q192" s="1085"/>
      <c r="R192" s="1561"/>
      <c r="S192" s="1085"/>
      <c r="T192" s="1085"/>
      <c r="U192" s="479"/>
      <c r="V192" s="1085"/>
      <c r="W192" s="1085"/>
      <c r="X192" s="1085"/>
      <c r="Y192" s="1085"/>
      <c r="Z192" s="1085"/>
      <c r="AA192" s="1557"/>
      <c r="AB192" s="501"/>
      <c r="AC192" s="501"/>
      <c r="AD192" s="501"/>
      <c r="AE192" s="501"/>
      <c r="AF192" s="1566">
        <v>11</v>
      </c>
    </row>
    <row r="193" spans="1:32" s="1566" customFormat="1" ht="11.45" customHeight="1">
      <c r="A193" s="915"/>
      <c r="B193" s="1561"/>
      <c r="C193" s="1561"/>
      <c r="D193" s="286"/>
      <c r="K193" s="1085"/>
      <c r="L193" s="1561"/>
      <c r="M193" s="1561"/>
      <c r="N193" s="1085"/>
      <c r="O193" s="1085"/>
      <c r="P193" s="1085"/>
      <c r="Q193" s="1085"/>
      <c r="R193" s="1561"/>
      <c r="S193" s="1085"/>
      <c r="T193" s="1085"/>
      <c r="U193" s="479"/>
      <c r="V193" s="1085"/>
      <c r="W193" s="1085"/>
      <c r="X193" s="1085"/>
      <c r="Y193" s="1085"/>
      <c r="Z193" s="1085"/>
      <c r="AA193" s="1557"/>
      <c r="AB193" s="501"/>
      <c r="AC193" s="501"/>
      <c r="AD193" s="501"/>
      <c r="AE193" s="501"/>
      <c r="AF193" s="1566">
        <v>11</v>
      </c>
    </row>
    <row r="194" spans="1:32" s="1566" customFormat="1" ht="11.45" customHeight="1">
      <c r="A194" s="915"/>
      <c r="B194" s="1561"/>
      <c r="C194" s="1561"/>
      <c r="D194" s="286"/>
      <c r="K194" s="1085"/>
      <c r="L194" s="1561"/>
      <c r="M194" s="1561"/>
      <c r="N194" s="1085"/>
      <c r="O194" s="1085"/>
      <c r="P194" s="1085"/>
      <c r="Q194" s="1085"/>
      <c r="R194" s="1561"/>
      <c r="S194" s="1085"/>
      <c r="T194" s="1085"/>
      <c r="U194" s="479"/>
      <c r="V194" s="1085"/>
      <c r="W194" s="1085"/>
      <c r="X194" s="1085"/>
      <c r="Y194" s="1085"/>
      <c r="Z194" s="1085"/>
      <c r="AA194" s="1557"/>
      <c r="AB194" s="501"/>
      <c r="AC194" s="501"/>
      <c r="AD194" s="501"/>
      <c r="AE194" s="501"/>
      <c r="AF194" s="1566">
        <v>11</v>
      </c>
    </row>
    <row r="195" spans="1:32" s="1566" customFormat="1" ht="11.45" customHeight="1">
      <c r="A195" s="915"/>
      <c r="B195" s="1561"/>
      <c r="C195" s="1561"/>
      <c r="D195" s="286"/>
      <c r="K195" s="1085"/>
      <c r="L195" s="1561"/>
      <c r="M195" s="1561"/>
      <c r="N195" s="1085"/>
      <c r="O195" s="1085"/>
      <c r="P195" s="1085"/>
      <c r="Q195" s="1085"/>
      <c r="R195" s="1561"/>
      <c r="S195" s="1085"/>
      <c r="T195" s="1085"/>
      <c r="U195" s="479"/>
      <c r="V195" s="1085"/>
      <c r="W195" s="1085"/>
      <c r="X195" s="1085"/>
      <c r="Y195" s="1085"/>
      <c r="Z195" s="1085"/>
      <c r="AA195" s="1557"/>
      <c r="AB195" s="501"/>
      <c r="AC195" s="501"/>
      <c r="AD195" s="501"/>
      <c r="AE195" s="501"/>
      <c r="AF195" s="1566">
        <v>11</v>
      </c>
    </row>
    <row r="196" spans="1:32" s="1566" customFormat="1" ht="11.45" customHeight="1">
      <c r="A196" s="915"/>
      <c r="B196" s="1561"/>
      <c r="C196" s="1561"/>
      <c r="D196" s="286"/>
      <c r="K196" s="1085"/>
      <c r="L196" s="1561"/>
      <c r="M196" s="1561"/>
      <c r="N196" s="1085"/>
      <c r="O196" s="1085"/>
      <c r="P196" s="1085"/>
      <c r="Q196" s="1085"/>
      <c r="R196" s="1561"/>
      <c r="S196" s="1085"/>
      <c r="T196" s="1085"/>
      <c r="U196" s="479"/>
      <c r="V196" s="1085"/>
      <c r="W196" s="1085"/>
      <c r="X196" s="1085"/>
      <c r="Y196" s="1085"/>
      <c r="Z196" s="1085"/>
      <c r="AA196" s="1557"/>
      <c r="AB196" s="501"/>
      <c r="AC196" s="501"/>
      <c r="AD196" s="501"/>
      <c r="AE196" s="501"/>
      <c r="AF196" s="1566">
        <v>11</v>
      </c>
    </row>
    <row r="197" spans="1:32" s="1566" customFormat="1" ht="11.45" customHeight="1">
      <c r="A197" s="915"/>
      <c r="B197" s="1561"/>
      <c r="C197" s="1561"/>
      <c r="D197" s="286"/>
      <c r="K197" s="1085"/>
      <c r="L197" s="1561"/>
      <c r="M197" s="1561"/>
      <c r="N197" s="1085"/>
      <c r="O197" s="1085"/>
      <c r="P197" s="1085"/>
      <c r="Q197" s="1085"/>
      <c r="R197" s="1561"/>
      <c r="S197" s="1085"/>
      <c r="T197" s="1085"/>
      <c r="U197" s="479"/>
      <c r="V197" s="1085"/>
      <c r="W197" s="1085"/>
      <c r="X197" s="1085"/>
      <c r="Y197" s="1085"/>
      <c r="Z197" s="1085"/>
      <c r="AA197" s="1557"/>
      <c r="AB197" s="501"/>
      <c r="AC197" s="501"/>
      <c r="AD197" s="501"/>
      <c r="AE197" s="501"/>
      <c r="AF197" s="1566">
        <v>11</v>
      </c>
    </row>
    <row r="198" spans="1:32" s="1566" customFormat="1" ht="11.45" customHeight="1">
      <c r="A198" s="915"/>
      <c r="B198" s="1561"/>
      <c r="C198" s="1561"/>
      <c r="D198" s="286"/>
      <c r="K198" s="1085"/>
      <c r="L198" s="1561"/>
      <c r="M198" s="1561"/>
      <c r="N198" s="1085"/>
      <c r="O198" s="1085"/>
      <c r="P198" s="1085"/>
      <c r="Q198" s="1085"/>
      <c r="R198" s="1561"/>
      <c r="S198" s="1085"/>
      <c r="T198" s="1085"/>
      <c r="U198" s="479"/>
      <c r="V198" s="1085"/>
      <c r="W198" s="1085"/>
      <c r="X198" s="1085"/>
      <c r="Y198" s="1085"/>
      <c r="Z198" s="1085"/>
      <c r="AA198" s="1557"/>
      <c r="AB198" s="501"/>
      <c r="AC198" s="501"/>
      <c r="AD198" s="501"/>
      <c r="AE198" s="501"/>
      <c r="AF198" s="1566">
        <v>11</v>
      </c>
    </row>
    <row r="199" spans="1:32" s="1566" customFormat="1" ht="11.45" customHeight="1">
      <c r="A199" s="915"/>
      <c r="B199" s="1561"/>
      <c r="C199" s="1561"/>
      <c r="D199" s="286"/>
      <c r="K199" s="1085"/>
      <c r="L199" s="1561"/>
      <c r="M199" s="1561"/>
      <c r="N199" s="1085"/>
      <c r="O199" s="1085"/>
      <c r="P199" s="1085"/>
      <c r="Q199" s="1085"/>
      <c r="R199" s="1561"/>
      <c r="S199" s="1085"/>
      <c r="T199" s="1085"/>
      <c r="U199" s="479"/>
      <c r="V199" s="1085"/>
      <c r="W199" s="1085"/>
      <c r="X199" s="1085"/>
      <c r="Y199" s="1085"/>
      <c r="Z199" s="1085"/>
      <c r="AA199" s="1557"/>
      <c r="AB199" s="501"/>
      <c r="AC199" s="501"/>
      <c r="AD199" s="501"/>
      <c r="AE199" s="501"/>
      <c r="AF199" s="1566">
        <v>11</v>
      </c>
    </row>
    <row r="200" spans="1:32" s="1566" customFormat="1" ht="11.45" customHeight="1">
      <c r="A200" s="915"/>
      <c r="B200" s="1561"/>
      <c r="C200" s="1561"/>
      <c r="D200" s="286"/>
      <c r="K200" s="1085"/>
      <c r="L200" s="1561"/>
      <c r="M200" s="1561"/>
      <c r="N200" s="1085"/>
      <c r="O200" s="1085"/>
      <c r="P200" s="1085"/>
      <c r="Q200" s="1085"/>
      <c r="R200" s="1561"/>
      <c r="S200" s="1085"/>
      <c r="T200" s="1085"/>
      <c r="U200" s="479"/>
      <c r="V200" s="1085"/>
      <c r="W200" s="1085"/>
      <c r="X200" s="1085"/>
      <c r="Y200" s="1085"/>
      <c r="Z200" s="1085"/>
      <c r="AA200" s="1557"/>
      <c r="AB200" s="501"/>
      <c r="AC200" s="501"/>
      <c r="AD200" s="501"/>
      <c r="AE200" s="501"/>
      <c r="AF200" s="1566">
        <v>11</v>
      </c>
    </row>
    <row r="201" spans="1:32" s="1566" customFormat="1" ht="11.45" customHeight="1">
      <c r="A201" s="915"/>
      <c r="B201" s="1561"/>
      <c r="C201" s="1561"/>
      <c r="D201" s="286"/>
      <c r="K201" s="1085"/>
      <c r="L201" s="1561"/>
      <c r="M201" s="1561"/>
      <c r="N201" s="1085"/>
      <c r="O201" s="1085"/>
      <c r="P201" s="1085"/>
      <c r="Q201" s="1085"/>
      <c r="R201" s="1561"/>
      <c r="S201" s="1085"/>
      <c r="T201" s="1085"/>
      <c r="U201" s="479"/>
      <c r="V201" s="1085"/>
      <c r="W201" s="1085"/>
      <c r="X201" s="1085"/>
      <c r="Y201" s="1085"/>
      <c r="Z201" s="1085"/>
      <c r="AA201" s="1557"/>
      <c r="AB201" s="501"/>
      <c r="AC201" s="501"/>
      <c r="AD201" s="501"/>
      <c r="AE201" s="501"/>
      <c r="AF201" s="1566">
        <v>11</v>
      </c>
    </row>
    <row r="202" spans="1:32" s="1566" customFormat="1" ht="11.45" customHeight="1">
      <c r="A202" s="915"/>
      <c r="B202" s="1561"/>
      <c r="C202" s="1561"/>
      <c r="D202" s="286"/>
      <c r="K202" s="1085"/>
      <c r="L202" s="1561"/>
      <c r="M202" s="1561"/>
      <c r="N202" s="1085"/>
      <c r="O202" s="1085"/>
      <c r="P202" s="1085"/>
      <c r="Q202" s="1085"/>
      <c r="R202" s="1561"/>
      <c r="S202" s="1085"/>
      <c r="T202" s="1085"/>
      <c r="U202" s="479"/>
      <c r="V202" s="1085"/>
      <c r="W202" s="1085"/>
      <c r="X202" s="1085"/>
      <c r="Y202" s="1085"/>
      <c r="Z202" s="1085"/>
      <c r="AA202" s="1557"/>
      <c r="AB202" s="501"/>
      <c r="AC202" s="501"/>
      <c r="AD202" s="501"/>
      <c r="AE202" s="501"/>
      <c r="AF202" s="1566">
        <v>11</v>
      </c>
    </row>
    <row r="203" spans="1:32" s="1566" customFormat="1" ht="11.45" customHeight="1">
      <c r="A203" s="915"/>
      <c r="B203" s="1561"/>
      <c r="C203" s="1561"/>
      <c r="D203" s="286"/>
      <c r="K203" s="1085"/>
      <c r="L203" s="1561"/>
      <c r="M203" s="1561"/>
      <c r="N203" s="1085"/>
      <c r="O203" s="1085"/>
      <c r="P203" s="1085"/>
      <c r="Q203" s="1085"/>
      <c r="R203" s="1561"/>
      <c r="S203" s="1085"/>
      <c r="T203" s="1085"/>
      <c r="U203" s="479"/>
      <c r="V203" s="1085"/>
      <c r="W203" s="1085"/>
      <c r="X203" s="1085"/>
      <c r="Y203" s="1085"/>
      <c r="Z203" s="1085"/>
      <c r="AA203" s="1557"/>
      <c r="AB203" s="501"/>
      <c r="AC203" s="501"/>
      <c r="AD203" s="501"/>
      <c r="AE203" s="501"/>
      <c r="AF203" s="1566">
        <v>11</v>
      </c>
    </row>
    <row r="204" spans="1:32" s="1566" customFormat="1" ht="11.45" customHeight="1">
      <c r="A204" s="915"/>
      <c r="B204" s="1561"/>
      <c r="C204" s="1561"/>
      <c r="D204" s="286"/>
      <c r="K204" s="1085"/>
      <c r="L204" s="1561"/>
      <c r="M204" s="1561"/>
      <c r="N204" s="1085"/>
      <c r="O204" s="1085"/>
      <c r="P204" s="1085"/>
      <c r="Q204" s="1085"/>
      <c r="R204" s="1561"/>
      <c r="S204" s="1085"/>
      <c r="T204" s="1085"/>
      <c r="U204" s="479"/>
      <c r="V204" s="1085"/>
      <c r="W204" s="1085"/>
      <c r="X204" s="1085"/>
      <c r="Y204" s="1085"/>
      <c r="Z204" s="1085"/>
      <c r="AA204" s="1557"/>
      <c r="AB204" s="501"/>
      <c r="AC204" s="501"/>
      <c r="AD204" s="501"/>
      <c r="AE204" s="501"/>
      <c r="AF204" s="1566">
        <v>11</v>
      </c>
    </row>
    <row r="205" spans="1:32" s="1566" customFormat="1" ht="11.45" customHeight="1">
      <c r="A205" s="915"/>
      <c r="B205" s="1561"/>
      <c r="C205" s="1561"/>
      <c r="D205" s="286"/>
      <c r="K205" s="1085"/>
      <c r="L205" s="1561"/>
      <c r="M205" s="1561"/>
      <c r="N205" s="1085"/>
      <c r="O205" s="1085"/>
      <c r="P205" s="1085"/>
      <c r="Q205" s="1085"/>
      <c r="R205" s="1561"/>
      <c r="S205" s="1085"/>
      <c r="T205" s="1085"/>
      <c r="U205" s="479"/>
      <c r="V205" s="1085"/>
      <c r="W205" s="1085"/>
      <c r="X205" s="1085"/>
      <c r="Y205" s="1085"/>
      <c r="Z205" s="1085"/>
      <c r="AA205" s="1557"/>
      <c r="AB205" s="501"/>
      <c r="AC205" s="501"/>
      <c r="AD205" s="501"/>
      <c r="AE205" s="501"/>
      <c r="AF205" s="1566">
        <v>11</v>
      </c>
    </row>
    <row r="206" spans="1:32" s="1566" customFormat="1" ht="11.45" customHeight="1">
      <c r="A206" s="915"/>
      <c r="B206" s="1561"/>
      <c r="C206" s="1561"/>
      <c r="D206" s="286"/>
      <c r="K206" s="1085"/>
      <c r="L206" s="1561"/>
      <c r="M206" s="1561"/>
      <c r="N206" s="1085"/>
      <c r="O206" s="1085"/>
      <c r="P206" s="1085"/>
      <c r="Q206" s="1085"/>
      <c r="R206" s="1561"/>
      <c r="S206" s="1085"/>
      <c r="T206" s="1085"/>
      <c r="U206" s="479"/>
      <c r="V206" s="1085"/>
      <c r="W206" s="1085"/>
      <c r="X206" s="1085"/>
      <c r="Y206" s="1085"/>
      <c r="Z206" s="1085"/>
      <c r="AA206" s="1557"/>
      <c r="AB206" s="501"/>
      <c r="AC206" s="501"/>
      <c r="AD206" s="501"/>
      <c r="AE206" s="501"/>
      <c r="AF206" s="1566">
        <v>11</v>
      </c>
    </row>
    <row r="207" spans="1:32" s="1566" customFormat="1" ht="11.45" customHeight="1">
      <c r="A207" s="915"/>
      <c r="B207" s="1561"/>
      <c r="C207" s="1561"/>
      <c r="D207" s="286"/>
      <c r="K207" s="1085"/>
      <c r="L207" s="1561"/>
      <c r="M207" s="1561"/>
      <c r="N207" s="1085"/>
      <c r="O207" s="1085"/>
      <c r="P207" s="1085"/>
      <c r="Q207" s="1085"/>
      <c r="R207" s="1561"/>
      <c r="S207" s="1085"/>
      <c r="T207" s="1085"/>
      <c r="U207" s="479"/>
      <c r="V207" s="1085"/>
      <c r="W207" s="1085"/>
      <c r="X207" s="1085"/>
      <c r="Y207" s="1085"/>
      <c r="Z207" s="1085"/>
      <c r="AA207" s="1557"/>
      <c r="AB207" s="501"/>
      <c r="AC207" s="501"/>
      <c r="AD207" s="501"/>
      <c r="AE207" s="501"/>
      <c r="AF207" s="1566">
        <v>11</v>
      </c>
    </row>
    <row r="208" spans="1:32" s="1566" customFormat="1" ht="11.45" customHeight="1">
      <c r="A208" s="915"/>
      <c r="B208" s="1561"/>
      <c r="C208" s="1561"/>
      <c r="D208" s="286"/>
      <c r="K208" s="1085"/>
      <c r="L208" s="1561"/>
      <c r="M208" s="1561"/>
      <c r="N208" s="1085"/>
      <c r="O208" s="1085"/>
      <c r="P208" s="1085"/>
      <c r="Q208" s="1085"/>
      <c r="R208" s="1561"/>
      <c r="S208" s="1085"/>
      <c r="T208" s="1085"/>
      <c r="U208" s="479"/>
      <c r="V208" s="1085"/>
      <c r="W208" s="1085"/>
      <c r="X208" s="1085"/>
      <c r="Y208" s="1085"/>
      <c r="Z208" s="1085"/>
      <c r="AA208" s="1557"/>
      <c r="AB208" s="501"/>
      <c r="AC208" s="501"/>
      <c r="AD208" s="501"/>
      <c r="AE208" s="501"/>
      <c r="AF208" s="1566">
        <v>11</v>
      </c>
    </row>
    <row r="209" spans="1:32" s="1566" customFormat="1" ht="11.45" customHeight="1">
      <c r="A209" s="915"/>
      <c r="B209" s="1561"/>
      <c r="C209" s="1561"/>
      <c r="D209" s="286"/>
      <c r="K209" s="1085"/>
      <c r="L209" s="1561"/>
      <c r="M209" s="1561"/>
      <c r="N209" s="1085"/>
      <c r="O209" s="1085"/>
      <c r="P209" s="1085"/>
      <c r="Q209" s="1085"/>
      <c r="R209" s="1561"/>
      <c r="S209" s="1085"/>
      <c r="T209" s="1085"/>
      <c r="U209" s="479"/>
      <c r="V209" s="1085"/>
      <c r="W209" s="1085"/>
      <c r="X209" s="1085"/>
      <c r="Y209" s="1085"/>
      <c r="Z209" s="1085"/>
      <c r="AA209" s="1557"/>
      <c r="AB209" s="501"/>
      <c r="AC209" s="501"/>
      <c r="AD209" s="501"/>
      <c r="AE209" s="501"/>
      <c r="AF209" s="1566">
        <v>11</v>
      </c>
    </row>
    <row r="210" spans="1:32" s="1566" customFormat="1" ht="11.45" customHeight="1">
      <c r="A210" s="915"/>
      <c r="B210" s="1561"/>
      <c r="C210" s="1561"/>
      <c r="D210" s="286"/>
      <c r="K210" s="1085"/>
      <c r="L210" s="1561"/>
      <c r="M210" s="1561"/>
      <c r="N210" s="1085"/>
      <c r="O210" s="1085"/>
      <c r="P210" s="1085"/>
      <c r="Q210" s="1085"/>
      <c r="R210" s="1561"/>
      <c r="S210" s="1085"/>
      <c r="T210" s="1085"/>
      <c r="U210" s="479"/>
      <c r="V210" s="1085"/>
      <c r="W210" s="1085"/>
      <c r="X210" s="1085"/>
      <c r="Y210" s="1085"/>
      <c r="Z210" s="1085"/>
      <c r="AA210" s="1557"/>
      <c r="AB210" s="501"/>
      <c r="AC210" s="501"/>
      <c r="AD210" s="501"/>
      <c r="AE210" s="501"/>
      <c r="AF210" s="1566">
        <v>11</v>
      </c>
    </row>
    <row r="211" spans="1:32" s="1566" customFormat="1" ht="11.45" customHeight="1">
      <c r="A211" s="915"/>
      <c r="B211" s="1561"/>
      <c r="C211" s="1561"/>
      <c r="D211" s="286"/>
      <c r="K211" s="1085"/>
      <c r="L211" s="1561"/>
      <c r="M211" s="1561"/>
      <c r="N211" s="1085"/>
      <c r="O211" s="1085"/>
      <c r="P211" s="1085"/>
      <c r="Q211" s="1085"/>
      <c r="R211" s="1561"/>
      <c r="S211" s="1085"/>
      <c r="T211" s="1085"/>
      <c r="U211" s="479"/>
      <c r="V211" s="1085"/>
      <c r="W211" s="1085"/>
      <c r="X211" s="1085"/>
      <c r="Y211" s="1085"/>
      <c r="Z211" s="1085"/>
      <c r="AA211" s="1557"/>
      <c r="AB211" s="501"/>
      <c r="AC211" s="501"/>
      <c r="AD211" s="501"/>
      <c r="AE211" s="501"/>
      <c r="AF211" s="1566">
        <v>11</v>
      </c>
    </row>
    <row r="212" spans="1:32" s="1566" customFormat="1" ht="11.45" customHeight="1">
      <c r="A212" s="915"/>
      <c r="B212" s="1561"/>
      <c r="C212" s="1561"/>
      <c r="D212" s="286"/>
      <c r="K212" s="1085"/>
      <c r="L212" s="1561"/>
      <c r="M212" s="1561"/>
      <c r="N212" s="1085"/>
      <c r="O212" s="1085"/>
      <c r="P212" s="1085"/>
      <c r="Q212" s="1085"/>
      <c r="R212" s="1561"/>
      <c r="S212" s="1085"/>
      <c r="T212" s="1085"/>
      <c r="U212" s="479"/>
      <c r="V212" s="1085"/>
      <c r="W212" s="1085"/>
      <c r="X212" s="1085"/>
      <c r="Y212" s="1085"/>
      <c r="Z212" s="1085"/>
      <c r="AA212" s="1557"/>
      <c r="AB212" s="501"/>
      <c r="AC212" s="501"/>
      <c r="AD212" s="501"/>
      <c r="AE212" s="501"/>
      <c r="AF212" s="1566">
        <v>11</v>
      </c>
    </row>
    <row r="213" spans="1:32" s="1566" customFormat="1" ht="11.45" customHeight="1">
      <c r="A213" s="915"/>
      <c r="B213" s="1561"/>
      <c r="C213" s="1561"/>
      <c r="D213" s="286"/>
      <c r="K213" s="1085"/>
      <c r="L213" s="1561"/>
      <c r="M213" s="1561"/>
      <c r="N213" s="1085"/>
      <c r="O213" s="1085"/>
      <c r="P213" s="1085"/>
      <c r="Q213" s="1085"/>
      <c r="R213" s="1561"/>
      <c r="S213" s="1085"/>
      <c r="T213" s="1085"/>
      <c r="U213" s="479"/>
      <c r="V213" s="1085"/>
      <c r="W213" s="1085"/>
      <c r="X213" s="1085"/>
      <c r="Y213" s="1085"/>
      <c r="Z213" s="1085"/>
      <c r="AA213" s="1557"/>
      <c r="AB213" s="501"/>
      <c r="AC213" s="501"/>
      <c r="AD213" s="501"/>
      <c r="AE213" s="501"/>
      <c r="AF213" s="1566">
        <v>11</v>
      </c>
    </row>
    <row r="214" spans="1:32" s="1566" customFormat="1" ht="11.45" customHeight="1">
      <c r="A214" s="915"/>
      <c r="B214" s="1561"/>
      <c r="C214" s="1561"/>
      <c r="D214" s="286"/>
      <c r="K214" s="1085"/>
      <c r="L214" s="1561"/>
      <c r="M214" s="1561"/>
      <c r="N214" s="1085"/>
      <c r="O214" s="1085"/>
      <c r="P214" s="1085"/>
      <c r="Q214" s="1085"/>
      <c r="R214" s="1561"/>
      <c r="S214" s="1085"/>
      <c r="T214" s="1085"/>
      <c r="U214" s="479"/>
      <c r="V214" s="1085"/>
      <c r="W214" s="1085"/>
      <c r="X214" s="1085"/>
      <c r="Y214" s="1085"/>
      <c r="Z214" s="1085"/>
      <c r="AA214" s="1557"/>
      <c r="AB214" s="501"/>
      <c r="AC214" s="501"/>
      <c r="AD214" s="501"/>
      <c r="AE214" s="501"/>
      <c r="AF214" s="1566">
        <v>11</v>
      </c>
    </row>
    <row r="215" spans="1:32" s="1566" customFormat="1" ht="11.45" customHeight="1">
      <c r="A215" s="915"/>
      <c r="B215" s="1561"/>
      <c r="C215" s="1561"/>
      <c r="D215" s="286"/>
      <c r="K215" s="1085"/>
      <c r="L215" s="1561"/>
      <c r="M215" s="1561"/>
      <c r="N215" s="1085"/>
      <c r="O215" s="1085"/>
      <c r="P215" s="1085"/>
      <c r="Q215" s="1085"/>
      <c r="R215" s="1561"/>
      <c r="S215" s="1085"/>
      <c r="T215" s="1085"/>
      <c r="U215" s="479"/>
      <c r="V215" s="1085"/>
      <c r="W215" s="1085"/>
      <c r="X215" s="1085"/>
      <c r="Y215" s="1085"/>
      <c r="Z215" s="1085"/>
      <c r="AA215" s="1557"/>
      <c r="AB215" s="501"/>
      <c r="AC215" s="501"/>
      <c r="AD215" s="501"/>
      <c r="AE215" s="501"/>
      <c r="AF215" s="1566">
        <v>11</v>
      </c>
    </row>
    <row r="216" spans="1:32" s="1566" customFormat="1" ht="11.45" customHeight="1">
      <c r="A216" s="915"/>
      <c r="B216" s="1561"/>
      <c r="C216" s="1561"/>
      <c r="D216" s="286"/>
      <c r="K216" s="1085"/>
      <c r="L216" s="1561"/>
      <c r="M216" s="1561"/>
      <c r="N216" s="1085"/>
      <c r="O216" s="1085"/>
      <c r="P216" s="1085"/>
      <c r="Q216" s="1085"/>
      <c r="R216" s="1561"/>
      <c r="S216" s="1085"/>
      <c r="T216" s="1085"/>
      <c r="U216" s="479"/>
      <c r="V216" s="1085"/>
      <c r="W216" s="1085"/>
      <c r="X216" s="1085"/>
      <c r="Y216" s="1085"/>
      <c r="Z216" s="1085"/>
      <c r="AA216" s="1557"/>
      <c r="AB216" s="501"/>
      <c r="AC216" s="501"/>
      <c r="AD216" s="501"/>
      <c r="AE216" s="501"/>
      <c r="AF216" s="1566">
        <v>11</v>
      </c>
    </row>
    <row r="217" spans="1:32" s="1566" customFormat="1" ht="11.45" customHeight="1">
      <c r="A217" s="915"/>
      <c r="B217" s="1561"/>
      <c r="C217" s="1561"/>
      <c r="D217" s="286"/>
      <c r="K217" s="1085"/>
      <c r="L217" s="1561"/>
      <c r="M217" s="1561"/>
      <c r="N217" s="1085"/>
      <c r="O217" s="1085"/>
      <c r="P217" s="1085"/>
      <c r="Q217" s="1085"/>
      <c r="R217" s="1561"/>
      <c r="S217" s="1085"/>
      <c r="T217" s="1085"/>
      <c r="U217" s="479"/>
      <c r="V217" s="1085"/>
      <c r="W217" s="1085"/>
      <c r="X217" s="1085"/>
      <c r="Y217" s="1085"/>
      <c r="Z217" s="1085"/>
      <c r="AA217" s="1557"/>
      <c r="AB217" s="501"/>
      <c r="AC217" s="501"/>
      <c r="AD217" s="501"/>
      <c r="AE217" s="501"/>
      <c r="AF217" s="1566">
        <v>11</v>
      </c>
    </row>
    <row r="218" spans="1:32" s="1566" customFormat="1" ht="11.45" customHeight="1">
      <c r="A218" s="915"/>
      <c r="B218" s="1561"/>
      <c r="C218" s="1561"/>
      <c r="D218" s="286"/>
      <c r="K218" s="1085"/>
      <c r="L218" s="1561"/>
      <c r="M218" s="1561"/>
      <c r="N218" s="1085"/>
      <c r="O218" s="1085"/>
      <c r="P218" s="1085"/>
      <c r="Q218" s="1085"/>
      <c r="R218" s="1561"/>
      <c r="S218" s="1085"/>
      <c r="T218" s="1085"/>
      <c r="U218" s="479"/>
      <c r="V218" s="1085"/>
      <c r="W218" s="1085"/>
      <c r="X218" s="1085"/>
      <c r="Y218" s="1085"/>
      <c r="Z218" s="1085"/>
      <c r="AA218" s="1557"/>
      <c r="AB218" s="501"/>
      <c r="AC218" s="501"/>
      <c r="AD218" s="501"/>
      <c r="AE218" s="501"/>
      <c r="AF218" s="1566">
        <v>11</v>
      </c>
    </row>
    <row r="219" spans="1:32" s="1566" customFormat="1" ht="11.45" customHeight="1">
      <c r="A219" s="915"/>
      <c r="B219" s="1561"/>
      <c r="C219" s="1561"/>
      <c r="D219" s="286"/>
      <c r="K219" s="1085"/>
      <c r="L219" s="1561"/>
      <c r="M219" s="1561"/>
      <c r="N219" s="1085"/>
      <c r="O219" s="1085"/>
      <c r="P219" s="1085"/>
      <c r="Q219" s="1085"/>
      <c r="R219" s="1561"/>
      <c r="S219" s="1085"/>
      <c r="T219" s="1085"/>
      <c r="U219" s="479"/>
      <c r="V219" s="1085"/>
      <c r="W219" s="1085"/>
      <c r="X219" s="1085"/>
      <c r="Y219" s="1085"/>
      <c r="Z219" s="1085"/>
      <c r="AA219" s="1557"/>
      <c r="AB219" s="501"/>
      <c r="AC219" s="501"/>
      <c r="AD219" s="501"/>
      <c r="AE219" s="501"/>
      <c r="AF219" s="1566">
        <v>11</v>
      </c>
    </row>
    <row r="220" spans="1:32" s="1566" customFormat="1" ht="11.45" customHeight="1">
      <c r="A220" s="915"/>
      <c r="B220" s="1561"/>
      <c r="C220" s="1561"/>
      <c r="D220" s="286"/>
      <c r="K220" s="1085"/>
      <c r="L220" s="1561"/>
      <c r="M220" s="1561"/>
      <c r="N220" s="1085"/>
      <c r="O220" s="1085"/>
      <c r="P220" s="1085"/>
      <c r="Q220" s="1085"/>
      <c r="R220" s="1561"/>
      <c r="S220" s="1085"/>
      <c r="T220" s="1085"/>
      <c r="U220" s="479"/>
      <c r="V220" s="1085"/>
      <c r="W220" s="1085"/>
      <c r="X220" s="1085"/>
      <c r="Y220" s="1085"/>
      <c r="Z220" s="1085"/>
      <c r="AA220" s="1557"/>
      <c r="AB220" s="501"/>
      <c r="AC220" s="501"/>
      <c r="AD220" s="501"/>
      <c r="AE220" s="501"/>
      <c r="AF220" s="1566">
        <v>11</v>
      </c>
    </row>
    <row r="221" spans="1:32" s="1566" customFormat="1" ht="11.45" customHeight="1">
      <c r="A221" s="915"/>
      <c r="B221" s="1561"/>
      <c r="C221" s="1561"/>
      <c r="D221" s="286"/>
      <c r="K221" s="1085"/>
      <c r="L221" s="1561"/>
      <c r="M221" s="1561"/>
      <c r="N221" s="1085"/>
      <c r="O221" s="1085"/>
      <c r="P221" s="1085"/>
      <c r="Q221" s="1085"/>
      <c r="R221" s="1561"/>
      <c r="S221" s="1085"/>
      <c r="T221" s="1085"/>
      <c r="U221" s="479"/>
      <c r="V221" s="1085"/>
      <c r="W221" s="1085"/>
      <c r="X221" s="1085"/>
      <c r="Y221" s="1085"/>
      <c r="Z221" s="1085"/>
      <c r="AA221" s="1557"/>
      <c r="AB221" s="501"/>
      <c r="AC221" s="501"/>
      <c r="AD221" s="501"/>
      <c r="AE221" s="501"/>
      <c r="AF221" s="1566">
        <v>11</v>
      </c>
    </row>
    <row r="222" spans="1:32" s="1566" customFormat="1" ht="11.45" customHeight="1">
      <c r="A222" s="915"/>
      <c r="B222" s="1561"/>
      <c r="C222" s="1561"/>
      <c r="D222" s="286"/>
      <c r="K222" s="1085"/>
      <c r="L222" s="1561"/>
      <c r="M222" s="1561"/>
      <c r="N222" s="1085"/>
      <c r="O222" s="1085"/>
      <c r="P222" s="1085"/>
      <c r="Q222" s="1085"/>
      <c r="R222" s="1561"/>
      <c r="S222" s="1085"/>
      <c r="T222" s="1085"/>
      <c r="U222" s="479"/>
      <c r="V222" s="1085"/>
      <c r="W222" s="1085"/>
      <c r="X222" s="1085"/>
      <c r="Y222" s="1085"/>
      <c r="Z222" s="1085"/>
      <c r="AA222" s="1557"/>
      <c r="AB222" s="501"/>
      <c r="AC222" s="501"/>
      <c r="AD222" s="501"/>
      <c r="AE222" s="501"/>
      <c r="AF222" s="1566">
        <v>11</v>
      </c>
    </row>
    <row r="223" spans="1:32" s="1566" customFormat="1" ht="11.45" customHeight="1">
      <c r="A223" s="915"/>
      <c r="B223" s="1561"/>
      <c r="C223" s="1561"/>
      <c r="D223" s="286"/>
      <c r="K223" s="1085"/>
      <c r="L223" s="1561"/>
      <c r="M223" s="1561"/>
      <c r="N223" s="1085"/>
      <c r="O223" s="1085"/>
      <c r="P223" s="1085"/>
      <c r="Q223" s="1085"/>
      <c r="R223" s="1561"/>
      <c r="S223" s="1085"/>
      <c r="T223" s="1085"/>
      <c r="U223" s="479"/>
      <c r="V223" s="1085"/>
      <c r="W223" s="1085"/>
      <c r="X223" s="1085"/>
      <c r="Y223" s="1085"/>
      <c r="Z223" s="1085"/>
      <c r="AA223" s="1557"/>
      <c r="AB223" s="501"/>
      <c r="AC223" s="501"/>
      <c r="AD223" s="501"/>
      <c r="AE223" s="501"/>
      <c r="AF223" s="1566">
        <v>11</v>
      </c>
    </row>
    <row r="224" spans="1:32" s="1566" customFormat="1" ht="11.45" customHeight="1">
      <c r="A224" s="915"/>
      <c r="B224" s="1561"/>
      <c r="C224" s="1561"/>
      <c r="D224" s="286"/>
      <c r="K224" s="1085"/>
      <c r="L224" s="1561"/>
      <c r="M224" s="1561"/>
      <c r="N224" s="1085"/>
      <c r="O224" s="1085"/>
      <c r="P224" s="1085"/>
      <c r="Q224" s="1085"/>
      <c r="R224" s="1561"/>
      <c r="S224" s="1085"/>
      <c r="T224" s="1085"/>
      <c r="U224" s="479"/>
      <c r="V224" s="1085"/>
      <c r="W224" s="1085"/>
      <c r="X224" s="1085"/>
      <c r="Y224" s="1085"/>
      <c r="Z224" s="1085"/>
      <c r="AA224" s="1557"/>
      <c r="AB224" s="501"/>
      <c r="AC224" s="501"/>
      <c r="AD224" s="501"/>
      <c r="AE224" s="501"/>
      <c r="AF224" s="1566">
        <v>11</v>
      </c>
    </row>
    <row r="225" spans="1:32" s="1566" customFormat="1" ht="11.45" customHeight="1">
      <c r="A225" s="915"/>
      <c r="B225" s="1561"/>
      <c r="C225" s="1561"/>
      <c r="D225" s="286"/>
      <c r="K225" s="1085"/>
      <c r="L225" s="1561"/>
      <c r="M225" s="1561"/>
      <c r="N225" s="1085"/>
      <c r="O225" s="1085"/>
      <c r="P225" s="1085"/>
      <c r="Q225" s="1085"/>
      <c r="R225" s="1561"/>
      <c r="S225" s="1085"/>
      <c r="T225" s="1085"/>
      <c r="U225" s="479"/>
      <c r="V225" s="1085"/>
      <c r="W225" s="1085"/>
      <c r="X225" s="1085"/>
      <c r="Y225" s="1085"/>
      <c r="Z225" s="1085"/>
      <c r="AA225" s="1557"/>
      <c r="AB225" s="501"/>
      <c r="AC225" s="501"/>
      <c r="AD225" s="501"/>
      <c r="AE225" s="501"/>
      <c r="AF225" s="1566">
        <v>11</v>
      </c>
    </row>
    <row r="226" spans="1:32" s="1566" customFormat="1" ht="11.45" customHeight="1">
      <c r="A226" s="915"/>
      <c r="B226" s="1561"/>
      <c r="C226" s="1561"/>
      <c r="D226" s="286"/>
      <c r="K226" s="1085"/>
      <c r="L226" s="1561"/>
      <c r="M226" s="1561"/>
      <c r="N226" s="1085"/>
      <c r="O226" s="1085"/>
      <c r="P226" s="1085"/>
      <c r="Q226" s="1085"/>
      <c r="R226" s="1561"/>
      <c r="S226" s="1085"/>
      <c r="T226" s="1085"/>
      <c r="U226" s="479"/>
      <c r="V226" s="1085"/>
      <c r="W226" s="1085"/>
      <c r="X226" s="1085"/>
      <c r="Y226" s="1085"/>
      <c r="Z226" s="1085"/>
      <c r="AA226" s="1557"/>
      <c r="AB226" s="501"/>
      <c r="AC226" s="501"/>
      <c r="AD226" s="501"/>
      <c r="AE226" s="501"/>
      <c r="AF226" s="1566">
        <v>11</v>
      </c>
    </row>
    <row r="227" spans="1:32" s="1566" customFormat="1" ht="11.45" customHeight="1">
      <c r="A227" s="915"/>
      <c r="B227" s="1561"/>
      <c r="C227" s="1561"/>
      <c r="D227" s="286"/>
      <c r="K227" s="1085"/>
      <c r="L227" s="1561"/>
      <c r="M227" s="1561"/>
      <c r="N227" s="1085"/>
      <c r="O227" s="1085"/>
      <c r="P227" s="1085"/>
      <c r="Q227" s="1085"/>
      <c r="R227" s="1561"/>
      <c r="S227" s="1085"/>
      <c r="T227" s="1085"/>
      <c r="U227" s="479"/>
      <c r="V227" s="1085"/>
      <c r="W227" s="1085"/>
      <c r="X227" s="1085"/>
      <c r="Y227" s="1085"/>
      <c r="Z227" s="1085"/>
      <c r="AA227" s="1557"/>
      <c r="AB227" s="501"/>
      <c r="AC227" s="501"/>
      <c r="AD227" s="501"/>
      <c r="AE227" s="501"/>
      <c r="AF227" s="1566">
        <v>11</v>
      </c>
    </row>
    <row r="228" spans="1:32" s="1566" customFormat="1" ht="11.45" customHeight="1">
      <c r="A228" s="915"/>
      <c r="B228" s="1561"/>
      <c r="C228" s="1561"/>
      <c r="D228" s="286"/>
      <c r="K228" s="1085"/>
      <c r="L228" s="1561"/>
      <c r="M228" s="1561"/>
      <c r="N228" s="1085"/>
      <c r="O228" s="1085"/>
      <c r="P228" s="1085"/>
      <c r="Q228" s="1085"/>
      <c r="R228" s="1561"/>
      <c r="S228" s="1085"/>
      <c r="T228" s="1085"/>
      <c r="U228" s="479"/>
      <c r="V228" s="1085"/>
      <c r="W228" s="1085"/>
      <c r="X228" s="1085"/>
      <c r="Y228" s="1085"/>
      <c r="Z228" s="1085"/>
      <c r="AA228" s="1557"/>
      <c r="AB228" s="501"/>
      <c r="AC228" s="501"/>
      <c r="AD228" s="501"/>
      <c r="AE228" s="501"/>
      <c r="AF228" s="1566">
        <v>11</v>
      </c>
    </row>
    <row r="229" spans="1:32" s="1566" customFormat="1" ht="11.45" customHeight="1">
      <c r="A229" s="915"/>
      <c r="B229" s="1561"/>
      <c r="C229" s="1561"/>
      <c r="D229" s="286"/>
      <c r="K229" s="1085"/>
      <c r="L229" s="1561"/>
      <c r="M229" s="1561"/>
      <c r="N229" s="1085"/>
      <c r="O229" s="1085"/>
      <c r="P229" s="1085"/>
      <c r="Q229" s="1085"/>
      <c r="R229" s="1561"/>
      <c r="S229" s="1085"/>
      <c r="T229" s="1085"/>
      <c r="U229" s="479"/>
      <c r="V229" s="1085"/>
      <c r="W229" s="1085"/>
      <c r="X229" s="1085"/>
      <c r="Y229" s="1085"/>
      <c r="Z229" s="1085"/>
      <c r="AA229" s="1557"/>
      <c r="AB229" s="501"/>
      <c r="AC229" s="501"/>
      <c r="AD229" s="501"/>
      <c r="AE229" s="501"/>
      <c r="AF229" s="1566">
        <v>11</v>
      </c>
    </row>
    <row r="230" spans="1:32" s="1566" customFormat="1" ht="11.45" customHeight="1">
      <c r="A230" s="915"/>
      <c r="B230" s="1561"/>
      <c r="C230" s="1561"/>
      <c r="D230" s="286"/>
      <c r="K230" s="1085"/>
      <c r="L230" s="1561"/>
      <c r="M230" s="1561"/>
      <c r="N230" s="1085"/>
      <c r="O230" s="1085"/>
      <c r="P230" s="1085"/>
      <c r="Q230" s="1085"/>
      <c r="R230" s="1561"/>
      <c r="S230" s="1085"/>
      <c r="T230" s="1085"/>
      <c r="U230" s="479"/>
      <c r="V230" s="1085"/>
      <c r="W230" s="1085"/>
      <c r="X230" s="1085"/>
      <c r="Y230" s="1085"/>
      <c r="Z230" s="1085"/>
      <c r="AA230" s="1557"/>
      <c r="AB230" s="501"/>
      <c r="AC230" s="501"/>
      <c r="AD230" s="501"/>
      <c r="AE230" s="501"/>
      <c r="AF230" s="1566">
        <v>11</v>
      </c>
    </row>
    <row r="231" spans="1:32" s="1566" customFormat="1" ht="11.45" customHeight="1">
      <c r="A231" s="915"/>
      <c r="B231" s="1561"/>
      <c r="C231" s="1561"/>
      <c r="D231" s="286"/>
      <c r="K231" s="1085"/>
      <c r="L231" s="1561"/>
      <c r="M231" s="1561"/>
      <c r="N231" s="1085"/>
      <c r="O231" s="1085"/>
      <c r="P231" s="1085"/>
      <c r="Q231" s="1085"/>
      <c r="R231" s="1561"/>
      <c r="S231" s="1085"/>
      <c r="T231" s="1085"/>
      <c r="U231" s="479"/>
      <c r="V231" s="1085"/>
      <c r="W231" s="1085"/>
      <c r="X231" s="1085"/>
      <c r="Y231" s="1085"/>
      <c r="Z231" s="1085"/>
      <c r="AA231" s="1557"/>
      <c r="AB231" s="501"/>
      <c r="AC231" s="501"/>
      <c r="AD231" s="501"/>
      <c r="AE231" s="501"/>
      <c r="AF231" s="1566">
        <v>11</v>
      </c>
    </row>
    <row r="232" spans="1:32" s="1566" customFormat="1" ht="11.45" customHeight="1">
      <c r="A232" s="915"/>
      <c r="B232" s="1561"/>
      <c r="C232" s="1561"/>
      <c r="D232" s="286"/>
      <c r="K232" s="1085"/>
      <c r="L232" s="1561"/>
      <c r="M232" s="1561"/>
      <c r="N232" s="1085"/>
      <c r="O232" s="1085"/>
      <c r="P232" s="1085"/>
      <c r="Q232" s="1085"/>
      <c r="R232" s="1561"/>
      <c r="S232" s="1085"/>
      <c r="T232" s="1085"/>
      <c r="U232" s="479"/>
      <c r="V232" s="1085"/>
      <c r="W232" s="1085"/>
      <c r="X232" s="1085"/>
      <c r="Y232" s="1085"/>
      <c r="Z232" s="1085"/>
      <c r="AA232" s="1557"/>
      <c r="AB232" s="501"/>
      <c r="AC232" s="501"/>
      <c r="AD232" s="501"/>
      <c r="AE232" s="501"/>
      <c r="AF232" s="1566">
        <v>11</v>
      </c>
    </row>
    <row r="233" spans="1:32" s="1566" customFormat="1" ht="11.45" customHeight="1">
      <c r="A233" s="915"/>
      <c r="B233" s="1561"/>
      <c r="C233" s="1561"/>
      <c r="D233" s="286"/>
      <c r="K233" s="1085"/>
      <c r="L233" s="1561"/>
      <c r="M233" s="1561"/>
      <c r="N233" s="1085"/>
      <c r="O233" s="1085"/>
      <c r="P233" s="1085"/>
      <c r="Q233" s="1085"/>
      <c r="R233" s="1561"/>
      <c r="S233" s="1085"/>
      <c r="T233" s="1085"/>
      <c r="U233" s="479"/>
      <c r="V233" s="1085"/>
      <c r="W233" s="1085"/>
      <c r="X233" s="1085"/>
      <c r="Y233" s="1085"/>
      <c r="Z233" s="1085"/>
      <c r="AA233" s="1557"/>
      <c r="AB233" s="501"/>
      <c r="AC233" s="501"/>
      <c r="AD233" s="501"/>
      <c r="AE233" s="501"/>
      <c r="AF233" s="1566">
        <v>11</v>
      </c>
    </row>
    <row r="234" spans="1:32" s="1566" customFormat="1" ht="11.45" customHeight="1">
      <c r="A234" s="915"/>
      <c r="B234" s="1561"/>
      <c r="C234" s="1561"/>
      <c r="D234" s="286"/>
      <c r="K234" s="1085"/>
      <c r="L234" s="1561"/>
      <c r="M234" s="1561"/>
      <c r="N234" s="1085"/>
      <c r="O234" s="1085"/>
      <c r="P234" s="1085"/>
      <c r="Q234" s="1085"/>
      <c r="R234" s="1561"/>
      <c r="S234" s="1085"/>
      <c r="T234" s="1085"/>
      <c r="U234" s="479"/>
      <c r="V234" s="1085"/>
      <c r="W234" s="1085"/>
      <c r="X234" s="1085"/>
      <c r="Y234" s="1085"/>
      <c r="Z234" s="1085"/>
      <c r="AA234" s="1557"/>
      <c r="AB234" s="501"/>
      <c r="AC234" s="501"/>
      <c r="AD234" s="501"/>
      <c r="AE234" s="501"/>
      <c r="AF234" s="1566">
        <v>11</v>
      </c>
    </row>
    <row r="235" spans="1:32" s="1566" customFormat="1" ht="11.45" customHeight="1">
      <c r="A235" s="915"/>
      <c r="B235" s="1561"/>
      <c r="C235" s="1561"/>
      <c r="D235" s="286"/>
      <c r="K235" s="1085"/>
      <c r="L235" s="1561"/>
      <c r="M235" s="1561"/>
      <c r="N235" s="1085"/>
      <c r="O235" s="1085"/>
      <c r="P235" s="1085"/>
      <c r="Q235" s="1085"/>
      <c r="R235" s="1561"/>
      <c r="S235" s="1085"/>
      <c r="T235" s="1085"/>
      <c r="U235" s="479"/>
      <c r="V235" s="1085"/>
      <c r="W235" s="1085"/>
      <c r="X235" s="1085"/>
      <c r="Y235" s="1085"/>
      <c r="Z235" s="1085"/>
      <c r="AA235" s="1557"/>
      <c r="AB235" s="501"/>
      <c r="AC235" s="501"/>
      <c r="AD235" s="501"/>
      <c r="AE235" s="501"/>
      <c r="AF235" s="1566">
        <v>11</v>
      </c>
    </row>
    <row r="236" spans="1:32" s="1566" customFormat="1" ht="11.45" customHeight="1">
      <c r="A236" s="915"/>
      <c r="B236" s="1561"/>
      <c r="C236" s="1561"/>
      <c r="D236" s="286"/>
      <c r="K236" s="1085"/>
      <c r="L236" s="1561"/>
      <c r="M236" s="1561"/>
      <c r="N236" s="1085"/>
      <c r="O236" s="1085"/>
      <c r="P236" s="1085"/>
      <c r="Q236" s="1085"/>
      <c r="R236" s="1561"/>
      <c r="S236" s="1085"/>
      <c r="T236" s="1085"/>
      <c r="U236" s="479"/>
      <c r="V236" s="1085"/>
      <c r="W236" s="1085"/>
      <c r="X236" s="1085"/>
      <c r="Y236" s="1085"/>
      <c r="Z236" s="1085"/>
      <c r="AA236" s="1557"/>
      <c r="AB236" s="501"/>
      <c r="AC236" s="501"/>
      <c r="AD236" s="501"/>
      <c r="AE236" s="501"/>
      <c r="AF236" s="1566">
        <v>11</v>
      </c>
    </row>
    <row r="237" spans="1:32" s="1566" customFormat="1" ht="11.45" customHeight="1">
      <c r="A237" s="915"/>
      <c r="B237" s="1561"/>
      <c r="C237" s="1561"/>
      <c r="D237" s="286"/>
      <c r="K237" s="1085"/>
      <c r="L237" s="1561"/>
      <c r="M237" s="1561"/>
      <c r="N237" s="1085"/>
      <c r="O237" s="1085"/>
      <c r="P237" s="1085"/>
      <c r="Q237" s="1085"/>
      <c r="R237" s="1561"/>
      <c r="S237" s="1085"/>
      <c r="T237" s="1085"/>
      <c r="U237" s="479"/>
      <c r="V237" s="1085"/>
      <c r="W237" s="1085"/>
      <c r="X237" s="1085"/>
      <c r="Y237" s="1085"/>
      <c r="Z237" s="1085"/>
      <c r="AA237" s="1557"/>
      <c r="AB237" s="501"/>
      <c r="AC237" s="501"/>
      <c r="AD237" s="501"/>
      <c r="AE237" s="501"/>
      <c r="AF237" s="1566">
        <v>11</v>
      </c>
    </row>
    <row r="238" spans="1:32" s="1566" customFormat="1" ht="11.45" customHeight="1">
      <c r="A238" s="915"/>
      <c r="B238" s="1561"/>
      <c r="C238" s="1561"/>
      <c r="D238" s="286"/>
      <c r="K238" s="1085"/>
      <c r="L238" s="1561"/>
      <c r="M238" s="1561"/>
      <c r="N238" s="1085"/>
      <c r="O238" s="1085"/>
      <c r="P238" s="1085"/>
      <c r="Q238" s="1085"/>
      <c r="R238" s="1561"/>
      <c r="S238" s="1085"/>
      <c r="T238" s="1085"/>
      <c r="U238" s="479"/>
      <c r="V238" s="1085"/>
      <c r="W238" s="1085"/>
      <c r="X238" s="1085"/>
      <c r="Y238" s="1085"/>
      <c r="Z238" s="1085"/>
      <c r="AA238" s="1557"/>
      <c r="AB238" s="501"/>
      <c r="AC238" s="501"/>
      <c r="AD238" s="501"/>
      <c r="AE238" s="501"/>
      <c r="AF238" s="1566">
        <v>11</v>
      </c>
    </row>
    <row r="239" spans="1:32" s="1566" customFormat="1" ht="11.45" customHeight="1">
      <c r="A239" s="915"/>
      <c r="B239" s="1561"/>
      <c r="C239" s="1561"/>
      <c r="D239" s="286"/>
      <c r="K239" s="1085"/>
      <c r="L239" s="1561"/>
      <c r="M239" s="1561"/>
      <c r="N239" s="1085"/>
      <c r="O239" s="1085"/>
      <c r="P239" s="1085"/>
      <c r="Q239" s="1085"/>
      <c r="R239" s="1561"/>
      <c r="S239" s="1085"/>
      <c r="T239" s="1085"/>
      <c r="U239" s="479"/>
      <c r="V239" s="1085"/>
      <c r="W239" s="1085"/>
      <c r="X239" s="1085"/>
      <c r="Y239" s="1085"/>
      <c r="Z239" s="1085"/>
      <c r="AA239" s="1557"/>
      <c r="AB239" s="501"/>
      <c r="AC239" s="501"/>
      <c r="AD239" s="501"/>
      <c r="AE239" s="501"/>
      <c r="AF239" s="1566">
        <v>11</v>
      </c>
    </row>
    <row r="240" spans="1:32" s="1566" customFormat="1" ht="11.45" customHeight="1">
      <c r="A240" s="915"/>
      <c r="B240" s="1561"/>
      <c r="C240" s="1561"/>
      <c r="D240" s="286"/>
      <c r="K240" s="1085"/>
      <c r="L240" s="1561"/>
      <c r="M240" s="1561"/>
      <c r="N240" s="1085"/>
      <c r="O240" s="1085"/>
      <c r="P240" s="1085"/>
      <c r="Q240" s="1085"/>
      <c r="R240" s="1561"/>
      <c r="S240" s="1085"/>
      <c r="T240" s="1085"/>
      <c r="U240" s="479"/>
      <c r="V240" s="1085"/>
      <c r="W240" s="1085"/>
      <c r="X240" s="1085"/>
      <c r="Y240" s="1085"/>
      <c r="Z240" s="1085"/>
      <c r="AA240" s="1557"/>
      <c r="AB240" s="501"/>
      <c r="AC240" s="501"/>
      <c r="AD240" s="501"/>
      <c r="AE240" s="501"/>
      <c r="AF240" s="1566">
        <v>11</v>
      </c>
    </row>
    <row r="241" spans="1:32" s="1566" customFormat="1" ht="11.45" customHeight="1">
      <c r="A241" s="915"/>
      <c r="B241" s="1561"/>
      <c r="C241" s="1561"/>
      <c r="D241" s="286"/>
      <c r="K241" s="1085"/>
      <c r="L241" s="1561"/>
      <c r="M241" s="1561"/>
      <c r="N241" s="1085"/>
      <c r="O241" s="1085"/>
      <c r="P241" s="1085"/>
      <c r="Q241" s="1085"/>
      <c r="R241" s="1561"/>
      <c r="S241" s="1085"/>
      <c r="T241" s="1085"/>
      <c r="U241" s="479"/>
      <c r="V241" s="1085"/>
      <c r="W241" s="1085"/>
      <c r="X241" s="1085"/>
      <c r="Y241" s="1085"/>
      <c r="Z241" s="1085"/>
      <c r="AA241" s="1557"/>
      <c r="AB241" s="501"/>
      <c r="AC241" s="501"/>
      <c r="AD241" s="501"/>
      <c r="AE241" s="501"/>
      <c r="AF241" s="1566">
        <v>11</v>
      </c>
    </row>
    <row r="242" spans="1:32" s="1566" customFormat="1" ht="11.45" customHeight="1">
      <c r="A242" s="915"/>
      <c r="B242" s="1561"/>
      <c r="C242" s="1561"/>
      <c r="D242" s="286"/>
      <c r="K242" s="1085"/>
      <c r="L242" s="1561"/>
      <c r="M242" s="1561"/>
      <c r="N242" s="1085"/>
      <c r="O242" s="1085"/>
      <c r="P242" s="1085"/>
      <c r="Q242" s="1085"/>
      <c r="R242" s="1561"/>
      <c r="S242" s="1085"/>
      <c r="T242" s="1085"/>
      <c r="U242" s="479"/>
      <c r="V242" s="1085"/>
      <c r="W242" s="1085"/>
      <c r="X242" s="1085"/>
      <c r="Y242" s="1085"/>
      <c r="Z242" s="1085"/>
      <c r="AA242" s="1557"/>
      <c r="AB242" s="501"/>
      <c r="AC242" s="501"/>
      <c r="AD242" s="501"/>
      <c r="AE242" s="501"/>
      <c r="AF242" s="1566">
        <v>11</v>
      </c>
    </row>
    <row r="243" spans="1:32" s="1566" customFormat="1" ht="11.45" customHeight="1">
      <c r="A243" s="915"/>
      <c r="B243" s="1561"/>
      <c r="C243" s="1561"/>
      <c r="D243" s="286"/>
      <c r="K243" s="1085"/>
      <c r="L243" s="1561"/>
      <c r="M243" s="1561"/>
      <c r="N243" s="1085"/>
      <c r="O243" s="1085"/>
      <c r="P243" s="1085"/>
      <c r="Q243" s="1085"/>
      <c r="R243" s="1561"/>
      <c r="S243" s="1085"/>
      <c r="T243" s="1085"/>
      <c r="U243" s="479"/>
      <c r="V243" s="1085"/>
      <c r="W243" s="1085"/>
      <c r="X243" s="1085"/>
      <c r="Y243" s="1085"/>
      <c r="Z243" s="1085"/>
      <c r="AA243" s="1557"/>
      <c r="AB243" s="501"/>
      <c r="AC243" s="501"/>
      <c r="AD243" s="501"/>
      <c r="AE243" s="501"/>
      <c r="AF243" s="1566">
        <v>11</v>
      </c>
    </row>
    <row r="244" spans="1:32" s="1566" customFormat="1" ht="11.45" customHeight="1">
      <c r="A244" s="915"/>
      <c r="B244" s="1561"/>
      <c r="C244" s="1561"/>
      <c r="D244" s="286"/>
      <c r="K244" s="1085"/>
      <c r="L244" s="1561"/>
      <c r="M244" s="1561"/>
      <c r="N244" s="1085"/>
      <c r="O244" s="1085"/>
      <c r="P244" s="1085"/>
      <c r="Q244" s="1085"/>
      <c r="R244" s="1561"/>
      <c r="S244" s="1085"/>
      <c r="T244" s="1085"/>
      <c r="U244" s="479"/>
      <c r="V244" s="1085"/>
      <c r="W244" s="1085"/>
      <c r="X244" s="1085"/>
      <c r="Y244" s="1085"/>
      <c r="Z244" s="1085"/>
      <c r="AA244" s="1557"/>
      <c r="AB244" s="501"/>
      <c r="AC244" s="501"/>
      <c r="AD244" s="501"/>
      <c r="AE244" s="501"/>
      <c r="AF244" s="1566">
        <v>11</v>
      </c>
    </row>
    <row r="245" spans="1:32" s="1566" customFormat="1" ht="11.45" customHeight="1">
      <c r="A245" s="915"/>
      <c r="B245" s="1561"/>
      <c r="C245" s="1561"/>
      <c r="D245" s="286"/>
      <c r="K245" s="1085"/>
      <c r="L245" s="1561"/>
      <c r="M245" s="1561"/>
      <c r="N245" s="1085"/>
      <c r="O245" s="1085"/>
      <c r="P245" s="1085"/>
      <c r="Q245" s="1085"/>
      <c r="R245" s="1561"/>
      <c r="S245" s="1085"/>
      <c r="T245" s="1085"/>
      <c r="U245" s="479"/>
      <c r="V245" s="1085"/>
      <c r="W245" s="1085"/>
      <c r="X245" s="1085"/>
      <c r="Y245" s="1085"/>
      <c r="Z245" s="1085"/>
      <c r="AA245" s="1557"/>
      <c r="AB245" s="501"/>
      <c r="AC245" s="501"/>
      <c r="AD245" s="501"/>
      <c r="AE245" s="501"/>
      <c r="AF245" s="1566">
        <v>11</v>
      </c>
    </row>
    <row r="246" spans="1:32" s="1566" customFormat="1" ht="11.45" customHeight="1">
      <c r="A246" s="915"/>
      <c r="B246" s="1561"/>
      <c r="C246" s="1561"/>
      <c r="D246" s="286"/>
      <c r="K246" s="1085"/>
      <c r="L246" s="1561"/>
      <c r="M246" s="1561"/>
      <c r="N246" s="1085"/>
      <c r="O246" s="1085"/>
      <c r="P246" s="1085"/>
      <c r="Q246" s="1085"/>
      <c r="R246" s="1561"/>
      <c r="S246" s="1085"/>
      <c r="T246" s="1085"/>
      <c r="U246" s="479"/>
      <c r="V246" s="1085"/>
      <c r="W246" s="1085"/>
      <c r="X246" s="1085"/>
      <c r="Y246" s="1085"/>
      <c r="Z246" s="1085"/>
      <c r="AA246" s="1557"/>
      <c r="AB246" s="501"/>
      <c r="AC246" s="501"/>
      <c r="AD246" s="501"/>
      <c r="AE246" s="501"/>
      <c r="AF246" s="1566">
        <v>11</v>
      </c>
    </row>
    <row r="247" spans="1:32" s="1566" customFormat="1" ht="11.45" customHeight="1">
      <c r="A247" s="915"/>
      <c r="B247" s="1561"/>
      <c r="C247" s="1561"/>
      <c r="D247" s="286"/>
      <c r="K247" s="1085"/>
      <c r="L247" s="1561"/>
      <c r="M247" s="1561"/>
      <c r="N247" s="1085"/>
      <c r="O247" s="1085"/>
      <c r="P247" s="1085"/>
      <c r="Q247" s="1085"/>
      <c r="R247" s="1561"/>
      <c r="S247" s="1085"/>
      <c r="T247" s="1085"/>
      <c r="U247" s="479"/>
      <c r="V247" s="1085"/>
      <c r="W247" s="1085"/>
      <c r="X247" s="1085"/>
      <c r="Y247" s="1085"/>
      <c r="Z247" s="1085"/>
      <c r="AA247" s="1557"/>
      <c r="AB247" s="501"/>
      <c r="AC247" s="501"/>
      <c r="AD247" s="501"/>
      <c r="AE247" s="501"/>
      <c r="AF247" s="1566">
        <v>11</v>
      </c>
    </row>
    <row r="248" spans="1:32" s="1566" customFormat="1" ht="11.45" customHeight="1">
      <c r="A248" s="915"/>
      <c r="B248" s="1561"/>
      <c r="C248" s="1561"/>
      <c r="D248" s="286"/>
      <c r="K248" s="1085"/>
      <c r="L248" s="1561"/>
      <c r="M248" s="1561"/>
      <c r="N248" s="1085"/>
      <c r="O248" s="1085"/>
      <c r="P248" s="1085"/>
      <c r="Q248" s="1085"/>
      <c r="R248" s="1561"/>
      <c r="S248" s="1085"/>
      <c r="T248" s="1085"/>
      <c r="U248" s="479"/>
      <c r="V248" s="1085"/>
      <c r="W248" s="1085"/>
      <c r="X248" s="1085"/>
      <c r="Y248" s="1085"/>
      <c r="Z248" s="1085"/>
      <c r="AA248" s="1557"/>
      <c r="AB248" s="501"/>
      <c r="AC248" s="501"/>
      <c r="AD248" s="501"/>
      <c r="AE248" s="501"/>
      <c r="AF248" s="1566">
        <v>11</v>
      </c>
    </row>
    <row r="249" spans="1:32" s="1566" customFormat="1" ht="11.45" customHeight="1">
      <c r="A249" s="915"/>
      <c r="B249" s="1561"/>
      <c r="C249" s="1561"/>
      <c r="D249" s="286"/>
      <c r="K249" s="1085"/>
      <c r="L249" s="1561"/>
      <c r="M249" s="1561"/>
      <c r="N249" s="1085"/>
      <c r="O249" s="1085"/>
      <c r="P249" s="1085"/>
      <c r="Q249" s="1085"/>
      <c r="R249" s="1561"/>
      <c r="S249" s="1085"/>
      <c r="T249" s="1085"/>
      <c r="U249" s="479"/>
      <c r="V249" s="1085"/>
      <c r="W249" s="1085"/>
      <c r="X249" s="1085"/>
      <c r="Y249" s="1085"/>
      <c r="Z249" s="1085"/>
      <c r="AA249" s="1557"/>
      <c r="AB249" s="501"/>
      <c r="AC249" s="501"/>
      <c r="AD249" s="501"/>
      <c r="AE249" s="501"/>
      <c r="AF249" s="1566">
        <v>11</v>
      </c>
    </row>
    <row r="250" spans="1:32" s="1566" customFormat="1" ht="11.45" customHeight="1">
      <c r="A250" s="915"/>
      <c r="B250" s="1561"/>
      <c r="C250" s="1561"/>
      <c r="D250" s="286"/>
      <c r="K250" s="1085"/>
      <c r="L250" s="1561"/>
      <c r="M250" s="1561"/>
      <c r="N250" s="1085"/>
      <c r="O250" s="1085"/>
      <c r="P250" s="1085"/>
      <c r="Q250" s="1085"/>
      <c r="R250" s="1561"/>
      <c r="S250" s="1085"/>
      <c r="T250" s="1085"/>
      <c r="U250" s="479"/>
      <c r="V250" s="1085"/>
      <c r="W250" s="1085"/>
      <c r="X250" s="1085"/>
      <c r="Y250" s="1085"/>
      <c r="Z250" s="1085"/>
      <c r="AA250" s="1557"/>
      <c r="AB250" s="501"/>
      <c r="AC250" s="501"/>
      <c r="AD250" s="501"/>
      <c r="AE250" s="501"/>
      <c r="AF250" s="1566">
        <v>11</v>
      </c>
    </row>
    <row r="251" spans="1:32" s="1566" customFormat="1" ht="11.45" customHeight="1">
      <c r="A251" s="915"/>
      <c r="B251" s="1561"/>
      <c r="C251" s="1561"/>
      <c r="D251" s="286"/>
      <c r="K251" s="1085"/>
      <c r="L251" s="1561"/>
      <c r="M251" s="1561"/>
      <c r="N251" s="1085"/>
      <c r="O251" s="1085"/>
      <c r="P251" s="1085"/>
      <c r="Q251" s="1085"/>
      <c r="R251" s="1561"/>
      <c r="S251" s="1085"/>
      <c r="T251" s="1085"/>
      <c r="U251" s="479"/>
      <c r="V251" s="1085"/>
      <c r="W251" s="1085"/>
      <c r="X251" s="1085"/>
      <c r="Y251" s="1085"/>
      <c r="Z251" s="1085"/>
      <c r="AA251" s="1557"/>
      <c r="AB251" s="501"/>
      <c r="AC251" s="501"/>
      <c r="AD251" s="501"/>
      <c r="AE251" s="501"/>
      <c r="AF251" s="1566">
        <v>11</v>
      </c>
    </row>
    <row r="252" spans="1:32" s="1566" customFormat="1" ht="11.45" customHeight="1">
      <c r="A252" s="915"/>
      <c r="B252" s="1561"/>
      <c r="C252" s="1561"/>
      <c r="D252" s="286"/>
      <c r="K252" s="1085"/>
      <c r="L252" s="1561"/>
      <c r="M252" s="1561"/>
      <c r="N252" s="1085"/>
      <c r="O252" s="1085"/>
      <c r="P252" s="1085"/>
      <c r="Q252" s="1085"/>
      <c r="R252" s="1561"/>
      <c r="S252" s="1085"/>
      <c r="T252" s="1085"/>
      <c r="U252" s="479"/>
      <c r="V252" s="1085"/>
      <c r="W252" s="1085"/>
      <c r="X252" s="1085"/>
      <c r="Y252" s="1085"/>
      <c r="Z252" s="1085"/>
      <c r="AA252" s="1557"/>
      <c r="AB252" s="501"/>
      <c r="AC252" s="501"/>
      <c r="AD252" s="501"/>
      <c r="AE252" s="501"/>
      <c r="AF252" s="1566">
        <v>11</v>
      </c>
    </row>
    <row r="253" spans="1:32" s="1566" customFormat="1" ht="11.45" customHeight="1">
      <c r="A253" s="915"/>
      <c r="B253" s="1561"/>
      <c r="C253" s="1561"/>
      <c r="D253" s="286"/>
      <c r="K253" s="1085"/>
      <c r="L253" s="1561"/>
      <c r="M253" s="1561"/>
      <c r="N253" s="1085"/>
      <c r="O253" s="1085"/>
      <c r="P253" s="1085"/>
      <c r="Q253" s="1085"/>
      <c r="R253" s="1561"/>
      <c r="S253" s="1085"/>
      <c r="T253" s="1085"/>
      <c r="U253" s="479"/>
      <c r="V253" s="1085"/>
      <c r="W253" s="1085"/>
      <c r="X253" s="1085"/>
      <c r="Y253" s="1085"/>
      <c r="Z253" s="1085"/>
      <c r="AA253" s="1557"/>
      <c r="AB253" s="501"/>
      <c r="AC253" s="501"/>
      <c r="AD253" s="501"/>
      <c r="AE253" s="501"/>
      <c r="AF253" s="1566">
        <v>11</v>
      </c>
    </row>
    <row r="254" spans="1:32" s="1566" customFormat="1" ht="11.45" customHeight="1">
      <c r="A254" s="915"/>
      <c r="B254" s="1561"/>
      <c r="C254" s="1561"/>
      <c r="D254" s="286"/>
      <c r="K254" s="1085"/>
      <c r="L254" s="1561"/>
      <c r="M254" s="1561"/>
      <c r="N254" s="1085"/>
      <c r="O254" s="1085"/>
      <c r="P254" s="1085"/>
      <c r="Q254" s="1085"/>
      <c r="R254" s="1561"/>
      <c r="S254" s="1085"/>
      <c r="T254" s="1085"/>
      <c r="U254" s="479"/>
      <c r="V254" s="1085"/>
      <c r="W254" s="1085"/>
      <c r="X254" s="1085"/>
      <c r="Y254" s="1085"/>
      <c r="Z254" s="1085"/>
      <c r="AA254" s="1557"/>
      <c r="AB254" s="501"/>
      <c r="AC254" s="501"/>
      <c r="AD254" s="501"/>
      <c r="AE254" s="501"/>
      <c r="AF254" s="1566">
        <v>11</v>
      </c>
    </row>
    <row r="255" spans="1:32" s="1566" customFormat="1" ht="11.45" customHeight="1">
      <c r="A255" s="915"/>
      <c r="B255" s="1561"/>
      <c r="C255" s="1561"/>
      <c r="D255" s="286"/>
      <c r="K255" s="1085"/>
      <c r="L255" s="1561"/>
      <c r="M255" s="1561"/>
      <c r="N255" s="1085"/>
      <c r="O255" s="1085"/>
      <c r="P255" s="1085"/>
      <c r="Q255" s="1085"/>
      <c r="R255" s="1561"/>
      <c r="S255" s="1085"/>
      <c r="T255" s="1085"/>
      <c r="U255" s="479"/>
      <c r="V255" s="1085"/>
      <c r="W255" s="1085"/>
      <c r="X255" s="1085"/>
      <c r="Y255" s="1085"/>
      <c r="Z255" s="1085"/>
      <c r="AA255" s="1557"/>
      <c r="AB255" s="501"/>
      <c r="AC255" s="501"/>
      <c r="AD255" s="501"/>
      <c r="AE255" s="501"/>
      <c r="AF255" s="1566">
        <v>11</v>
      </c>
    </row>
    <row r="256" spans="1:32" s="1566" customFormat="1" ht="11.45" customHeight="1">
      <c r="A256" s="915"/>
      <c r="B256" s="1561"/>
      <c r="C256" s="1561"/>
      <c r="D256" s="286"/>
      <c r="K256" s="1085"/>
      <c r="L256" s="1561"/>
      <c r="M256" s="1561"/>
      <c r="N256" s="1085"/>
      <c r="O256" s="1085"/>
      <c r="P256" s="1085"/>
      <c r="Q256" s="1085"/>
      <c r="R256" s="1561"/>
      <c r="S256" s="1085"/>
      <c r="T256" s="1085"/>
      <c r="U256" s="479"/>
      <c r="V256" s="1085"/>
      <c r="W256" s="1085"/>
      <c r="X256" s="1085"/>
      <c r="Y256" s="1085"/>
      <c r="Z256" s="1085"/>
      <c r="AA256" s="1557"/>
      <c r="AB256" s="501"/>
      <c r="AC256" s="501"/>
      <c r="AD256" s="501"/>
      <c r="AE256" s="501"/>
      <c r="AF256" s="1566">
        <v>11</v>
      </c>
    </row>
    <row r="257" spans="1:32" s="1566" customFormat="1" ht="11.45" customHeight="1">
      <c r="A257" s="915"/>
      <c r="B257" s="1561"/>
      <c r="C257" s="1561"/>
      <c r="D257" s="286"/>
      <c r="K257" s="1085"/>
      <c r="L257" s="1561"/>
      <c r="M257" s="1561"/>
      <c r="N257" s="1085"/>
      <c r="O257" s="1085"/>
      <c r="P257" s="1085"/>
      <c r="Q257" s="1085"/>
      <c r="R257" s="1561"/>
      <c r="S257" s="1085"/>
      <c r="T257" s="1085"/>
      <c r="U257" s="479"/>
      <c r="V257" s="1085"/>
      <c r="W257" s="1085"/>
      <c r="X257" s="1085"/>
      <c r="Y257" s="1085"/>
      <c r="Z257" s="1085"/>
      <c r="AA257" s="1557"/>
      <c r="AB257" s="501"/>
      <c r="AC257" s="501"/>
      <c r="AD257" s="501"/>
      <c r="AE257" s="501"/>
      <c r="AF257" s="1566">
        <v>11</v>
      </c>
    </row>
    <row r="258" spans="1:32" s="1566" customFormat="1" ht="11.45" customHeight="1">
      <c r="A258" s="915"/>
      <c r="B258" s="1561"/>
      <c r="C258" s="1561"/>
      <c r="D258" s="286"/>
      <c r="K258" s="1085"/>
      <c r="L258" s="1561"/>
      <c r="M258" s="1561"/>
      <c r="N258" s="1085"/>
      <c r="O258" s="1085"/>
      <c r="P258" s="1085"/>
      <c r="Q258" s="1085"/>
      <c r="R258" s="1561"/>
      <c r="S258" s="1085"/>
      <c r="T258" s="1085"/>
      <c r="U258" s="479"/>
      <c r="V258" s="1085"/>
      <c r="W258" s="1085"/>
      <c r="X258" s="1085"/>
      <c r="Y258" s="1085"/>
      <c r="Z258" s="1085"/>
      <c r="AA258" s="1557"/>
      <c r="AB258" s="501"/>
      <c r="AC258" s="501"/>
      <c r="AD258" s="501"/>
      <c r="AE258" s="501"/>
      <c r="AF258" s="1566">
        <v>11</v>
      </c>
    </row>
    <row r="259" spans="1:32" s="1566" customFormat="1" ht="11.45" customHeight="1">
      <c r="A259" s="915"/>
      <c r="B259" s="1561"/>
      <c r="C259" s="1561"/>
      <c r="D259" s="286"/>
      <c r="K259" s="1085"/>
      <c r="L259" s="1561"/>
      <c r="M259" s="1561"/>
      <c r="N259" s="1085"/>
      <c r="O259" s="1085"/>
      <c r="P259" s="1085"/>
      <c r="Q259" s="1085"/>
      <c r="R259" s="1561"/>
      <c r="S259" s="1085"/>
      <c r="T259" s="1085"/>
      <c r="U259" s="479"/>
      <c r="V259" s="1085"/>
      <c r="W259" s="1085"/>
      <c r="X259" s="1085"/>
      <c r="Y259" s="1085"/>
      <c r="Z259" s="1085"/>
      <c r="AA259" s="1557"/>
      <c r="AB259" s="501"/>
      <c r="AC259" s="501"/>
      <c r="AD259" s="501"/>
      <c r="AE259" s="501"/>
      <c r="AF259" s="1566">
        <v>11</v>
      </c>
    </row>
    <row r="260" spans="1:32" s="1566" customFormat="1" ht="11.45" customHeight="1">
      <c r="A260" s="915"/>
      <c r="B260" s="1561"/>
      <c r="C260" s="1561"/>
      <c r="D260" s="286"/>
      <c r="K260" s="1085"/>
      <c r="L260" s="1561"/>
      <c r="M260" s="1561"/>
      <c r="N260" s="1085"/>
      <c r="O260" s="1085"/>
      <c r="P260" s="1085"/>
      <c r="Q260" s="1085"/>
      <c r="R260" s="1561"/>
      <c r="S260" s="1085"/>
      <c r="T260" s="1085"/>
      <c r="U260" s="479"/>
      <c r="V260" s="1085"/>
      <c r="W260" s="1085"/>
      <c r="X260" s="1085"/>
      <c r="Y260" s="1085"/>
      <c r="Z260" s="1085"/>
      <c r="AA260" s="1557"/>
      <c r="AB260" s="501"/>
      <c r="AC260" s="501"/>
      <c r="AD260" s="501"/>
      <c r="AE260" s="501"/>
      <c r="AF260" s="1566">
        <v>11</v>
      </c>
    </row>
    <row r="261" spans="1:32" s="1566" customFormat="1" ht="11.45" customHeight="1">
      <c r="A261" s="915"/>
      <c r="B261" s="1561"/>
      <c r="C261" s="1561"/>
      <c r="D261" s="286"/>
      <c r="K261" s="1085"/>
      <c r="L261" s="1561"/>
      <c r="M261" s="1561"/>
      <c r="N261" s="1085"/>
      <c r="O261" s="1085"/>
      <c r="P261" s="1085"/>
      <c r="Q261" s="1085"/>
      <c r="R261" s="1561"/>
      <c r="S261" s="1085"/>
      <c r="T261" s="1085"/>
      <c r="U261" s="479"/>
      <c r="V261" s="1085"/>
      <c r="W261" s="1085"/>
      <c r="X261" s="1085"/>
      <c r="Y261" s="1085"/>
      <c r="Z261" s="1085"/>
      <c r="AA261" s="1557"/>
      <c r="AB261" s="501"/>
      <c r="AC261" s="501"/>
      <c r="AD261" s="501"/>
      <c r="AE261" s="501"/>
      <c r="AF261" s="1566">
        <v>11</v>
      </c>
    </row>
    <row r="262" spans="1:32" s="1566" customFormat="1" ht="11.45" customHeight="1">
      <c r="A262" s="915"/>
      <c r="B262" s="1561"/>
      <c r="C262" s="1561"/>
      <c r="D262" s="286"/>
      <c r="K262" s="1085"/>
      <c r="L262" s="1561"/>
      <c r="M262" s="1561"/>
      <c r="N262" s="1085"/>
      <c r="O262" s="1085"/>
      <c r="P262" s="1085"/>
      <c r="Q262" s="1085"/>
      <c r="R262" s="1561"/>
      <c r="S262" s="1085"/>
      <c r="T262" s="1085"/>
      <c r="U262" s="479"/>
      <c r="V262" s="1085"/>
      <c r="W262" s="1085"/>
      <c r="X262" s="1085"/>
      <c r="Y262" s="1085"/>
      <c r="Z262" s="1085"/>
      <c r="AA262" s="1557"/>
      <c r="AB262" s="501"/>
      <c r="AC262" s="501"/>
      <c r="AD262" s="501"/>
      <c r="AE262" s="501"/>
      <c r="AF262" s="1566">
        <v>11</v>
      </c>
    </row>
    <row r="263" spans="1:32" s="1566" customFormat="1" ht="11.45" customHeight="1">
      <c r="A263" s="915"/>
      <c r="B263" s="1561"/>
      <c r="C263" s="1561"/>
      <c r="D263" s="286"/>
      <c r="K263" s="1085"/>
      <c r="L263" s="1561"/>
      <c r="M263" s="1561"/>
      <c r="N263" s="1085"/>
      <c r="O263" s="1085"/>
      <c r="P263" s="1085"/>
      <c r="Q263" s="1085"/>
      <c r="R263" s="1561"/>
      <c r="S263" s="1085"/>
      <c r="T263" s="1085"/>
      <c r="U263" s="479"/>
      <c r="V263" s="1085"/>
      <c r="W263" s="1085"/>
      <c r="X263" s="1085"/>
      <c r="Y263" s="1085"/>
      <c r="Z263" s="1085"/>
      <c r="AA263" s="1557"/>
      <c r="AB263" s="501"/>
      <c r="AC263" s="501"/>
      <c r="AD263" s="501"/>
      <c r="AE263" s="501"/>
      <c r="AF263" s="1566">
        <v>11</v>
      </c>
    </row>
    <row r="264" spans="1:32" s="1566" customFormat="1" ht="11.45" customHeight="1">
      <c r="A264" s="915"/>
      <c r="B264" s="1561"/>
      <c r="C264" s="1561"/>
      <c r="D264" s="286"/>
      <c r="K264" s="1085"/>
      <c r="L264" s="1561"/>
      <c r="M264" s="1561"/>
      <c r="N264" s="1085"/>
      <c r="O264" s="1085"/>
      <c r="P264" s="1085"/>
      <c r="Q264" s="1085"/>
      <c r="R264" s="1561"/>
      <c r="S264" s="1085"/>
      <c r="T264" s="1085"/>
      <c r="U264" s="479"/>
      <c r="V264" s="1085"/>
      <c r="W264" s="1085"/>
      <c r="X264" s="1085"/>
      <c r="Y264" s="1085"/>
      <c r="Z264" s="1085"/>
      <c r="AA264" s="1557"/>
      <c r="AB264" s="501"/>
      <c r="AC264" s="501"/>
      <c r="AD264" s="501"/>
      <c r="AE264" s="501"/>
      <c r="AF264" s="1566">
        <v>11</v>
      </c>
    </row>
    <row r="265" spans="1:32" s="1566" customFormat="1" ht="11.45" customHeight="1">
      <c r="A265" s="915"/>
      <c r="B265" s="1561"/>
      <c r="C265" s="1561"/>
      <c r="D265" s="286"/>
      <c r="K265" s="1085"/>
      <c r="L265" s="1561"/>
      <c r="M265" s="1561"/>
      <c r="N265" s="1085"/>
      <c r="O265" s="1085"/>
      <c r="P265" s="1085"/>
      <c r="Q265" s="1085"/>
      <c r="R265" s="1561"/>
      <c r="S265" s="1085"/>
      <c r="T265" s="1085"/>
      <c r="U265" s="479"/>
      <c r="V265" s="1085"/>
      <c r="W265" s="1085"/>
      <c r="X265" s="1085"/>
      <c r="Y265" s="1085"/>
      <c r="Z265" s="1085"/>
      <c r="AA265" s="1557"/>
      <c r="AB265" s="501"/>
      <c r="AC265" s="501"/>
      <c r="AD265" s="501"/>
      <c r="AE265" s="501"/>
      <c r="AF265" s="1566">
        <v>11</v>
      </c>
    </row>
    <row r="266" spans="1:32" s="1566" customFormat="1" ht="11.45" customHeight="1">
      <c r="A266" s="915"/>
      <c r="B266" s="1561"/>
      <c r="C266" s="1561"/>
      <c r="D266" s="286"/>
      <c r="K266" s="1085"/>
      <c r="L266" s="1561"/>
      <c r="M266" s="1561"/>
      <c r="N266" s="1085"/>
      <c r="O266" s="1085"/>
      <c r="P266" s="1085"/>
      <c r="Q266" s="1085"/>
      <c r="R266" s="1561"/>
      <c r="S266" s="1085"/>
      <c r="T266" s="1085"/>
      <c r="U266" s="479"/>
      <c r="V266" s="1085"/>
      <c r="W266" s="1085"/>
      <c r="X266" s="1085"/>
      <c r="Y266" s="1085"/>
      <c r="Z266" s="1085"/>
      <c r="AA266" s="1557"/>
      <c r="AB266" s="501"/>
      <c r="AC266" s="501"/>
      <c r="AD266" s="501"/>
      <c r="AE266" s="501"/>
      <c r="AF266" s="1566">
        <v>11</v>
      </c>
    </row>
    <row r="267" spans="1:32" s="1566" customFormat="1" ht="11.45" customHeight="1">
      <c r="A267" s="915"/>
      <c r="B267" s="1561"/>
      <c r="C267" s="1561"/>
      <c r="D267" s="286"/>
      <c r="K267" s="1085"/>
      <c r="L267" s="1561"/>
      <c r="M267" s="1561"/>
      <c r="N267" s="1085"/>
      <c r="O267" s="1085"/>
      <c r="P267" s="1085"/>
      <c r="Q267" s="1085"/>
      <c r="R267" s="1561"/>
      <c r="S267" s="1085"/>
      <c r="T267" s="1085"/>
      <c r="U267" s="479"/>
      <c r="V267" s="1085"/>
      <c r="W267" s="1085"/>
      <c r="X267" s="1085"/>
      <c r="Y267" s="1085"/>
      <c r="Z267" s="1085"/>
      <c r="AA267" s="1557"/>
      <c r="AB267" s="501"/>
      <c r="AC267" s="501"/>
      <c r="AD267" s="501"/>
      <c r="AE267" s="501"/>
      <c r="AF267" s="1566">
        <v>11</v>
      </c>
    </row>
    <row r="268" spans="1:32" s="1566" customFormat="1" ht="11.45" customHeight="1">
      <c r="A268" s="915"/>
      <c r="B268" s="1561"/>
      <c r="C268" s="1561"/>
      <c r="D268" s="286"/>
      <c r="K268" s="1085"/>
      <c r="L268" s="1561"/>
      <c r="M268" s="1561"/>
      <c r="N268" s="1085"/>
      <c r="O268" s="1085"/>
      <c r="P268" s="1085"/>
      <c r="Q268" s="1085"/>
      <c r="R268" s="1561"/>
      <c r="S268" s="1085"/>
      <c r="T268" s="1085"/>
      <c r="U268" s="479"/>
      <c r="V268" s="1085"/>
      <c r="W268" s="1085"/>
      <c r="X268" s="1085"/>
      <c r="Y268" s="1085"/>
      <c r="Z268" s="1085"/>
      <c r="AA268" s="1557"/>
      <c r="AB268" s="501"/>
      <c r="AC268" s="501"/>
      <c r="AD268" s="501"/>
      <c r="AE268" s="501"/>
      <c r="AF268" s="1566">
        <v>11</v>
      </c>
    </row>
    <row r="269" spans="1:32" s="1566" customFormat="1" ht="11.45" customHeight="1">
      <c r="A269" s="915"/>
      <c r="B269" s="1561"/>
      <c r="C269" s="1561"/>
      <c r="D269" s="286"/>
      <c r="K269" s="1085"/>
      <c r="L269" s="1561"/>
      <c r="M269" s="1561"/>
      <c r="N269" s="1085"/>
      <c r="O269" s="1085"/>
      <c r="P269" s="1085"/>
      <c r="Q269" s="1085"/>
      <c r="R269" s="1561"/>
      <c r="S269" s="1085"/>
      <c r="T269" s="1085"/>
      <c r="U269" s="479"/>
      <c r="V269" s="1085"/>
      <c r="W269" s="1085"/>
      <c r="X269" s="1085"/>
      <c r="Y269" s="1085"/>
      <c r="Z269" s="1085"/>
      <c r="AA269" s="1557"/>
      <c r="AB269" s="501"/>
      <c r="AC269" s="501"/>
      <c r="AD269" s="501"/>
      <c r="AE269" s="501"/>
      <c r="AF269" s="1566">
        <v>11</v>
      </c>
    </row>
    <row r="270" spans="1:32" s="1566" customFormat="1" ht="11.45" customHeight="1">
      <c r="A270" s="915"/>
      <c r="B270" s="1561"/>
      <c r="C270" s="1561"/>
      <c r="D270" s="286"/>
      <c r="K270" s="1085"/>
      <c r="L270" s="1561"/>
      <c r="M270" s="1561"/>
      <c r="N270" s="1085"/>
      <c r="O270" s="1085"/>
      <c r="P270" s="1085"/>
      <c r="Q270" s="1085"/>
      <c r="R270" s="1561"/>
      <c r="S270" s="1085"/>
      <c r="T270" s="1085"/>
      <c r="U270" s="479"/>
      <c r="V270" s="1085"/>
      <c r="W270" s="1085"/>
      <c r="X270" s="1085"/>
      <c r="Y270" s="1085"/>
      <c r="Z270" s="1085"/>
      <c r="AA270" s="1557"/>
      <c r="AB270" s="501"/>
      <c r="AC270" s="501"/>
      <c r="AD270" s="501"/>
      <c r="AE270" s="501"/>
      <c r="AF270" s="1566">
        <v>11</v>
      </c>
    </row>
    <row r="271" spans="1:32" s="1566" customFormat="1" ht="11.45" customHeight="1">
      <c r="A271" s="915"/>
      <c r="B271" s="1561"/>
      <c r="C271" s="1561"/>
      <c r="D271" s="286"/>
      <c r="K271" s="1085"/>
      <c r="L271" s="1561"/>
      <c r="M271" s="1561"/>
      <c r="N271" s="1085"/>
      <c r="O271" s="1085"/>
      <c r="P271" s="1085"/>
      <c r="Q271" s="1085"/>
      <c r="R271" s="1561"/>
      <c r="S271" s="1085"/>
      <c r="T271" s="1085"/>
      <c r="U271" s="479"/>
      <c r="V271" s="1085"/>
      <c r="W271" s="1085"/>
      <c r="X271" s="1085"/>
      <c r="Y271" s="1085"/>
      <c r="Z271" s="1085"/>
      <c r="AA271" s="1557"/>
      <c r="AB271" s="501"/>
      <c r="AC271" s="501"/>
      <c r="AD271" s="501"/>
      <c r="AE271" s="501"/>
      <c r="AF271" s="1566">
        <v>11</v>
      </c>
    </row>
    <row r="272" spans="1:32" s="1566" customFormat="1" ht="11.45" customHeight="1">
      <c r="A272" s="915"/>
      <c r="B272" s="1561"/>
      <c r="C272" s="1561"/>
      <c r="D272" s="286"/>
      <c r="K272" s="1085"/>
      <c r="L272" s="1561"/>
      <c r="M272" s="1561"/>
      <c r="N272" s="1085"/>
      <c r="O272" s="1085"/>
      <c r="P272" s="1085"/>
      <c r="Q272" s="1085"/>
      <c r="R272" s="1561"/>
      <c r="S272" s="1085"/>
      <c r="T272" s="1085"/>
      <c r="U272" s="479"/>
      <c r="V272" s="1085"/>
      <c r="W272" s="1085"/>
      <c r="X272" s="1085"/>
      <c r="Y272" s="1085"/>
      <c r="Z272" s="1085"/>
      <c r="AA272" s="1557"/>
      <c r="AB272" s="501"/>
      <c r="AC272" s="501"/>
      <c r="AD272" s="501"/>
      <c r="AE272" s="501"/>
      <c r="AF272" s="1566">
        <v>11</v>
      </c>
    </row>
    <row r="273" spans="1:32" s="1566" customFormat="1" ht="11.45" customHeight="1">
      <c r="A273" s="915"/>
      <c r="B273" s="1561"/>
      <c r="C273" s="1561"/>
      <c r="D273" s="286"/>
      <c r="K273" s="1085"/>
      <c r="L273" s="1561"/>
      <c r="M273" s="1561"/>
      <c r="N273" s="1085"/>
      <c r="O273" s="1085"/>
      <c r="P273" s="1085"/>
      <c r="Q273" s="1085"/>
      <c r="R273" s="1561"/>
      <c r="S273" s="1085"/>
      <c r="T273" s="1085"/>
      <c r="U273" s="479"/>
      <c r="V273" s="1085"/>
      <c r="W273" s="1085"/>
      <c r="X273" s="1085"/>
      <c r="Y273" s="1085"/>
      <c r="Z273" s="1085"/>
      <c r="AA273" s="1557"/>
      <c r="AB273" s="501"/>
      <c r="AC273" s="501"/>
      <c r="AD273" s="501"/>
      <c r="AE273" s="501"/>
      <c r="AF273" s="1566">
        <v>11</v>
      </c>
    </row>
    <row r="274" spans="1:32" s="1566" customFormat="1" ht="11.45" customHeight="1">
      <c r="A274" s="915"/>
      <c r="B274" s="1561"/>
      <c r="C274" s="1561"/>
      <c r="D274" s="286"/>
      <c r="K274" s="1085"/>
      <c r="L274" s="1561"/>
      <c r="M274" s="1561"/>
      <c r="N274" s="1085"/>
      <c r="O274" s="1085"/>
      <c r="P274" s="1085"/>
      <c r="Q274" s="1085"/>
      <c r="R274" s="1561"/>
      <c r="S274" s="1085"/>
      <c r="T274" s="1085"/>
      <c r="U274" s="479"/>
      <c r="V274" s="1085"/>
      <c r="W274" s="1085"/>
      <c r="X274" s="1085"/>
      <c r="Y274" s="1085"/>
      <c r="Z274" s="1085"/>
      <c r="AA274" s="1557"/>
      <c r="AB274" s="501"/>
      <c r="AC274" s="501"/>
      <c r="AD274" s="501"/>
      <c r="AE274" s="501"/>
      <c r="AF274" s="1566">
        <v>11</v>
      </c>
    </row>
    <row r="275" spans="1:32" s="1566" customFormat="1" ht="11.45" customHeight="1">
      <c r="A275" s="915"/>
      <c r="B275" s="1561"/>
      <c r="C275" s="1561"/>
      <c r="D275" s="286"/>
      <c r="K275" s="1085"/>
      <c r="L275" s="1561"/>
      <c r="M275" s="1561"/>
      <c r="N275" s="1085"/>
      <c r="O275" s="1085"/>
      <c r="P275" s="1085"/>
      <c r="Q275" s="1085"/>
      <c r="R275" s="1561"/>
      <c r="S275" s="1085"/>
      <c r="T275" s="1085"/>
      <c r="U275" s="479"/>
      <c r="V275" s="1085"/>
      <c r="W275" s="1085"/>
      <c r="X275" s="1085"/>
      <c r="Y275" s="1085"/>
      <c r="Z275" s="1085"/>
      <c r="AA275" s="1557"/>
      <c r="AB275" s="501"/>
      <c r="AC275" s="501"/>
      <c r="AD275" s="501"/>
      <c r="AE275" s="501"/>
      <c r="AF275" s="1566">
        <v>11</v>
      </c>
    </row>
    <row r="276" spans="1:32" s="1566" customFormat="1" ht="11.45" customHeight="1">
      <c r="A276" s="915"/>
      <c r="B276" s="1561"/>
      <c r="C276" s="1561"/>
      <c r="D276" s="286"/>
      <c r="K276" s="1085"/>
      <c r="L276" s="1561"/>
      <c r="M276" s="1561"/>
      <c r="N276" s="1085"/>
      <c r="O276" s="1085"/>
      <c r="P276" s="1085"/>
      <c r="Q276" s="1085"/>
      <c r="R276" s="1561"/>
      <c r="S276" s="1085"/>
      <c r="T276" s="1085"/>
      <c r="U276" s="479"/>
      <c r="V276" s="1085"/>
      <c r="W276" s="1085"/>
      <c r="X276" s="1085"/>
      <c r="Y276" s="1085"/>
      <c r="Z276" s="1085"/>
      <c r="AA276" s="1557"/>
      <c r="AB276" s="501"/>
      <c r="AC276" s="501"/>
      <c r="AD276" s="501"/>
      <c r="AE276" s="501"/>
      <c r="AF276" s="1566">
        <v>11</v>
      </c>
    </row>
    <row r="277" spans="1:32" s="1566" customFormat="1" ht="11.45" customHeight="1">
      <c r="A277" s="915"/>
      <c r="B277" s="1561"/>
      <c r="C277" s="1561"/>
      <c r="D277" s="286"/>
      <c r="K277" s="1085"/>
      <c r="L277" s="1561"/>
      <c r="M277" s="1561"/>
      <c r="N277" s="1085"/>
      <c r="O277" s="1085"/>
      <c r="P277" s="1085"/>
      <c r="Q277" s="1085"/>
      <c r="R277" s="1561"/>
      <c r="S277" s="1085"/>
      <c r="T277" s="1085"/>
      <c r="U277" s="479"/>
      <c r="V277" s="1085"/>
      <c r="W277" s="1085"/>
      <c r="X277" s="1085"/>
      <c r="Y277" s="1085"/>
      <c r="Z277" s="1085"/>
      <c r="AA277" s="1557"/>
      <c r="AB277" s="501"/>
      <c r="AC277" s="501"/>
      <c r="AD277" s="501"/>
      <c r="AE277" s="501"/>
      <c r="AF277" s="1566">
        <v>11</v>
      </c>
    </row>
    <row r="278" spans="1:32" s="1566" customFormat="1" ht="11.45" customHeight="1">
      <c r="A278" s="915"/>
      <c r="B278" s="1561"/>
      <c r="C278" s="1561"/>
      <c r="D278" s="286"/>
      <c r="K278" s="1085"/>
      <c r="L278" s="1561"/>
      <c r="M278" s="1561"/>
      <c r="N278" s="1085"/>
      <c r="O278" s="1085"/>
      <c r="P278" s="1085"/>
      <c r="Q278" s="1085"/>
      <c r="R278" s="1561"/>
      <c r="S278" s="1085"/>
      <c r="T278" s="1085"/>
      <c r="U278" s="479"/>
      <c r="V278" s="1085"/>
      <c r="W278" s="1085"/>
      <c r="X278" s="1085"/>
      <c r="Y278" s="1085"/>
      <c r="Z278" s="1085"/>
      <c r="AA278" s="1557"/>
      <c r="AB278" s="501"/>
      <c r="AC278" s="501"/>
      <c r="AD278" s="501"/>
      <c r="AE278" s="501"/>
      <c r="AF278" s="1566">
        <v>11</v>
      </c>
    </row>
    <row r="279" spans="1:32" s="1566" customFormat="1" ht="11.45" customHeight="1">
      <c r="A279" s="915"/>
      <c r="B279" s="1561"/>
      <c r="C279" s="1561"/>
      <c r="D279" s="286"/>
      <c r="K279" s="1085"/>
      <c r="L279" s="1561"/>
      <c r="M279" s="1561"/>
      <c r="N279" s="1085"/>
      <c r="O279" s="1085"/>
      <c r="P279" s="1085"/>
      <c r="Q279" s="1085"/>
      <c r="R279" s="1561"/>
      <c r="S279" s="1085"/>
      <c r="T279" s="1085"/>
      <c r="U279" s="479"/>
      <c r="V279" s="1085"/>
      <c r="W279" s="1085"/>
      <c r="X279" s="1085"/>
      <c r="Y279" s="1085"/>
      <c r="Z279" s="1085"/>
      <c r="AA279" s="1557"/>
      <c r="AB279" s="501"/>
      <c r="AC279" s="501"/>
      <c r="AD279" s="501"/>
      <c r="AE279" s="501"/>
      <c r="AF279" s="1566">
        <v>11</v>
      </c>
    </row>
    <row r="280" spans="1:32" s="1566" customFormat="1" ht="11.45" customHeight="1">
      <c r="A280" s="915"/>
      <c r="B280" s="1561"/>
      <c r="C280" s="1561"/>
      <c r="D280" s="286"/>
      <c r="K280" s="1085"/>
      <c r="L280" s="1561"/>
      <c r="M280" s="1561"/>
      <c r="N280" s="1085"/>
      <c r="O280" s="1085"/>
      <c r="P280" s="1085"/>
      <c r="Q280" s="1085"/>
      <c r="R280" s="1561"/>
      <c r="S280" s="1085"/>
      <c r="T280" s="1085"/>
      <c r="U280" s="479"/>
      <c r="V280" s="1085"/>
      <c r="W280" s="1085"/>
      <c r="X280" s="1085"/>
      <c r="Y280" s="1085"/>
      <c r="Z280" s="1085"/>
      <c r="AA280" s="1557"/>
      <c r="AB280" s="501"/>
      <c r="AC280" s="501"/>
      <c r="AD280" s="501"/>
      <c r="AE280" s="501"/>
      <c r="AF280" s="1566">
        <v>11</v>
      </c>
    </row>
    <row r="281" spans="1:32" s="1566" customFormat="1" ht="11.45" customHeight="1">
      <c r="A281" s="915"/>
      <c r="B281" s="1561"/>
      <c r="C281" s="1561"/>
      <c r="D281" s="286"/>
      <c r="K281" s="1085"/>
      <c r="L281" s="1561"/>
      <c r="M281" s="1561"/>
      <c r="N281" s="1085"/>
      <c r="O281" s="1085"/>
      <c r="P281" s="1085"/>
      <c r="Q281" s="1085"/>
      <c r="R281" s="1561"/>
      <c r="S281" s="1085"/>
      <c r="T281" s="1085"/>
      <c r="U281" s="479"/>
      <c r="V281" s="1085"/>
      <c r="W281" s="1085"/>
      <c r="X281" s="1085"/>
      <c r="Y281" s="1085"/>
      <c r="Z281" s="1085"/>
      <c r="AA281" s="1557"/>
      <c r="AB281" s="501"/>
      <c r="AC281" s="501"/>
      <c r="AD281" s="501"/>
      <c r="AE281" s="501"/>
      <c r="AF281" s="1566">
        <v>11</v>
      </c>
    </row>
    <row r="282" spans="1:32" s="1566" customFormat="1" ht="11.45" customHeight="1">
      <c r="A282" s="915"/>
      <c r="B282" s="1561"/>
      <c r="C282" s="1561"/>
      <c r="D282" s="286"/>
      <c r="K282" s="1085"/>
      <c r="L282" s="1561"/>
      <c r="M282" s="1561"/>
      <c r="N282" s="1085"/>
      <c r="O282" s="1085"/>
      <c r="P282" s="1085"/>
      <c r="Q282" s="1085"/>
      <c r="R282" s="1561"/>
      <c r="S282" s="1085"/>
      <c r="T282" s="1085"/>
      <c r="U282" s="479"/>
      <c r="V282" s="1085"/>
      <c r="W282" s="1085"/>
      <c r="X282" s="1085"/>
      <c r="Y282" s="1085"/>
      <c r="Z282" s="1085"/>
      <c r="AA282" s="1557"/>
      <c r="AB282" s="501"/>
      <c r="AC282" s="501"/>
      <c r="AD282" s="501"/>
      <c r="AE282" s="501"/>
      <c r="AF282" s="1566">
        <v>11</v>
      </c>
    </row>
    <row r="283" spans="1:32" s="1566" customFormat="1" ht="11.45" customHeight="1">
      <c r="A283" s="915"/>
      <c r="B283" s="1561"/>
      <c r="C283" s="1561"/>
      <c r="D283" s="286"/>
      <c r="K283" s="1085"/>
      <c r="L283" s="1561"/>
      <c r="M283" s="1561"/>
      <c r="N283" s="1085"/>
      <c r="O283" s="1085"/>
      <c r="P283" s="1085"/>
      <c r="Q283" s="1085"/>
      <c r="R283" s="1561"/>
      <c r="S283" s="1085"/>
      <c r="T283" s="1085"/>
      <c r="U283" s="479"/>
      <c r="V283" s="1085"/>
      <c r="W283" s="1085"/>
      <c r="X283" s="1085"/>
      <c r="Y283" s="1085"/>
      <c r="Z283" s="1085"/>
      <c r="AA283" s="1557"/>
      <c r="AB283" s="501"/>
      <c r="AC283" s="501"/>
      <c r="AD283" s="501"/>
      <c r="AE283" s="501"/>
      <c r="AF283" s="1566">
        <v>11</v>
      </c>
    </row>
    <row r="284" spans="1:32" s="1566" customFormat="1" ht="11.45" customHeight="1">
      <c r="A284" s="915"/>
      <c r="B284" s="1561"/>
      <c r="C284" s="1561"/>
      <c r="D284" s="286"/>
      <c r="K284" s="1085"/>
      <c r="L284" s="1561"/>
      <c r="M284" s="1561"/>
      <c r="N284" s="1085"/>
      <c r="O284" s="1085"/>
      <c r="P284" s="1085"/>
      <c r="Q284" s="1085"/>
      <c r="R284" s="1561"/>
      <c r="S284" s="1085"/>
      <c r="T284" s="1085"/>
      <c r="U284" s="479"/>
      <c r="V284" s="1085"/>
      <c r="W284" s="1085"/>
      <c r="X284" s="1085"/>
      <c r="Y284" s="1085"/>
      <c r="Z284" s="1085"/>
      <c r="AA284" s="1557"/>
      <c r="AB284" s="501"/>
      <c r="AC284" s="501"/>
      <c r="AD284" s="501"/>
      <c r="AE284" s="501"/>
      <c r="AF284" s="1566">
        <v>11</v>
      </c>
    </row>
    <row r="285" spans="1:32" s="1566" customFormat="1" ht="11.45" customHeight="1">
      <c r="A285" s="915"/>
      <c r="B285" s="1561"/>
      <c r="C285" s="1561"/>
      <c r="D285" s="286"/>
      <c r="K285" s="1085"/>
      <c r="L285" s="1561"/>
      <c r="M285" s="1561"/>
      <c r="N285" s="1085"/>
      <c r="O285" s="1085"/>
      <c r="P285" s="1085"/>
      <c r="Q285" s="1085"/>
      <c r="R285" s="1561"/>
      <c r="S285" s="1085"/>
      <c r="T285" s="1085"/>
      <c r="U285" s="479"/>
      <c r="V285" s="1085"/>
      <c r="W285" s="1085"/>
      <c r="X285" s="1085"/>
      <c r="Y285" s="1085"/>
      <c r="Z285" s="1085"/>
      <c r="AA285" s="1557"/>
      <c r="AB285" s="501"/>
      <c r="AC285" s="501"/>
      <c r="AD285" s="501"/>
      <c r="AE285" s="501"/>
      <c r="AF285" s="1566">
        <v>11</v>
      </c>
    </row>
    <row r="286" spans="1:32" s="1566" customFormat="1" ht="11.45" customHeight="1">
      <c r="A286" s="915"/>
      <c r="B286" s="1561"/>
      <c r="C286" s="1561"/>
      <c r="D286" s="286"/>
      <c r="K286" s="1085"/>
      <c r="L286" s="1561"/>
      <c r="M286" s="1561"/>
      <c r="N286" s="1085"/>
      <c r="O286" s="1085"/>
      <c r="P286" s="1085"/>
      <c r="Q286" s="1085"/>
      <c r="R286" s="1561"/>
      <c r="S286" s="1085"/>
      <c r="T286" s="1085"/>
      <c r="U286" s="479"/>
      <c r="V286" s="1085"/>
      <c r="W286" s="1085"/>
      <c r="X286" s="1085"/>
      <c r="Y286" s="1085"/>
      <c r="Z286" s="1085"/>
      <c r="AA286" s="1557"/>
      <c r="AB286" s="501"/>
      <c r="AC286" s="501"/>
      <c r="AD286" s="501"/>
      <c r="AE286" s="501"/>
      <c r="AF286" s="1566">
        <v>11</v>
      </c>
    </row>
    <row r="287" spans="1:32" s="1566" customFormat="1" ht="11.45" customHeight="1">
      <c r="A287" s="915"/>
      <c r="B287" s="1561"/>
      <c r="C287" s="1561"/>
      <c r="D287" s="286"/>
      <c r="K287" s="1085"/>
      <c r="L287" s="1561"/>
      <c r="M287" s="1561"/>
      <c r="N287" s="1085"/>
      <c r="O287" s="1085"/>
      <c r="P287" s="1085"/>
      <c r="Q287" s="1085"/>
      <c r="R287" s="1561"/>
      <c r="S287" s="1085"/>
      <c r="T287" s="1085"/>
      <c r="U287" s="479"/>
      <c r="V287" s="1085"/>
      <c r="W287" s="1085"/>
      <c r="X287" s="1085"/>
      <c r="Y287" s="1085"/>
      <c r="Z287" s="1085"/>
      <c r="AA287" s="1557"/>
      <c r="AB287" s="501"/>
      <c r="AC287" s="501"/>
      <c r="AD287" s="501"/>
      <c r="AE287" s="501"/>
      <c r="AF287" s="1566">
        <v>11</v>
      </c>
    </row>
    <row r="288" spans="1:32" s="1566" customFormat="1" ht="11.45" customHeight="1">
      <c r="A288" s="915"/>
      <c r="B288" s="1561"/>
      <c r="C288" s="1561"/>
      <c r="D288" s="286"/>
      <c r="K288" s="1085"/>
      <c r="L288" s="1561"/>
      <c r="M288" s="1561"/>
      <c r="N288" s="1085"/>
      <c r="O288" s="1085"/>
      <c r="P288" s="1085"/>
      <c r="Q288" s="1085"/>
      <c r="R288" s="1561"/>
      <c r="S288" s="1085"/>
      <c r="T288" s="1085"/>
      <c r="U288" s="479"/>
      <c r="V288" s="1085"/>
      <c r="W288" s="1085"/>
      <c r="X288" s="1085"/>
      <c r="Y288" s="1085"/>
      <c r="Z288" s="1085"/>
      <c r="AA288" s="1557"/>
      <c r="AB288" s="501"/>
      <c r="AC288" s="501"/>
      <c r="AD288" s="501"/>
      <c r="AE288" s="501"/>
      <c r="AF288" s="1566">
        <v>11</v>
      </c>
    </row>
    <row r="289" spans="1:32" ht="11.45" customHeight="1">
      <c r="AF289" s="1556">
        <v>11</v>
      </c>
    </row>
    <row r="290" spans="1:32" ht="11.45" customHeight="1">
      <c r="AF290" s="1556">
        <v>11</v>
      </c>
    </row>
    <row r="291" spans="1:32" ht="11.45" customHeight="1">
      <c r="AF291" s="1556">
        <v>11</v>
      </c>
    </row>
    <row r="292" spans="1:32" ht="11.45" customHeight="1">
      <c r="A292" s="918"/>
      <c r="B292" s="1556"/>
      <c r="D292" s="1556"/>
      <c r="K292" s="1556"/>
      <c r="N292" s="1556"/>
      <c r="O292" s="1556"/>
      <c r="P292" s="1556"/>
      <c r="Q292" s="1556"/>
      <c r="S292" s="1556"/>
      <c r="T292" s="1556"/>
      <c r="U292" s="1556"/>
      <c r="V292" s="1556"/>
      <c r="W292" s="1556"/>
      <c r="X292" s="1556"/>
      <c r="Y292" s="1556"/>
      <c r="Z292" s="1556"/>
      <c r="AA292" s="1556"/>
      <c r="AB292" s="1556"/>
      <c r="AC292" s="1556"/>
      <c r="AD292" s="1556"/>
      <c r="AE292" s="1556"/>
      <c r="AF292" s="1556">
        <v>11</v>
      </c>
    </row>
    <row r="293" spans="1:32" ht="11.45" customHeight="1">
      <c r="A293" s="918"/>
      <c r="B293" s="1556"/>
      <c r="D293" s="1556"/>
      <c r="K293" s="1556"/>
      <c r="N293" s="1556"/>
      <c r="O293" s="1556"/>
      <c r="P293" s="1556"/>
      <c r="Q293" s="1556"/>
      <c r="S293" s="1556"/>
      <c r="T293" s="1556"/>
      <c r="U293" s="1556"/>
      <c r="V293" s="1556"/>
      <c r="W293" s="1556"/>
      <c r="X293" s="1556"/>
      <c r="Y293" s="1556"/>
      <c r="Z293" s="1556"/>
      <c r="AA293" s="1556"/>
      <c r="AB293" s="1556"/>
      <c r="AC293" s="1556"/>
      <c r="AD293" s="1556"/>
      <c r="AE293" s="1556"/>
      <c r="AF293" s="1556">
        <v>11</v>
      </c>
    </row>
    <row r="294" spans="1:32" ht="11.45" customHeight="1">
      <c r="A294" s="918"/>
      <c r="B294" s="1556"/>
      <c r="D294" s="1556"/>
      <c r="K294" s="1556"/>
      <c r="N294" s="1556"/>
      <c r="O294" s="1556"/>
      <c r="P294" s="1556"/>
      <c r="Q294" s="1556"/>
      <c r="S294" s="1556"/>
      <c r="T294" s="1556"/>
      <c r="U294" s="1556"/>
      <c r="V294" s="1556"/>
      <c r="W294" s="1556"/>
      <c r="X294" s="1556"/>
      <c r="Y294" s="1556"/>
      <c r="Z294" s="1556"/>
      <c r="AA294" s="1556"/>
      <c r="AB294" s="1556"/>
      <c r="AC294" s="1556"/>
      <c r="AD294" s="1556"/>
      <c r="AE294" s="1556"/>
      <c r="AF294" s="1556">
        <v>11</v>
      </c>
    </row>
    <row r="295" spans="1:32" ht="11.45" customHeight="1">
      <c r="A295" s="918"/>
      <c r="B295" s="1556"/>
      <c r="D295" s="1556"/>
      <c r="K295" s="1556"/>
      <c r="N295" s="1556"/>
      <c r="O295" s="1556"/>
      <c r="P295" s="1556"/>
      <c r="Q295" s="1556"/>
      <c r="S295" s="1556"/>
      <c r="T295" s="1556"/>
      <c r="U295" s="1556"/>
      <c r="V295" s="1556"/>
      <c r="W295" s="1556"/>
      <c r="X295" s="1556"/>
      <c r="Y295" s="1556"/>
      <c r="Z295" s="1556"/>
      <c r="AA295" s="1556"/>
      <c r="AB295" s="1556"/>
      <c r="AC295" s="1556"/>
      <c r="AD295" s="1556"/>
      <c r="AE295" s="1556"/>
      <c r="AF295" s="1556">
        <v>11</v>
      </c>
    </row>
    <row r="296" spans="1:32" ht="11.45" customHeight="1">
      <c r="A296" s="918"/>
      <c r="B296" s="1556"/>
      <c r="D296" s="1556"/>
      <c r="K296" s="1556"/>
      <c r="N296" s="1556"/>
      <c r="O296" s="1556"/>
      <c r="P296" s="1556"/>
      <c r="Q296" s="1556"/>
      <c r="S296" s="1556"/>
      <c r="T296" s="1556"/>
      <c r="U296" s="1556"/>
      <c r="V296" s="1556"/>
      <c r="W296" s="1556"/>
      <c r="X296" s="1556"/>
      <c r="Y296" s="1556"/>
      <c r="Z296" s="1556"/>
      <c r="AA296" s="1556"/>
      <c r="AB296" s="1556"/>
      <c r="AC296" s="1556"/>
      <c r="AD296" s="1556"/>
      <c r="AE296" s="1556"/>
      <c r="AF296" s="1556">
        <v>11</v>
      </c>
    </row>
    <row r="297" spans="1:32" ht="11.45" customHeight="1">
      <c r="A297" s="918"/>
      <c r="B297" s="1556"/>
      <c r="D297" s="1556"/>
      <c r="K297" s="1556"/>
      <c r="N297" s="1556"/>
      <c r="O297" s="1556"/>
      <c r="P297" s="1556"/>
      <c r="Q297" s="1556"/>
      <c r="S297" s="1556"/>
      <c r="T297" s="1556"/>
      <c r="U297" s="1556"/>
      <c r="V297" s="1556"/>
      <c r="W297" s="1556"/>
      <c r="X297" s="1556"/>
      <c r="Y297" s="1556"/>
      <c r="Z297" s="1556"/>
      <c r="AA297" s="1556"/>
      <c r="AB297" s="1556"/>
      <c r="AC297" s="1556"/>
      <c r="AD297" s="1556"/>
      <c r="AE297" s="1556"/>
      <c r="AF297" s="1556">
        <v>11</v>
      </c>
    </row>
    <row r="298" spans="1:32" ht="11.45" customHeight="1">
      <c r="A298" s="918"/>
      <c r="B298" s="1556"/>
      <c r="D298" s="1556"/>
      <c r="K298" s="1556"/>
      <c r="N298" s="1556"/>
      <c r="O298" s="1556"/>
      <c r="P298" s="1556"/>
      <c r="Q298" s="1556"/>
      <c r="S298" s="1556"/>
      <c r="T298" s="1556"/>
      <c r="U298" s="1556"/>
      <c r="V298" s="1556"/>
      <c r="W298" s="1556"/>
      <c r="X298" s="1556"/>
      <c r="Y298" s="1556"/>
      <c r="Z298" s="1556"/>
      <c r="AA298" s="1556"/>
      <c r="AB298" s="1556"/>
      <c r="AC298" s="1556"/>
      <c r="AD298" s="1556"/>
      <c r="AE298" s="1556"/>
      <c r="AF298" s="1556">
        <v>11</v>
      </c>
    </row>
    <row r="299" spans="1:32" ht="11.45" customHeight="1">
      <c r="A299" s="918"/>
      <c r="B299" s="1556"/>
      <c r="D299" s="1556"/>
      <c r="K299" s="1556"/>
      <c r="N299" s="1556"/>
      <c r="O299" s="1556"/>
      <c r="P299" s="1556"/>
      <c r="Q299" s="1556"/>
      <c r="S299" s="1556"/>
      <c r="T299" s="1556"/>
      <c r="U299" s="1556"/>
      <c r="V299" s="1556"/>
      <c r="W299" s="1556"/>
      <c r="X299" s="1556"/>
      <c r="Y299" s="1556"/>
      <c r="Z299" s="1556"/>
      <c r="AA299" s="1556"/>
      <c r="AB299" s="1556"/>
      <c r="AC299" s="1556"/>
      <c r="AD299" s="1556"/>
      <c r="AE299" s="1556"/>
      <c r="AF299" s="1556">
        <v>11</v>
      </c>
    </row>
    <row r="300" spans="1:32" ht="11.45" customHeight="1">
      <c r="A300" s="918"/>
      <c r="B300" s="1556"/>
      <c r="D300" s="1556"/>
      <c r="K300" s="1556"/>
      <c r="N300" s="1556"/>
      <c r="O300" s="1556"/>
      <c r="P300" s="1556"/>
      <c r="Q300" s="1556"/>
      <c r="S300" s="1556"/>
      <c r="T300" s="1556"/>
      <c r="U300" s="1556"/>
      <c r="V300" s="1556"/>
      <c r="W300" s="1556"/>
      <c r="X300" s="1556"/>
      <c r="Y300" s="1556"/>
      <c r="Z300" s="1556"/>
      <c r="AA300" s="1556"/>
      <c r="AB300" s="1556"/>
      <c r="AC300" s="1556"/>
      <c r="AD300" s="1556"/>
      <c r="AE300" s="1556"/>
      <c r="AF300" s="1556">
        <v>11</v>
      </c>
    </row>
    <row r="301" spans="1:32" ht="11.45" customHeight="1">
      <c r="A301" s="918"/>
      <c r="B301" s="1556"/>
      <c r="D301" s="1556"/>
      <c r="K301" s="1556"/>
      <c r="N301" s="1556"/>
      <c r="O301" s="1556"/>
      <c r="P301" s="1556"/>
      <c r="Q301" s="1556"/>
      <c r="S301" s="1556"/>
      <c r="T301" s="1556"/>
      <c r="U301" s="1556"/>
      <c r="V301" s="1556"/>
      <c r="W301" s="1556"/>
      <c r="X301" s="1556"/>
      <c r="Y301" s="1556"/>
      <c r="Z301" s="1556"/>
      <c r="AA301" s="1556"/>
      <c r="AB301" s="1556"/>
      <c r="AC301" s="1556"/>
      <c r="AD301" s="1556"/>
      <c r="AE301" s="1556"/>
      <c r="AF301" s="1556">
        <v>11</v>
      </c>
    </row>
    <row r="302" spans="1:32" ht="11.45" customHeight="1">
      <c r="A302" s="918"/>
      <c r="B302" s="1556"/>
      <c r="D302" s="1556"/>
      <c r="K302" s="1556"/>
      <c r="N302" s="1556"/>
      <c r="O302" s="1556"/>
      <c r="P302" s="1556"/>
      <c r="Q302" s="1556"/>
      <c r="S302" s="1556"/>
      <c r="T302" s="1556"/>
      <c r="U302" s="1556"/>
      <c r="V302" s="1556"/>
      <c r="W302" s="1556"/>
      <c r="X302" s="1556"/>
      <c r="Y302" s="1556"/>
      <c r="Z302" s="1556"/>
      <c r="AA302" s="1556"/>
      <c r="AB302" s="1556"/>
      <c r="AC302" s="1556"/>
      <c r="AD302" s="1556"/>
      <c r="AE302" s="1556"/>
      <c r="AF302" s="1556">
        <v>11</v>
      </c>
    </row>
    <row r="303" spans="1:32" ht="11.25" hidden="1" customHeight="1">
      <c r="A303" s="915" t="s">
        <v>82</v>
      </c>
      <c r="B303" s="1085">
        <v>0</v>
      </c>
      <c r="C303" s="1561">
        <v>0</v>
      </c>
      <c r="D303" s="1560">
        <v>3</v>
      </c>
      <c r="E303" s="1556">
        <v>7</v>
      </c>
      <c r="F303" s="1556">
        <v>54</v>
      </c>
      <c r="G303" s="1556">
        <v>10</v>
      </c>
      <c r="H303" s="1556">
        <v>0</v>
      </c>
      <c r="I303" s="1556">
        <v>40</v>
      </c>
      <c r="J303" s="1556">
        <v>102</v>
      </c>
      <c r="K303" s="1085">
        <v>9</v>
      </c>
      <c r="L303" s="1561">
        <v>5</v>
      </c>
      <c r="M303" s="1561">
        <v>3</v>
      </c>
      <c r="N303" s="1085">
        <v>3</v>
      </c>
      <c r="O303" s="1085">
        <v>3</v>
      </c>
      <c r="P303" s="1085">
        <v>3</v>
      </c>
      <c r="Q303" s="1085">
        <v>3</v>
      </c>
      <c r="R303" s="1561">
        <v>10</v>
      </c>
      <c r="S303" s="1085">
        <v>34</v>
      </c>
      <c r="T303" s="1085">
        <v>9</v>
      </c>
      <c r="U303" s="479">
        <v>8</v>
      </c>
      <c r="V303" s="1085">
        <v>8</v>
      </c>
      <c r="W303" s="1085">
        <v>8</v>
      </c>
      <c r="X303" s="1085">
        <v>8</v>
      </c>
      <c r="Y303" s="1085">
        <v>8</v>
      </c>
      <c r="Z303" s="1085">
        <v>8</v>
      </c>
      <c r="AA303" s="1557">
        <v>8</v>
      </c>
      <c r="AB303" s="1557">
        <v>8</v>
      </c>
      <c r="AC303" s="1557">
        <v>8</v>
      </c>
      <c r="AD303" s="1557">
        <v>8</v>
      </c>
      <c r="AE303" s="1557">
        <v>8</v>
      </c>
      <c r="AF303" s="1556">
        <v>11</v>
      </c>
    </row>
  </sheetData>
  <sheetProtection formatColumns="0" formatRows="0" insertRows="0" deleteColumns="0" deleteRows="0" sort="0" autoFilter="0"/>
  <mergeCells count="18">
    <mergeCell ref="A120:A130"/>
    <mergeCell ref="E21:I21"/>
    <mergeCell ref="E22:I22"/>
    <mergeCell ref="A33:A40"/>
    <mergeCell ref="B34:B39"/>
    <mergeCell ref="A41:A43"/>
    <mergeCell ref="A67:A68"/>
    <mergeCell ref="A82:A90"/>
    <mergeCell ref="A91:A95"/>
    <mergeCell ref="A96:A98"/>
    <mergeCell ref="A99:A111"/>
    <mergeCell ref="A115:A119"/>
    <mergeCell ref="B2:B7"/>
    <mergeCell ref="J25:J29"/>
    <mergeCell ref="F25:G25"/>
    <mergeCell ref="F26:G26"/>
    <mergeCell ref="F27:G27"/>
    <mergeCell ref="E28:G28"/>
  </mergeCells>
  <dataValidations count="12">
    <dataValidation type="list" allowBlank="1" showInputMessage="1" showErrorMessage="1" errorTitle="Ошибка" error="Выберите значение из списка" prompt="Выберите значение из списка" sqref="H7:I7">
      <formula1>kind_of_purchase_method</formula1>
    </dataValidation>
    <dataValidation type="textLength" operator="lessThanOrEqual" allowBlank="1" showInputMessage="1" showErrorMessage="1" errorTitle="Ошибка" error="Допускается ввод не более 900 символов!" prompt="Введите наименование прочих расходов" sqref="F12 F10 H70:I70">
      <formula1>900</formula1>
    </dataValidation>
    <dataValidation type="textLength" operator="lessThanOrEqual" allowBlank="1" showInputMessage="1" showErrorMessage="1" errorTitle="Ошибка" error="Допускается ввод не более 900 символов!" sqref="G4 H34:I34 H39:I39">
      <formula1>900</formula1>
    </dataValidation>
    <dataValidation type="decimal" allowBlank="1" showErrorMessage="1" errorTitle="Ошибка" error="Допускается ввод только неотрицательных чисел!" sqref="H67:I67 H69:I69 H91:I94 H127:I127 H30:I30 H32:I33 H35:I38 H40:I65 H82:I86 H17:I17 H9:I13 H15:I15 H96:I119 H74:I74 H88:I89 H4:I6">
      <formula1>0</formula1>
      <formula2>9.99999999999999E+23</formula2>
    </dataValidation>
    <dataValidation type="textLength" operator="lessThanOrEqual" allowBlank="1" showInputMessage="1" showErrorMessage="1" errorTitle="Ошибка" error="Допускается ввод не более 900 символов!" prompt="Введите источник тепловой энергии" sqref="A1:XFD1">
      <formula1>900</formula1>
    </dataValidation>
    <dataValidation type="list" allowBlank="1" showInputMessage="1" showErrorMessage="1" errorTitle="Ошибка" error="Выберите значение из списка" prompt="Выберите значение из списка" sqref="F2">
      <formula1>kind_of_fuels</formula1>
    </dataValidation>
    <dataValidation type="list" allowBlank="1" showInputMessage="1" showErrorMessage="1" errorTitle="Ошибка" error="Выберите значение из списка" prompt="Выберите значение из списка" sqref="G93">
      <formula1>kind_of_volume_te_unit</formula1>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H128:I130 H81:I81">
      <formula1>900</formula1>
    </dataValidation>
    <dataValidation type="decimal" allowBlank="1" showErrorMessage="1" errorTitle="Ошибка" error="Допускается ввод только действительных чисел!" sqref="H72:I73">
      <formula1>-9.99999999999999E+23</formula1>
      <formula2>9.99999999999999E+23</formula2>
    </dataValidation>
    <dataValidation type="decimal" allowBlank="1" showErrorMessage="1" errorTitle="Ошибка" error="Допускается ввод только действительных чисел!" sqref="H123:I123 H120:I120 H126:I126 H75:I80">
      <formula1>-9.99999999999999E+37</formula1>
      <formula2>9.99999999999999E+37</formula2>
    </dataValidation>
    <dataValidation type="decimal" allowBlank="1" showErrorMessage="1" errorTitle="Ошибка" error="Введите значение от 0 до 100%" sqref="H90:I90 H95:I95">
      <formula1>0</formula1>
      <formula2>100</formula2>
    </dataValidation>
    <dataValidation allowBlank="1" showInputMessage="1" showErrorMessage="1" prompt="Для выбора выполните двойной щелчок левой клавиши мыши по соответствующей ячейке." sqref="H68:I68 H66:I66"/>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9" tint="-0.249977111117893"/>
  </sheetPr>
  <dimension ref="A1:CF29"/>
  <sheetViews>
    <sheetView showGridLines="0" topLeftCell="C4" zoomScale="90" workbookViewId="0"/>
  </sheetViews>
  <sheetFormatPr defaultColWidth="9.140625" defaultRowHeight="11.25" customHeight="1"/>
  <cols>
    <col min="1" max="1" width="14.7109375" style="871" hidden="1" customWidth="1"/>
    <col min="2" max="2" width="17" style="1557" hidden="1" customWidth="1"/>
    <col min="3" max="3" width="3" style="1560" customWidth="1"/>
    <col min="4" max="4" width="1.85546875" style="1560" hidden="1" customWidth="1"/>
    <col min="5" max="6" width="7" style="1560" customWidth="1"/>
    <col min="7" max="7" width="29" style="1560" customWidth="1"/>
    <col min="8" max="8" width="3.7109375" style="1560" customWidth="1"/>
    <col min="9" max="9" width="5" style="1560" customWidth="1"/>
    <col min="10" max="11" width="24" style="1560" customWidth="1"/>
    <col min="12" max="12" width="3" style="1560" customWidth="1"/>
    <col min="13" max="13" width="6" style="1560" customWidth="1"/>
    <col min="14" max="14" width="25" style="1560" customWidth="1"/>
    <col min="15" max="18" width="18" style="1560" customWidth="1"/>
    <col min="19" max="19" width="93" style="1560" customWidth="1"/>
    <col min="20" max="20" width="10" style="1560" customWidth="1"/>
    <col min="21" max="21" width="10" style="1567" customWidth="1"/>
    <col min="22" max="22" width="11" style="1567" customWidth="1"/>
    <col min="23" max="27" width="10" style="1557" customWidth="1"/>
    <col min="28" max="83" width="8" style="1560" customWidth="1"/>
    <col min="84" max="84" width="9.140625" style="1560" hidden="1"/>
  </cols>
  <sheetData>
    <row r="1" spans="1:84" ht="22.5" hidden="1" customHeight="1">
      <c r="CF1" s="440" t="s">
        <v>14</v>
      </c>
    </row>
    <row r="2" spans="1:84" ht="11.25" hidden="1" customHeight="1">
      <c r="CF2" s="440">
        <v>0</v>
      </c>
    </row>
    <row r="3" spans="1:84" ht="11.25" hidden="1" customHeight="1">
      <c r="CF3" s="440">
        <v>0</v>
      </c>
    </row>
    <row r="4" spans="1:84" ht="3" customHeight="1">
      <c r="C4" s="444"/>
      <c r="D4" s="444"/>
      <c r="E4" s="444"/>
      <c r="F4" s="444"/>
      <c r="G4" s="444"/>
      <c r="H4" s="444"/>
      <c r="I4" s="444"/>
      <c r="J4" s="444"/>
      <c r="K4" s="102"/>
      <c r="L4" s="102"/>
      <c r="M4" s="102"/>
      <c r="CF4" s="440">
        <v>3</v>
      </c>
    </row>
    <row r="5" spans="1:84" ht="29.25" customHeight="1">
      <c r="C5" s="444"/>
      <c r="D5" s="985"/>
      <c r="E5" s="2170" t="str">
        <f>FHD20_NAME_FORM</f>
        <v>Форма 11. Информация о расходах на капитальный и текущий ремонт основных средств</v>
      </c>
      <c r="F5" s="2170"/>
      <c r="G5" s="2170"/>
      <c r="H5" s="2170"/>
      <c r="I5" s="2170"/>
      <c r="J5" s="2170"/>
      <c r="K5" s="2170"/>
      <c r="L5" s="548"/>
      <c r="M5" s="548"/>
      <c r="CF5" s="440">
        <v>28</v>
      </c>
    </row>
    <row r="6" spans="1:84" s="1560" customFormat="1" ht="16.899999999999999" customHeight="1">
      <c r="A6" s="545"/>
      <c r="B6" s="692"/>
      <c r="C6" s="444"/>
      <c r="D6" s="986"/>
      <c r="E6" s="2115" t="str">
        <f>IF(org=0,"Не определено",org)</f>
        <v>ООО "ЗЕНИТ ЭНЕРГО"</v>
      </c>
      <c r="F6" s="2115"/>
      <c r="G6" s="2115"/>
      <c r="H6" s="2115"/>
      <c r="I6" s="2115"/>
      <c r="J6" s="2115"/>
      <c r="K6" s="2115"/>
      <c r="L6" s="548"/>
      <c r="M6" s="548"/>
      <c r="U6" s="546"/>
      <c r="V6" s="546"/>
      <c r="W6" s="547"/>
      <c r="X6" s="692"/>
      <c r="Y6" s="692"/>
      <c r="Z6" s="692"/>
      <c r="AA6" s="692"/>
      <c r="CF6" s="691">
        <v>16</v>
      </c>
    </row>
    <row r="7" spans="1:84" ht="11.45" customHeight="1">
      <c r="C7" s="444"/>
      <c r="D7" s="444"/>
      <c r="E7" s="444"/>
      <c r="F7" s="444"/>
      <c r="G7" s="457"/>
      <c r="H7" s="457"/>
      <c r="I7" s="457"/>
      <c r="J7" s="457"/>
      <c r="K7" s="549"/>
      <c r="L7" s="549"/>
      <c r="M7" s="549"/>
      <c r="R7" s="687"/>
      <c r="CF7" s="440">
        <v>11</v>
      </c>
    </row>
    <row r="8" spans="1:84" s="1566" customFormat="1" ht="4.1500000000000004" customHeight="1">
      <c r="A8" s="556"/>
      <c r="B8" s="501"/>
      <c r="C8" s="286"/>
      <c r="D8" s="286"/>
      <c r="E8" s="286"/>
      <c r="F8" s="286"/>
      <c r="G8" s="903"/>
      <c r="H8" s="903"/>
      <c r="I8" s="903"/>
      <c r="J8" s="903"/>
      <c r="K8" s="946"/>
      <c r="L8" s="946"/>
      <c r="M8" s="946"/>
      <c r="R8" s="947"/>
      <c r="U8" s="546"/>
      <c r="V8" s="546"/>
      <c r="W8" s="557"/>
      <c r="X8" s="501"/>
      <c r="Y8" s="501"/>
      <c r="Z8" s="501"/>
      <c r="AA8" s="501"/>
      <c r="CF8" s="431">
        <v>4</v>
      </c>
    </row>
    <row r="9" spans="1:84" ht="19.899999999999999" customHeight="1">
      <c r="D9" s="225"/>
      <c r="E9" s="2038" t="s">
        <v>299</v>
      </c>
      <c r="F9" s="2043"/>
      <c r="G9" s="2043"/>
      <c r="H9" s="2043"/>
      <c r="I9" s="2043"/>
      <c r="J9" s="2043"/>
      <c r="K9" s="2043"/>
      <c r="L9" s="2043"/>
      <c r="M9" s="2043"/>
      <c r="N9" s="2043"/>
      <c r="O9" s="2043"/>
      <c r="P9" s="2043"/>
      <c r="Q9" s="2043"/>
      <c r="R9" s="2037"/>
      <c r="S9" s="2066" t="s">
        <v>300</v>
      </c>
      <c r="T9" s="270"/>
      <c r="CF9" s="440">
        <v>19</v>
      </c>
    </row>
    <row r="10" spans="1:84" ht="48.2" customHeight="1">
      <c r="D10" s="486" t="s">
        <v>88</v>
      </c>
      <c r="E10" s="2066" t="s">
        <v>88</v>
      </c>
      <c r="F10" s="2066"/>
      <c r="G10" s="456" t="s">
        <v>301</v>
      </c>
      <c r="H10" s="2066" t="s">
        <v>88</v>
      </c>
      <c r="I10" s="2066"/>
      <c r="J10" s="456" t="s">
        <v>601</v>
      </c>
      <c r="K10" s="456" t="s">
        <v>602</v>
      </c>
      <c r="L10" s="2066" t="s">
        <v>88</v>
      </c>
      <c r="M10" s="2066"/>
      <c r="N10" s="456" t="s">
        <v>603</v>
      </c>
      <c r="O10" s="456" t="s">
        <v>604</v>
      </c>
      <c r="P10" s="456" t="s">
        <v>605</v>
      </c>
      <c r="Q10" s="456" t="s">
        <v>606</v>
      </c>
      <c r="R10" s="456" t="s">
        <v>607</v>
      </c>
      <c r="S10" s="2066"/>
      <c r="T10" s="270"/>
      <c r="CF10" s="440">
        <v>46</v>
      </c>
    </row>
    <row r="11" spans="1:84" s="1567" customFormat="1" ht="15" hidden="1" customHeight="1">
      <c r="A11" s="980"/>
      <c r="D11" s="953" t="s">
        <v>109</v>
      </c>
      <c r="E11" s="953"/>
      <c r="F11" s="953" t="s">
        <v>110</v>
      </c>
      <c r="G11" s="953" t="s">
        <v>90</v>
      </c>
      <c r="H11" s="953"/>
      <c r="I11" s="953" t="s">
        <v>91</v>
      </c>
      <c r="J11" s="953" t="s">
        <v>111</v>
      </c>
      <c r="K11" s="953" t="s">
        <v>92</v>
      </c>
      <c r="L11" s="953"/>
      <c r="M11" s="953" t="s">
        <v>93</v>
      </c>
      <c r="N11" s="953" t="s">
        <v>112</v>
      </c>
      <c r="O11" s="953" t="s">
        <v>149</v>
      </c>
      <c r="P11" s="953" t="s">
        <v>150</v>
      </c>
      <c r="Q11" s="953" t="s">
        <v>151</v>
      </c>
      <c r="R11" s="953" t="s">
        <v>152</v>
      </c>
      <c r="S11" s="953" t="s">
        <v>153</v>
      </c>
      <c r="U11" s="546"/>
      <c r="V11" s="546"/>
      <c r="W11" s="546"/>
      <c r="CF11" s="446">
        <v>0</v>
      </c>
    </row>
    <row r="12" spans="1:84" s="1560" customFormat="1" ht="1.1499999999999999" customHeight="1">
      <c r="A12" s="550"/>
      <c r="B12" s="297"/>
      <c r="D12" s="483"/>
      <c r="E12" s="282"/>
      <c r="F12" s="282"/>
      <c r="Q12" s="551"/>
      <c r="R12" s="552"/>
      <c r="T12" s="553"/>
      <c r="U12" s="554"/>
      <c r="V12" s="554"/>
      <c r="W12" s="555"/>
      <c r="X12" s="297"/>
      <c r="Y12" s="297"/>
      <c r="Z12" s="297"/>
      <c r="AA12" s="297"/>
      <c r="CF12" s="444">
        <v>1</v>
      </c>
    </row>
    <row r="13" spans="1:84" s="1566" customFormat="1" ht="1.1499999999999999" customHeight="1">
      <c r="A13" s="556"/>
      <c r="B13" s="501"/>
      <c r="D13" s="483" t="s">
        <v>375</v>
      </c>
      <c r="E13" s="495"/>
      <c r="F13" s="495"/>
      <c r="G13" s="495"/>
      <c r="H13" s="495"/>
      <c r="I13" s="495"/>
      <c r="J13" s="495"/>
      <c r="K13" s="495"/>
      <c r="L13" s="495"/>
      <c r="M13" s="495"/>
      <c r="N13" s="495"/>
      <c r="O13" s="495"/>
      <c r="P13" s="495"/>
      <c r="Q13" s="495"/>
      <c r="R13" s="495"/>
      <c r="T13" s="270"/>
      <c r="U13" s="546"/>
      <c r="V13" s="546"/>
      <c r="W13" s="557"/>
      <c r="X13" s="501"/>
      <c r="Y13" s="501"/>
      <c r="Z13" s="501"/>
      <c r="AA13" s="501"/>
      <c r="CF13" s="431">
        <v>1</v>
      </c>
    </row>
    <row r="14" spans="1:84" s="1774" customFormat="1" ht="15" hidden="1" customHeight="1">
      <c r="A14" s="558" t="s">
        <v>117</v>
      </c>
      <c r="B14" s="559"/>
      <c r="C14" s="559"/>
      <c r="D14" s="2280" t="s">
        <v>109</v>
      </c>
      <c r="E14" s="2277" t="s">
        <v>105</v>
      </c>
      <c r="F14" s="2278"/>
      <c r="G14" s="2279"/>
      <c r="H14" s="2283" t="str">
        <f>IF(A14="","",INDEX(DIFFERENTIATION_UNMERGE_VD,MATCH(A14,DIFFERENTIATION_ID_DIFF,0)))</f>
        <v>Производство тепловой энергии. Некомбинированная выработка; Передача. Тепловая энергия; Сбыт. Тепловая энергия</v>
      </c>
      <c r="I14" s="2283"/>
      <c r="J14" s="2283"/>
      <c r="K14" s="2283"/>
      <c r="L14" s="2283"/>
      <c r="M14" s="2283"/>
      <c r="N14" s="2283"/>
      <c r="O14" s="2283"/>
      <c r="P14" s="2283"/>
      <c r="Q14" s="2283"/>
      <c r="R14" s="2283"/>
      <c r="S14" s="654"/>
      <c r="T14" s="651"/>
      <c r="U14" s="560"/>
      <c r="V14" s="560"/>
      <c r="W14" s="561"/>
      <c r="X14" s="561"/>
      <c r="Y14" s="561"/>
      <c r="Z14" s="561"/>
      <c r="AA14" s="562"/>
      <c r="AB14" s="563"/>
      <c r="AC14" s="2275"/>
      <c r="AD14" s="564"/>
      <c r="AE14" s="565" t="s">
        <v>22</v>
      </c>
      <c r="AF14" s="565"/>
      <c r="AG14" s="566" t="s">
        <v>608</v>
      </c>
      <c r="AH14" s="567">
        <v>3</v>
      </c>
      <c r="AI14" s="560"/>
      <c r="AJ14" s="560"/>
      <c r="AK14" s="560"/>
      <c r="AL14" s="560"/>
      <c r="AM14" s="560"/>
      <c r="AN14" s="560"/>
      <c r="AO14" s="560"/>
      <c r="AP14" s="560"/>
      <c r="AQ14" s="560"/>
      <c r="AR14" s="560"/>
      <c r="AS14" s="560"/>
      <c r="AT14" s="560"/>
      <c r="AU14" s="560"/>
      <c r="AV14" s="560"/>
      <c r="AW14" s="560"/>
      <c r="AX14" s="560"/>
      <c r="AY14" s="560"/>
      <c r="AZ14" s="560"/>
      <c r="BA14" s="560"/>
      <c r="BB14" s="560"/>
      <c r="BC14" s="560"/>
      <c r="BD14" s="560"/>
      <c r="BE14" s="560"/>
      <c r="BF14" s="560"/>
      <c r="BG14" s="560"/>
      <c r="BH14" s="560"/>
      <c r="BI14" s="560"/>
      <c r="BJ14" s="560"/>
      <c r="BK14" s="560"/>
      <c r="BL14" s="560"/>
      <c r="BM14" s="560"/>
      <c r="BN14" s="560"/>
      <c r="BO14" s="560"/>
      <c r="BP14" s="560"/>
      <c r="BQ14" s="560"/>
      <c r="BR14" s="560"/>
      <c r="BS14" s="560"/>
      <c r="BT14" s="560"/>
      <c r="BU14" s="560"/>
      <c r="BV14" s="561"/>
      <c r="BW14" s="561"/>
      <c r="BX14" s="561"/>
      <c r="BY14" s="561"/>
      <c r="BZ14" s="561"/>
      <c r="CA14" s="561"/>
      <c r="CB14" s="561"/>
      <c r="CC14" s="561"/>
      <c r="CD14" s="561"/>
      <c r="CE14" s="561"/>
      <c r="CF14" s="229">
        <v>0</v>
      </c>
    </row>
    <row r="15" spans="1:84" s="1774" customFormat="1" ht="15" hidden="1" customHeight="1">
      <c r="A15" s="558"/>
      <c r="B15" s="559"/>
      <c r="C15" s="559"/>
      <c r="D15" s="2281"/>
      <c r="E15" s="2277" t="s">
        <v>563</v>
      </c>
      <c r="F15" s="2278"/>
      <c r="G15" s="2279"/>
      <c r="H15" s="2283" t="str">
        <f>IF(A14="","",INDEX(DIFFERENTIATION_UNMERGE_AREA,MATCH(A14,DIFFERENTIATION_ID_DIFF,0)))</f>
        <v>Территория 1</v>
      </c>
      <c r="I15" s="2283"/>
      <c r="J15" s="2283"/>
      <c r="K15" s="2283"/>
      <c r="L15" s="2283"/>
      <c r="M15" s="2283"/>
      <c r="N15" s="2283"/>
      <c r="O15" s="2283"/>
      <c r="P15" s="2283"/>
      <c r="Q15" s="2283"/>
      <c r="R15" s="2283"/>
      <c r="S15" s="654"/>
      <c r="T15" s="651"/>
      <c r="U15" s="560"/>
      <c r="V15" s="560"/>
      <c r="W15" s="561"/>
      <c r="X15" s="561"/>
      <c r="Y15" s="561"/>
      <c r="Z15" s="561"/>
      <c r="AA15" s="562"/>
      <c r="AB15" s="563"/>
      <c r="AC15" s="2275"/>
      <c r="AD15" s="564"/>
      <c r="AE15" s="565"/>
      <c r="AF15" s="565"/>
      <c r="AG15" s="566"/>
      <c r="AH15" s="567"/>
      <c r="AI15" s="560"/>
      <c r="AJ15" s="560"/>
      <c r="AK15" s="560"/>
      <c r="AL15" s="560"/>
      <c r="AM15" s="560"/>
      <c r="AN15" s="560"/>
      <c r="AO15" s="560"/>
      <c r="AP15" s="560"/>
      <c r="AQ15" s="560"/>
      <c r="AR15" s="560"/>
      <c r="AS15" s="560"/>
      <c r="AT15" s="560"/>
      <c r="AU15" s="560"/>
      <c r="AV15" s="560"/>
      <c r="AW15" s="560"/>
      <c r="AX15" s="560"/>
      <c r="AY15" s="560"/>
      <c r="AZ15" s="560"/>
      <c r="BA15" s="560"/>
      <c r="BB15" s="560"/>
      <c r="BC15" s="560"/>
      <c r="BD15" s="560"/>
      <c r="BE15" s="560"/>
      <c r="BF15" s="560"/>
      <c r="BG15" s="560"/>
      <c r="BH15" s="560"/>
      <c r="BI15" s="560"/>
      <c r="BJ15" s="560"/>
      <c r="BK15" s="560"/>
      <c r="BL15" s="560"/>
      <c r="BM15" s="560"/>
      <c r="BN15" s="560"/>
      <c r="BO15" s="560"/>
      <c r="BP15" s="560"/>
      <c r="BQ15" s="560"/>
      <c r="BR15" s="560"/>
      <c r="BS15" s="560"/>
      <c r="BT15" s="560"/>
      <c r="BU15" s="560"/>
      <c r="BV15" s="561"/>
      <c r="BW15" s="561"/>
      <c r="BX15" s="561"/>
      <c r="BY15" s="561"/>
      <c r="BZ15" s="561"/>
      <c r="CA15" s="561"/>
      <c r="CB15" s="561"/>
      <c r="CC15" s="561"/>
      <c r="CD15" s="561"/>
      <c r="CE15" s="561"/>
      <c r="CF15" s="229">
        <v>0</v>
      </c>
    </row>
    <row r="16" spans="1:84" s="1774" customFormat="1" ht="15" hidden="1" customHeight="1">
      <c r="A16" s="558"/>
      <c r="B16" s="559"/>
      <c r="C16" s="559"/>
      <c r="D16" s="2281"/>
      <c r="E16" s="2277" t="s">
        <v>564</v>
      </c>
      <c r="F16" s="2278"/>
      <c r="G16" s="2279"/>
      <c r="H16" s="2283" t="str">
        <f>IF(A14="","",INDEX(DIFFERENTIATION_UNMERGE_SYSTEM,MATCH(A14,DIFFERENTIATION_ID_DIFF,0)))</f>
        <v>без дифференциации</v>
      </c>
      <c r="I16" s="2283"/>
      <c r="J16" s="2283"/>
      <c r="K16" s="2283"/>
      <c r="L16" s="2283"/>
      <c r="M16" s="2283"/>
      <c r="N16" s="2283"/>
      <c r="O16" s="2283"/>
      <c r="P16" s="2283"/>
      <c r="Q16" s="2283"/>
      <c r="R16" s="2283"/>
      <c r="S16" s="654"/>
      <c r="T16" s="651"/>
      <c r="U16" s="560"/>
      <c r="V16" s="560"/>
      <c r="W16" s="561"/>
      <c r="X16" s="561"/>
      <c r="Y16" s="561"/>
      <c r="Z16" s="561"/>
      <c r="AA16" s="562"/>
      <c r="AB16" s="563"/>
      <c r="AC16" s="2275"/>
      <c r="AD16" s="564"/>
      <c r="AE16" s="565"/>
      <c r="AF16" s="565"/>
      <c r="AG16" s="566"/>
      <c r="AH16" s="567"/>
      <c r="AI16" s="560"/>
      <c r="AJ16" s="560"/>
      <c r="AK16" s="560"/>
      <c r="AL16" s="560"/>
      <c r="AM16" s="560"/>
      <c r="AN16" s="560"/>
      <c r="AO16" s="560"/>
      <c r="AP16" s="560"/>
      <c r="AQ16" s="560"/>
      <c r="AR16" s="560"/>
      <c r="AS16" s="560"/>
      <c r="AT16" s="560"/>
      <c r="AU16" s="560"/>
      <c r="AV16" s="560"/>
      <c r="AW16" s="560"/>
      <c r="AX16" s="560"/>
      <c r="AY16" s="560"/>
      <c r="AZ16" s="560"/>
      <c r="BA16" s="560"/>
      <c r="BB16" s="560"/>
      <c r="BC16" s="560"/>
      <c r="BD16" s="560"/>
      <c r="BE16" s="560"/>
      <c r="BF16" s="560"/>
      <c r="BG16" s="560"/>
      <c r="BH16" s="560"/>
      <c r="BI16" s="560"/>
      <c r="BJ16" s="560"/>
      <c r="BK16" s="560"/>
      <c r="BL16" s="560"/>
      <c r="BM16" s="560"/>
      <c r="BN16" s="560"/>
      <c r="BO16" s="560"/>
      <c r="BP16" s="560"/>
      <c r="BQ16" s="560"/>
      <c r="BR16" s="560"/>
      <c r="BS16" s="560"/>
      <c r="BT16" s="560"/>
      <c r="BU16" s="560"/>
      <c r="BV16" s="561"/>
      <c r="BW16" s="561"/>
      <c r="BX16" s="561"/>
      <c r="BY16" s="561"/>
      <c r="BZ16" s="561"/>
      <c r="CA16" s="561"/>
      <c r="CB16" s="561"/>
      <c r="CC16" s="561"/>
      <c r="CD16" s="561"/>
      <c r="CE16" s="561"/>
      <c r="CF16" s="229">
        <v>0</v>
      </c>
    </row>
    <row r="17" spans="1:84" s="1774" customFormat="1" ht="22.5" hidden="1" customHeight="1">
      <c r="A17" s="568"/>
      <c r="B17" s="352"/>
      <c r="C17" s="347"/>
      <c r="D17" s="2281"/>
      <c r="E17" s="2276" t="s">
        <v>609</v>
      </c>
      <c r="F17" s="2276"/>
      <c r="G17" s="2276"/>
      <c r="H17" s="2276"/>
      <c r="I17" s="2276"/>
      <c r="J17" s="2276"/>
      <c r="K17" s="2276"/>
      <c r="L17" s="2276"/>
      <c r="M17" s="2276"/>
      <c r="N17" s="2276"/>
      <c r="O17" s="2276"/>
      <c r="P17" s="2276"/>
      <c r="Q17" s="493">
        <f>SUMIF(T18:T19,"i",Q18:Q19)</f>
        <v>0</v>
      </c>
      <c r="R17" s="945"/>
      <c r="S17" s="825" t="s">
        <v>610</v>
      </c>
      <c r="T17" s="652" t="s">
        <v>611</v>
      </c>
      <c r="U17" s="2185">
        <v>1</v>
      </c>
      <c r="V17" s="2185" t="str">
        <f>INDEX(B_FHD_FLAG_INDEX_1,1,MATCH(A14,B_FHD_FLAG_DIFFERENTIATION,0))</f>
        <v>отсутствует</v>
      </c>
      <c r="W17" s="352"/>
      <c r="X17" s="352"/>
      <c r="Y17" s="352"/>
      <c r="Z17" s="352"/>
      <c r="AA17" s="446"/>
      <c r="AB17" s="352"/>
      <c r="AC17" s="2275"/>
      <c r="AD17" s="564"/>
      <c r="AE17" s="352"/>
      <c r="AF17" s="352"/>
      <c r="AG17" s="446"/>
      <c r="AH17" s="446"/>
      <c r="AI17" s="446"/>
      <c r="AJ17" s="446"/>
      <c r="AK17" s="446"/>
      <c r="AL17" s="446"/>
      <c r="AM17" s="446"/>
      <c r="AN17" s="446"/>
      <c r="AO17" s="446"/>
      <c r="AP17" s="446"/>
      <c r="AQ17" s="446"/>
      <c r="AR17" s="446"/>
      <c r="AS17" s="446"/>
      <c r="AT17" s="446"/>
      <c r="AU17" s="446"/>
      <c r="AV17" s="446"/>
      <c r="AW17" s="446"/>
      <c r="AX17" s="446"/>
      <c r="AY17" s="446"/>
      <c r="AZ17" s="446"/>
      <c r="BA17" s="446"/>
      <c r="BB17" s="446"/>
      <c r="BC17" s="446"/>
      <c r="BD17" s="446"/>
      <c r="BE17" s="446"/>
      <c r="BF17" s="446"/>
      <c r="BG17" s="446"/>
      <c r="BH17" s="446"/>
      <c r="BI17" s="446"/>
      <c r="BJ17" s="446"/>
      <c r="BK17" s="446"/>
      <c r="BL17" s="446"/>
      <c r="BM17" s="446"/>
      <c r="BN17" s="446"/>
      <c r="BO17" s="446"/>
      <c r="BP17" s="446"/>
      <c r="BQ17" s="446"/>
      <c r="BR17" s="446"/>
      <c r="BS17" s="446"/>
      <c r="BT17" s="446"/>
      <c r="BU17" s="446"/>
      <c r="BV17" s="352"/>
      <c r="BW17" s="352"/>
      <c r="BX17" s="352"/>
      <c r="BY17" s="352"/>
      <c r="BZ17" s="352"/>
      <c r="CA17" s="352"/>
      <c r="CB17" s="352"/>
      <c r="CC17" s="352"/>
      <c r="CD17" s="352"/>
      <c r="CE17" s="352"/>
      <c r="CF17" s="229">
        <v>0</v>
      </c>
    </row>
    <row r="18" spans="1:84" s="1774" customFormat="1" ht="11.25" hidden="1" customHeight="1">
      <c r="A18" s="569"/>
      <c r="B18" s="446"/>
      <c r="C18" s="446"/>
      <c r="D18" s="2281"/>
      <c r="E18" s="570"/>
      <c r="F18" s="570">
        <v>0</v>
      </c>
      <c r="G18" s="570"/>
      <c r="H18" s="570"/>
      <c r="I18" s="570"/>
      <c r="J18" s="570"/>
      <c r="K18" s="570"/>
      <c r="L18" s="570"/>
      <c r="M18" s="570"/>
      <c r="N18" s="570"/>
      <c r="O18" s="570"/>
      <c r="P18" s="570"/>
      <c r="Q18" s="570"/>
      <c r="R18" s="570"/>
      <c r="S18" s="571"/>
      <c r="T18" s="653"/>
      <c r="U18" s="2185"/>
      <c r="V18" s="2185"/>
      <c r="W18" s="446"/>
      <c r="X18" s="446"/>
      <c r="Y18" s="446"/>
      <c r="Z18" s="446"/>
      <c r="AA18" s="446"/>
      <c r="AB18" s="352"/>
      <c r="AC18" s="2275"/>
      <c r="AD18" s="564"/>
      <c r="AE18" s="352"/>
      <c r="AF18" s="352"/>
      <c r="AG18" s="446"/>
      <c r="AH18" s="446"/>
      <c r="AI18" s="446"/>
      <c r="AJ18" s="446"/>
      <c r="AK18" s="446"/>
      <c r="AL18" s="446"/>
      <c r="AM18" s="446"/>
      <c r="AN18" s="446"/>
      <c r="AO18" s="446"/>
      <c r="AP18" s="446"/>
      <c r="AQ18" s="446"/>
      <c r="AR18" s="446"/>
      <c r="AS18" s="446"/>
      <c r="AT18" s="446"/>
      <c r="AU18" s="446"/>
      <c r="AV18" s="446"/>
      <c r="AW18" s="446"/>
      <c r="AX18" s="446"/>
      <c r="AY18" s="446"/>
      <c r="AZ18" s="446"/>
      <c r="BA18" s="446"/>
      <c r="BB18" s="446"/>
      <c r="BC18" s="446"/>
      <c r="BD18" s="446"/>
      <c r="BE18" s="446"/>
      <c r="BF18" s="446"/>
      <c r="BG18" s="446"/>
      <c r="BH18" s="446"/>
      <c r="BI18" s="446"/>
      <c r="BJ18" s="446"/>
      <c r="BK18" s="446"/>
      <c r="BL18" s="446"/>
      <c r="BM18" s="446"/>
      <c r="BN18" s="446"/>
      <c r="BO18" s="446"/>
      <c r="BP18" s="446"/>
      <c r="BQ18" s="446"/>
      <c r="BR18" s="446"/>
      <c r="BS18" s="446"/>
      <c r="BT18" s="446"/>
      <c r="BU18" s="446"/>
      <c r="BV18" s="446"/>
      <c r="BW18" s="446"/>
      <c r="BX18" s="446"/>
      <c r="BY18" s="446"/>
      <c r="BZ18" s="446"/>
      <c r="CA18" s="446"/>
      <c r="CB18" s="446"/>
      <c r="CC18" s="446"/>
      <c r="CD18" s="446"/>
      <c r="CE18" s="446"/>
      <c r="CF18" s="229">
        <v>0</v>
      </c>
    </row>
    <row r="19" spans="1:84" s="1774" customFormat="1" ht="11.25" hidden="1" customHeight="1">
      <c r="A19" s="568"/>
      <c r="B19" s="352"/>
      <c r="C19" s="347"/>
      <c r="D19" s="2281"/>
      <c r="E19" s="584" t="s">
        <v>22</v>
      </c>
      <c r="F19" s="585" t="s">
        <v>22</v>
      </c>
      <c r="G19" s="585" t="s">
        <v>22</v>
      </c>
      <c r="H19" s="586" t="s">
        <v>22</v>
      </c>
      <c r="I19" s="586"/>
      <c r="J19" s="586"/>
      <c r="K19" s="586"/>
      <c r="L19" s="586"/>
      <c r="M19" s="586"/>
      <c r="N19" s="586"/>
      <c r="O19" s="586"/>
      <c r="P19" s="586"/>
      <c r="Q19" s="586"/>
      <c r="R19" s="587"/>
      <c r="S19" s="948"/>
      <c r="T19" s="653"/>
      <c r="U19" s="2185"/>
      <c r="V19" s="2185"/>
      <c r="W19" s="352"/>
      <c r="X19" s="352"/>
      <c r="Y19" s="352"/>
      <c r="Z19" s="352"/>
      <c r="AA19" s="446"/>
      <c r="AB19" s="352"/>
      <c r="AC19" s="2275"/>
      <c r="AD19" s="564"/>
      <c r="AE19" s="352"/>
      <c r="AF19" s="352"/>
      <c r="AG19" s="446"/>
      <c r="AH19" s="446"/>
      <c r="AI19" s="446"/>
      <c r="AJ19" s="446"/>
      <c r="AK19" s="446"/>
      <c r="AL19" s="446"/>
      <c r="AM19" s="446"/>
      <c r="AN19" s="446"/>
      <c r="AO19" s="446"/>
      <c r="AP19" s="446"/>
      <c r="AQ19" s="446"/>
      <c r="AR19" s="446"/>
      <c r="AS19" s="446"/>
      <c r="AT19" s="446"/>
      <c r="AU19" s="446"/>
      <c r="AV19" s="446"/>
      <c r="AW19" s="446"/>
      <c r="AX19" s="446"/>
      <c r="AY19" s="446"/>
      <c r="AZ19" s="446"/>
      <c r="BA19" s="446"/>
      <c r="BB19" s="446"/>
      <c r="BC19" s="446"/>
      <c r="BD19" s="446"/>
      <c r="BE19" s="446"/>
      <c r="BF19" s="446"/>
      <c r="BG19" s="446"/>
      <c r="BH19" s="446"/>
      <c r="BI19" s="446"/>
      <c r="BJ19" s="446"/>
      <c r="BK19" s="446"/>
      <c r="BL19" s="446"/>
      <c r="BM19" s="446"/>
      <c r="BN19" s="446"/>
      <c r="BO19" s="446"/>
      <c r="BP19" s="446"/>
      <c r="BQ19" s="446"/>
      <c r="BR19" s="446"/>
      <c r="BS19" s="446"/>
      <c r="BT19" s="446"/>
      <c r="BU19" s="446"/>
      <c r="BV19" s="352"/>
      <c r="BW19" s="352"/>
      <c r="BX19" s="352"/>
      <c r="BY19" s="352"/>
      <c r="BZ19" s="352"/>
      <c r="CA19" s="352"/>
      <c r="CB19" s="352"/>
      <c r="CC19" s="352"/>
      <c r="CD19" s="352"/>
      <c r="CE19" s="352"/>
      <c r="CF19" s="229">
        <v>0</v>
      </c>
    </row>
    <row r="20" spans="1:84" s="1774" customFormat="1" ht="22.5" hidden="1" customHeight="1">
      <c r="A20" s="568"/>
      <c r="B20" s="352"/>
      <c r="C20" s="347"/>
      <c r="D20" s="2281"/>
      <c r="E20" s="2276" t="s">
        <v>612</v>
      </c>
      <c r="F20" s="2276"/>
      <c r="G20" s="2276"/>
      <c r="H20" s="2276"/>
      <c r="I20" s="2276"/>
      <c r="J20" s="2276"/>
      <c r="K20" s="2276"/>
      <c r="L20" s="2276"/>
      <c r="M20" s="2276"/>
      <c r="N20" s="2276"/>
      <c r="O20" s="2276"/>
      <c r="P20" s="2276"/>
      <c r="Q20" s="493">
        <f>SUMIF(T21:T22,"i",Q21:Q22)</f>
        <v>0</v>
      </c>
      <c r="R20" s="945"/>
      <c r="S20" s="644" t="s">
        <v>613</v>
      </c>
      <c r="T20" s="652" t="s">
        <v>611</v>
      </c>
      <c r="U20" s="2185">
        <v>2</v>
      </c>
      <c r="V20" s="2185" t="str">
        <f>INDEX(B_FHD_FLAG_INDEX_2,1,MATCH(A14,B_FHD_FLAG_DIFFERENTIATION,0))</f>
        <v>отсутствует</v>
      </c>
      <c r="W20" s="352"/>
      <c r="X20" s="352"/>
      <c r="Y20" s="352"/>
      <c r="Z20" s="352"/>
      <c r="AA20" s="446"/>
      <c r="AB20" s="352"/>
      <c r="AC20" s="641"/>
      <c r="AD20" s="564"/>
      <c r="AE20" s="352"/>
      <c r="AF20" s="352"/>
      <c r="AG20" s="446"/>
      <c r="AH20" s="446"/>
      <c r="AI20" s="446"/>
      <c r="AJ20" s="446"/>
      <c r="AK20" s="446"/>
      <c r="AL20" s="446"/>
      <c r="AM20" s="446"/>
      <c r="AN20" s="446"/>
      <c r="AO20" s="446"/>
      <c r="AP20" s="446"/>
      <c r="AQ20" s="446"/>
      <c r="AR20" s="446"/>
      <c r="AS20" s="446"/>
      <c r="AT20" s="446"/>
      <c r="AU20" s="446"/>
      <c r="AV20" s="446"/>
      <c r="AW20" s="446"/>
      <c r="AX20" s="446"/>
      <c r="AY20" s="446"/>
      <c r="AZ20" s="446"/>
      <c r="BA20" s="446"/>
      <c r="BB20" s="446"/>
      <c r="BC20" s="446"/>
      <c r="BD20" s="446"/>
      <c r="BE20" s="446"/>
      <c r="BF20" s="446"/>
      <c r="BG20" s="446"/>
      <c r="BH20" s="446"/>
      <c r="BI20" s="446"/>
      <c r="BJ20" s="446"/>
      <c r="BK20" s="446"/>
      <c r="BL20" s="446"/>
      <c r="BM20" s="446"/>
      <c r="BN20" s="446"/>
      <c r="BO20" s="446"/>
      <c r="BP20" s="446"/>
      <c r="BQ20" s="446"/>
      <c r="BR20" s="446"/>
      <c r="BS20" s="446"/>
      <c r="BT20" s="446"/>
      <c r="BU20" s="446"/>
      <c r="BV20" s="352"/>
      <c r="BW20" s="352"/>
      <c r="BX20" s="352"/>
      <c r="BY20" s="352"/>
      <c r="BZ20" s="352"/>
      <c r="CA20" s="352"/>
      <c r="CB20" s="352"/>
      <c r="CC20" s="352"/>
      <c r="CD20" s="352"/>
      <c r="CE20" s="352"/>
      <c r="CF20" s="229">
        <v>0</v>
      </c>
    </row>
    <row r="21" spans="1:84" s="1774" customFormat="1" ht="11.25" hidden="1" customHeight="1">
      <c r="A21" s="643"/>
      <c r="B21" s="446"/>
      <c r="C21" s="446"/>
      <c r="D21" s="2281"/>
      <c r="E21" s="570"/>
      <c r="F21" s="570">
        <v>0</v>
      </c>
      <c r="G21" s="570"/>
      <c r="H21" s="570"/>
      <c r="I21" s="570"/>
      <c r="J21" s="570"/>
      <c r="K21" s="570"/>
      <c r="L21" s="570"/>
      <c r="M21" s="570"/>
      <c r="N21" s="570"/>
      <c r="O21" s="570"/>
      <c r="P21" s="570"/>
      <c r="Q21" s="570"/>
      <c r="R21" s="570"/>
      <c r="S21" s="571"/>
      <c r="T21" s="653"/>
      <c r="U21" s="2185"/>
      <c r="V21" s="2185"/>
      <c r="W21" s="446"/>
      <c r="X21" s="446"/>
      <c r="Y21" s="446"/>
      <c r="Z21" s="446"/>
      <c r="AA21" s="446"/>
      <c r="AB21" s="352"/>
      <c r="AC21" s="641"/>
      <c r="AD21" s="564"/>
      <c r="AE21" s="352"/>
      <c r="AF21" s="352"/>
      <c r="AG21" s="446"/>
      <c r="AH21" s="446"/>
      <c r="AI21" s="446"/>
      <c r="AJ21" s="446"/>
      <c r="AK21" s="446"/>
      <c r="AL21" s="446"/>
      <c r="AM21" s="446"/>
      <c r="AN21" s="446"/>
      <c r="AO21" s="446"/>
      <c r="AP21" s="446"/>
      <c r="AQ21" s="446"/>
      <c r="AR21" s="446"/>
      <c r="AS21" s="446"/>
      <c r="AT21" s="446"/>
      <c r="AU21" s="446"/>
      <c r="AV21" s="446"/>
      <c r="AW21" s="446"/>
      <c r="AX21" s="446"/>
      <c r="AY21" s="446"/>
      <c r="AZ21" s="446"/>
      <c r="BA21" s="446"/>
      <c r="BB21" s="446"/>
      <c r="BC21" s="446"/>
      <c r="BD21" s="446"/>
      <c r="BE21" s="446"/>
      <c r="BF21" s="446"/>
      <c r="BG21" s="446"/>
      <c r="BH21" s="446"/>
      <c r="BI21" s="446"/>
      <c r="BJ21" s="446"/>
      <c r="BK21" s="446"/>
      <c r="BL21" s="446"/>
      <c r="BM21" s="446"/>
      <c r="BN21" s="446"/>
      <c r="BO21" s="446"/>
      <c r="BP21" s="446"/>
      <c r="BQ21" s="446"/>
      <c r="BR21" s="446"/>
      <c r="BS21" s="446"/>
      <c r="BT21" s="446"/>
      <c r="BU21" s="446"/>
      <c r="BV21" s="446"/>
      <c r="BW21" s="446"/>
      <c r="BX21" s="446"/>
      <c r="BY21" s="446"/>
      <c r="BZ21" s="446"/>
      <c r="CA21" s="446"/>
      <c r="CB21" s="446"/>
      <c r="CC21" s="446"/>
      <c r="CD21" s="446"/>
      <c r="CE21" s="446"/>
      <c r="CF21" s="229">
        <v>0</v>
      </c>
    </row>
    <row r="22" spans="1:84" s="1774" customFormat="1" ht="11.25" hidden="1" customHeight="1">
      <c r="A22" s="568"/>
      <c r="B22" s="352"/>
      <c r="C22" s="347"/>
      <c r="D22" s="2282"/>
      <c r="E22" s="584" t="s">
        <v>22</v>
      </c>
      <c r="F22" s="585" t="s">
        <v>22</v>
      </c>
      <c r="G22" s="585" t="s">
        <v>22</v>
      </c>
      <c r="H22" s="586" t="s">
        <v>22</v>
      </c>
      <c r="I22" s="586"/>
      <c r="J22" s="586"/>
      <c r="K22" s="586"/>
      <c r="L22" s="586"/>
      <c r="M22" s="586"/>
      <c r="N22" s="586"/>
      <c r="O22" s="586"/>
      <c r="P22" s="586"/>
      <c r="Q22" s="586"/>
      <c r="R22" s="587"/>
      <c r="S22" s="948"/>
      <c r="T22" s="653"/>
      <c r="U22" s="2185"/>
      <c r="V22" s="2185"/>
      <c r="W22" s="352"/>
      <c r="X22" s="352"/>
      <c r="Y22" s="352"/>
      <c r="Z22" s="352"/>
      <c r="AA22" s="446"/>
      <c r="AB22" s="352"/>
      <c r="AC22" s="641"/>
      <c r="AD22" s="564"/>
      <c r="AE22" s="352"/>
      <c r="AF22" s="352"/>
      <c r="AG22" s="446"/>
      <c r="AH22" s="446"/>
      <c r="AI22" s="446"/>
      <c r="AJ22" s="446"/>
      <c r="AK22" s="446"/>
      <c r="AL22" s="446"/>
      <c r="AM22" s="446"/>
      <c r="AN22" s="446"/>
      <c r="AO22" s="446"/>
      <c r="AP22" s="446"/>
      <c r="AQ22" s="446"/>
      <c r="AR22" s="446"/>
      <c r="AS22" s="446"/>
      <c r="AT22" s="446"/>
      <c r="AU22" s="446"/>
      <c r="AV22" s="446"/>
      <c r="AW22" s="446"/>
      <c r="AX22" s="446"/>
      <c r="AY22" s="446"/>
      <c r="AZ22" s="446"/>
      <c r="BA22" s="446"/>
      <c r="BB22" s="446"/>
      <c r="BC22" s="446"/>
      <c r="BD22" s="446"/>
      <c r="BE22" s="446"/>
      <c r="BF22" s="446"/>
      <c r="BG22" s="446"/>
      <c r="BH22" s="446"/>
      <c r="BI22" s="446"/>
      <c r="BJ22" s="446"/>
      <c r="BK22" s="446"/>
      <c r="BL22" s="446"/>
      <c r="BM22" s="446"/>
      <c r="BN22" s="446"/>
      <c r="BO22" s="446"/>
      <c r="BP22" s="446"/>
      <c r="BQ22" s="446"/>
      <c r="BR22" s="446"/>
      <c r="BS22" s="446"/>
      <c r="BT22" s="446"/>
      <c r="BU22" s="446"/>
      <c r="BV22" s="352"/>
      <c r="BW22" s="352"/>
      <c r="BX22" s="352"/>
      <c r="BY22" s="352"/>
      <c r="BZ22" s="352"/>
      <c r="CA22" s="352"/>
      <c r="CB22" s="352"/>
      <c r="CC22" s="352"/>
      <c r="CD22" s="352"/>
      <c r="CE22" s="352"/>
      <c r="CF22" s="229">
        <v>0</v>
      </c>
    </row>
    <row r="23" spans="1:84" ht="19.899999999999999" customHeight="1">
      <c r="D23" s="975"/>
      <c r="E23" s="975"/>
      <c r="F23" s="975"/>
      <c r="G23" s="975"/>
      <c r="H23" s="975"/>
      <c r="I23" s="975"/>
      <c r="J23" s="975"/>
      <c r="K23" s="975"/>
      <c r="L23" s="975"/>
      <c r="M23" s="975"/>
      <c r="N23" s="975"/>
      <c r="O23" s="975"/>
      <c r="P23" s="975"/>
      <c r="Q23" s="975"/>
      <c r="R23" s="975"/>
      <c r="S23" s="975"/>
      <c r="T23" s="270"/>
      <c r="CF23" s="440">
        <v>19</v>
      </c>
    </row>
    <row r="24" spans="1:84" ht="11.45" customHeight="1">
      <c r="D24" s="444"/>
      <c r="CF24" s="440">
        <v>11</v>
      </c>
    </row>
    <row r="25" spans="1:84" ht="11.45" customHeight="1">
      <c r="D25" s="589"/>
      <c r="E25" s="589"/>
      <c r="F25" s="589"/>
      <c r="G25" s="590"/>
      <c r="CF25" s="440">
        <v>11</v>
      </c>
    </row>
    <row r="26" spans="1:84" ht="11.45" customHeight="1">
      <c r="CF26" s="440">
        <v>11</v>
      </c>
    </row>
    <row r="27" spans="1:84" ht="11.45" customHeight="1">
      <c r="D27" s="591"/>
      <c r="E27" s="2284"/>
      <c r="F27" s="2284"/>
      <c r="G27" s="2284"/>
      <c r="H27" s="2284"/>
      <c r="I27" s="2284"/>
      <c r="J27" s="2284"/>
      <c r="K27" s="2284"/>
      <c r="L27" s="2284"/>
      <c r="M27" s="2284"/>
      <c r="N27" s="2284"/>
      <c r="O27" s="2284"/>
      <c r="P27" s="2284"/>
      <c r="Q27" s="2284"/>
      <c r="R27" s="2284"/>
      <c r="CF27" s="440">
        <v>11</v>
      </c>
    </row>
    <row r="28" spans="1:84" ht="11.45" customHeight="1">
      <c r="F28" s="691"/>
      <c r="G28" s="691"/>
      <c r="CF28" s="440">
        <v>11</v>
      </c>
    </row>
    <row r="29" spans="1:84" ht="11.25" hidden="1" customHeight="1">
      <c r="A29" s="545" t="s">
        <v>82</v>
      </c>
      <c r="B29" s="384">
        <v>0</v>
      </c>
      <c r="C29" s="440">
        <v>3</v>
      </c>
      <c r="D29" s="440">
        <v>0</v>
      </c>
      <c r="E29" s="440">
        <v>7</v>
      </c>
      <c r="F29" s="440">
        <v>7</v>
      </c>
      <c r="G29" s="440">
        <v>29</v>
      </c>
      <c r="H29" s="440">
        <v>3</v>
      </c>
      <c r="I29" s="440">
        <v>5</v>
      </c>
      <c r="J29" s="440">
        <v>24</v>
      </c>
      <c r="K29" s="440">
        <v>24</v>
      </c>
      <c r="L29" s="440">
        <v>3</v>
      </c>
      <c r="M29" s="440">
        <v>6</v>
      </c>
      <c r="N29" s="440">
        <v>25</v>
      </c>
      <c r="O29" s="440">
        <v>18</v>
      </c>
      <c r="P29" s="440">
        <v>18</v>
      </c>
      <c r="Q29" s="440">
        <v>18</v>
      </c>
      <c r="R29" s="440">
        <v>18</v>
      </c>
      <c r="S29" s="440">
        <v>93</v>
      </c>
      <c r="T29" s="440">
        <v>10</v>
      </c>
      <c r="U29" s="546">
        <v>10</v>
      </c>
      <c r="V29" s="546">
        <v>11</v>
      </c>
      <c r="W29" s="547">
        <v>10</v>
      </c>
      <c r="X29" s="384">
        <v>10</v>
      </c>
      <c r="Y29" s="384">
        <v>10</v>
      </c>
      <c r="Z29" s="384">
        <v>10</v>
      </c>
      <c r="AA29" s="384">
        <v>10</v>
      </c>
      <c r="AB29" s="440">
        <v>8</v>
      </c>
      <c r="AC29" s="440">
        <v>8</v>
      </c>
      <c r="AD29" s="440">
        <v>8</v>
      </c>
      <c r="AE29" s="440">
        <v>8</v>
      </c>
      <c r="AF29" s="440">
        <v>8</v>
      </c>
      <c r="AG29" s="440">
        <v>8</v>
      </c>
      <c r="AH29" s="440">
        <v>8</v>
      </c>
      <c r="AI29" s="440">
        <v>8</v>
      </c>
      <c r="AJ29" s="440">
        <v>8</v>
      </c>
      <c r="AK29" s="440">
        <v>8</v>
      </c>
      <c r="AL29" s="440">
        <v>8</v>
      </c>
      <c r="AM29" s="440">
        <v>8</v>
      </c>
      <c r="AN29" s="440">
        <v>8</v>
      </c>
      <c r="AO29" s="440">
        <v>8</v>
      </c>
      <c r="AP29" s="440">
        <v>8</v>
      </c>
      <c r="AQ29" s="440">
        <v>8</v>
      </c>
      <c r="AR29" s="440">
        <v>8</v>
      </c>
      <c r="AS29" s="440">
        <v>8</v>
      </c>
      <c r="AT29" s="440">
        <v>8</v>
      </c>
      <c r="AU29" s="440">
        <v>8</v>
      </c>
      <c r="AV29" s="440">
        <v>8</v>
      </c>
      <c r="AW29" s="440">
        <v>8</v>
      </c>
      <c r="AX29" s="440">
        <v>8</v>
      </c>
      <c r="AY29" s="440">
        <v>8</v>
      </c>
      <c r="AZ29" s="440">
        <v>8</v>
      </c>
      <c r="BA29" s="440">
        <v>8</v>
      </c>
      <c r="BB29" s="440">
        <v>8</v>
      </c>
      <c r="BC29" s="440">
        <v>8</v>
      </c>
      <c r="BD29" s="440">
        <v>8</v>
      </c>
      <c r="BE29" s="440">
        <v>8</v>
      </c>
      <c r="BF29" s="440">
        <v>8</v>
      </c>
      <c r="BG29" s="440">
        <v>8</v>
      </c>
      <c r="BH29" s="440">
        <v>8</v>
      </c>
      <c r="BI29" s="440">
        <v>8</v>
      </c>
      <c r="BJ29" s="440">
        <v>8</v>
      </c>
      <c r="BK29" s="440">
        <v>8</v>
      </c>
      <c r="BL29" s="440">
        <v>8</v>
      </c>
      <c r="BM29" s="440">
        <v>8</v>
      </c>
      <c r="BN29" s="440">
        <v>8</v>
      </c>
      <c r="BO29" s="440">
        <v>8</v>
      </c>
      <c r="BP29" s="440">
        <v>8</v>
      </c>
      <c r="BQ29" s="440">
        <v>8</v>
      </c>
      <c r="BR29" s="440">
        <v>8</v>
      </c>
      <c r="BS29" s="440">
        <v>8</v>
      </c>
      <c r="BT29" s="440">
        <v>8</v>
      </c>
      <c r="BU29" s="440">
        <v>8</v>
      </c>
      <c r="BV29" s="440">
        <v>8</v>
      </c>
      <c r="BW29" s="440">
        <v>8</v>
      </c>
      <c r="BX29" s="440">
        <v>8</v>
      </c>
      <c r="BY29" s="440">
        <v>8</v>
      </c>
      <c r="BZ29" s="440">
        <v>8</v>
      </c>
      <c r="CA29" s="440">
        <v>8</v>
      </c>
      <c r="CB29" s="440">
        <v>8</v>
      </c>
      <c r="CC29" s="440">
        <v>8</v>
      </c>
      <c r="CD29" s="440">
        <v>8</v>
      </c>
      <c r="CE29" s="440">
        <v>8</v>
      </c>
      <c r="CF29" s="440">
        <v>11</v>
      </c>
    </row>
  </sheetData>
  <sheetProtection formatColumns="0" formatRows="0" insertRows="0" deleteColumns="0" deleteRows="0" sort="0" autoFilter="0"/>
  <mergeCells count="22">
    <mergeCell ref="E5:K5"/>
    <mergeCell ref="E6:K6"/>
    <mergeCell ref="E9:R9"/>
    <mergeCell ref="S9:S10"/>
    <mergeCell ref="E10:F10"/>
    <mergeCell ref="H10:I10"/>
    <mergeCell ref="L10:M10"/>
    <mergeCell ref="D14:D22"/>
    <mergeCell ref="H14:R14"/>
    <mergeCell ref="H15:R15"/>
    <mergeCell ref="H16:R16"/>
    <mergeCell ref="E27:R27"/>
    <mergeCell ref="E20:P20"/>
    <mergeCell ref="U20:U22"/>
    <mergeCell ref="V20:V22"/>
    <mergeCell ref="AC14:AC19"/>
    <mergeCell ref="E17:P17"/>
    <mergeCell ref="U17:U19"/>
    <mergeCell ref="V17:V19"/>
    <mergeCell ref="E14:G14"/>
    <mergeCell ref="E15:G15"/>
    <mergeCell ref="E16:G16"/>
  </mergeCell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9" tint="-0.249977111117893"/>
  </sheetPr>
  <dimension ref="A1:AK204"/>
  <sheetViews>
    <sheetView showGridLines="0" zoomScale="90" workbookViewId="0">
      <pane xSplit="12" ySplit="14" topLeftCell="M15" activePane="bottomRight" state="frozen"/>
      <selection pane="topRight" activeCell="M1" sqref="M1"/>
      <selection pane="bottomLeft" activeCell="A15" sqref="A15"/>
      <selection pane="bottomRight"/>
    </sheetView>
  </sheetViews>
  <sheetFormatPr defaultColWidth="9.140625" defaultRowHeight="11.25" customHeight="1"/>
  <cols>
    <col min="1" max="5" width="10.7109375" style="915" hidden="1" customWidth="1"/>
    <col min="6" max="6" width="16.85546875" style="1291" hidden="1" customWidth="1"/>
    <col min="7" max="7" width="5.5703125" style="1567" hidden="1" customWidth="1"/>
    <col min="8" max="8" width="3" style="1560" customWidth="1"/>
    <col min="9" max="9" width="7" style="1560" customWidth="1"/>
    <col min="10" max="10" width="56" style="1560" customWidth="1"/>
    <col min="11" max="11" width="10" style="1560" customWidth="1"/>
    <col min="12" max="12" width="40.5703125" style="1560" hidden="1" customWidth="1"/>
    <col min="13" max="13" width="40.7109375" style="1560" customWidth="1"/>
    <col min="14" max="14" width="9.7109375" style="1291" hidden="1" customWidth="1"/>
    <col min="15" max="15" width="102" style="1560" customWidth="1"/>
    <col min="16" max="16" width="9" style="1291" customWidth="1"/>
    <col min="17" max="17" width="5" style="1567" customWidth="1"/>
    <col min="18" max="18" width="3" style="1567" customWidth="1"/>
    <col min="19" max="22" width="3" style="1291" customWidth="1"/>
    <col min="23" max="23" width="10" style="1567" customWidth="1"/>
    <col min="24" max="24" width="34" style="1291" customWidth="1"/>
    <col min="25" max="25" width="9" style="1291" customWidth="1"/>
    <col min="26" max="26" width="8" style="671" customWidth="1"/>
    <col min="27" max="31" width="8" style="1291" customWidth="1"/>
    <col min="32" max="36" width="8" style="1557" customWidth="1"/>
    <col min="37" max="37" width="5.42578125" style="1560" hidden="1" customWidth="1"/>
  </cols>
  <sheetData>
    <row r="1" spans="1:37" s="1291" customFormat="1" ht="33.75" hidden="1" customHeight="1">
      <c r="A1" s="915"/>
      <c r="B1" s="915"/>
      <c r="C1" s="915"/>
      <c r="D1" s="915"/>
      <c r="E1" s="915"/>
      <c r="G1" s="1561"/>
      <c r="H1" s="807"/>
      <c r="L1" s="1291">
        <v>4</v>
      </c>
      <c r="M1" s="1291">
        <v>4</v>
      </c>
      <c r="Q1" s="1561"/>
      <c r="R1" s="1561"/>
      <c r="W1" s="1561"/>
      <c r="AK1" s="1291" t="s">
        <v>14</v>
      </c>
    </row>
    <row r="2" spans="1:37" s="1291" customFormat="1" ht="78.75" hidden="1" customHeight="1">
      <c r="A2" s="915"/>
      <c r="B2" s="1974" t="s">
        <v>614</v>
      </c>
      <c r="C2" s="1974" t="s">
        <v>615</v>
      </c>
      <c r="D2" s="1973" t="s">
        <v>616</v>
      </c>
      <c r="E2" s="1977" t="e">
        <f>RIGHT(I2,LEN(I2)-SEARCH("#",SUBSTITUTE(I2,".","#",LEN(I2)-LEN(SUBSTITUTE(I2,".","")))))</f>
        <v>#VALUE!</v>
      </c>
      <c r="F2" s="1979">
        <f>J2</f>
        <v>0</v>
      </c>
      <c r="G2" s="1561"/>
      <c r="H2" s="1980"/>
      <c r="I2" s="1970"/>
      <c r="J2" s="475"/>
      <c r="K2" s="1940" t="s">
        <v>555</v>
      </c>
      <c r="L2" s="686"/>
      <c r="M2" s="686"/>
      <c r="N2" s="478"/>
      <c r="O2" s="1450" t="s">
        <v>556</v>
      </c>
      <c r="P2" s="478"/>
      <c r="Q2" s="1561"/>
      <c r="R2" s="1561"/>
      <c r="W2" s="1561"/>
      <c r="Z2" s="479"/>
      <c r="AF2" s="1557"/>
      <c r="AG2" s="1557"/>
      <c r="AH2" s="1557"/>
      <c r="AI2" s="1557"/>
      <c r="AJ2" s="1557"/>
      <c r="AK2" s="1291">
        <v>0</v>
      </c>
    </row>
    <row r="3" spans="1:37" ht="11.25" hidden="1" customHeight="1">
      <c r="E3" s="1972" t="s">
        <v>617</v>
      </c>
      <c r="L3" s="1556">
        <f>0</f>
        <v>0</v>
      </c>
      <c r="M3" s="1556">
        <v>1</v>
      </c>
      <c r="AK3" s="1556">
        <v>0</v>
      </c>
    </row>
    <row r="4" spans="1:37" s="1557" customFormat="1" ht="11.25" hidden="1" customHeight="1">
      <c r="A4" s="915"/>
      <c r="B4" s="915"/>
      <c r="C4" s="915"/>
      <c r="E4" s="915"/>
      <c r="F4" s="1291"/>
      <c r="G4" s="1561"/>
      <c r="H4" s="555"/>
      <c r="N4" s="1291"/>
      <c r="O4" s="1557">
        <v>4</v>
      </c>
      <c r="P4" s="1291"/>
      <c r="Q4" s="1561"/>
      <c r="R4" s="1561"/>
      <c r="S4" s="1291"/>
      <c r="T4" s="1291"/>
      <c r="U4" s="1291"/>
      <c r="V4" s="1291"/>
      <c r="W4" s="1561"/>
      <c r="X4" s="1291"/>
      <c r="Y4" s="1291"/>
      <c r="Z4" s="479"/>
      <c r="AA4" s="1291"/>
      <c r="AB4" s="1291"/>
      <c r="AC4" s="1291"/>
      <c r="AD4" s="1291"/>
      <c r="AE4" s="1291"/>
      <c r="AK4" s="1557">
        <v>0</v>
      </c>
    </row>
    <row r="5" spans="1:37" ht="11.45" customHeight="1">
      <c r="AK5" s="1556">
        <v>11</v>
      </c>
    </row>
    <row r="6" spans="1:37" ht="57.75" customHeight="1">
      <c r="I6" s="2130" t="s">
        <v>618</v>
      </c>
      <c r="J6" s="2130"/>
      <c r="K6" s="2130"/>
      <c r="L6" s="2130"/>
      <c r="M6" s="2130"/>
      <c r="O6" s="491"/>
      <c r="AK6" s="1556">
        <v>55</v>
      </c>
    </row>
    <row r="7" spans="1:37" ht="25.15" customHeight="1">
      <c r="I7" s="2115" t="str">
        <f>IF(org=0,"Не определено",org)</f>
        <v>ООО "ЗЕНИТ ЭНЕРГО"</v>
      </c>
      <c r="J7" s="2115"/>
      <c r="K7" s="2115"/>
      <c r="L7" s="2115"/>
      <c r="M7" s="2115"/>
      <c r="AK7" s="1556">
        <v>24</v>
      </c>
    </row>
    <row r="8" spans="1:37" ht="11.45" customHeight="1">
      <c r="I8" s="1060"/>
      <c r="J8" s="1060"/>
      <c r="K8" s="1060"/>
      <c r="L8" s="1060"/>
      <c r="M8" s="1060"/>
      <c r="AK8" s="1556">
        <v>11</v>
      </c>
    </row>
    <row r="9" spans="1:37" s="1567" customFormat="1" ht="30" hidden="1" customHeight="1">
      <c r="A9" s="1092"/>
      <c r="B9" s="1092"/>
      <c r="C9" s="1092"/>
      <c r="E9" s="1092"/>
      <c r="L9" s="817"/>
      <c r="M9" s="817" t="s">
        <v>117</v>
      </c>
      <c r="AK9" s="1561">
        <v>1</v>
      </c>
    </row>
    <row r="10" spans="1:37" ht="11.45" customHeight="1">
      <c r="E10" s="1971" t="s">
        <v>619</v>
      </c>
      <c r="I10" s="646"/>
      <c r="J10" s="2269" t="s">
        <v>105</v>
      </c>
      <c r="K10" s="2270"/>
      <c r="L10" s="1950" t="str">
        <f>IF(L9="","",INDEX(DIFFERENTIATION_UNMERGE_VD,MATCH(L9,DIFFERENTIATION_ID_DIFF,0)))</f>
        <v/>
      </c>
      <c r="M10" s="1950" t="str">
        <f>IF(M9="","",INDEX(DIFFERENTIATION_UNMERGE_VD,MATCH(M9,DIFFERENTIATION_ID_DIFF,0)))</f>
        <v>Производство тепловой энергии. Некомбинированная выработка; Передача. Тепловая энергия; Сбыт. Тепловая энергия</v>
      </c>
      <c r="O10" s="2066" t="s">
        <v>300</v>
      </c>
      <c r="AK10" s="1556">
        <v>11</v>
      </c>
    </row>
    <row r="11" spans="1:37" ht="11.45" customHeight="1">
      <c r="E11" s="1971" t="s">
        <v>620</v>
      </c>
      <c r="I11" s="646"/>
      <c r="J11" s="2269" t="s">
        <v>563</v>
      </c>
      <c r="K11" s="2270"/>
      <c r="L11" s="1950" t="str">
        <f>IF(L9="","",INDEX(DIFFERENTIATION_UNMERGE_AREA,MATCH(L9,DIFFERENTIATION_ID_DIFF,0)))</f>
        <v/>
      </c>
      <c r="M11" s="1950" t="str">
        <f>IF(M9="","",INDEX(DIFFERENTIATION_UNMERGE_AREA,MATCH(M9,DIFFERENTIATION_ID_DIFF,0)))</f>
        <v>Территория 1</v>
      </c>
      <c r="O11" s="2066"/>
      <c r="AK11" s="1556">
        <v>11</v>
      </c>
    </row>
    <row r="12" spans="1:37" ht="11.45" customHeight="1">
      <c r="E12" s="1971" t="s">
        <v>621</v>
      </c>
      <c r="I12" s="1587"/>
      <c r="J12" s="2269" t="s">
        <v>564</v>
      </c>
      <c r="K12" s="2270"/>
      <c r="L12" s="1950" t="str">
        <f>IF(L9="","",INDEX(DIFFERENTIATION_UNMERGE_SYSTEM,MATCH(L9,DIFFERENTIATION_ID_DIFF,0)))</f>
        <v/>
      </c>
      <c r="M12" s="1950" t="str">
        <f>IF(M9="","",INDEX(DIFFERENTIATION_UNMERGE_SYSTEM,MATCH(M9,DIFFERENTIATION_ID_DIFF,0)))</f>
        <v>без дифференциации</v>
      </c>
      <c r="O12" s="2066"/>
      <c r="AK12" s="1556">
        <v>11</v>
      </c>
    </row>
    <row r="13" spans="1:37" ht="11.45" customHeight="1">
      <c r="E13" s="1971" t="s">
        <v>622</v>
      </c>
      <c r="F13" s="1971" t="s">
        <v>623</v>
      </c>
      <c r="I13" s="2271" t="s">
        <v>299</v>
      </c>
      <c r="J13" s="2272"/>
      <c r="K13" s="2272"/>
      <c r="L13" s="1948"/>
      <c r="M13" s="1988"/>
      <c r="O13" s="2066"/>
      <c r="AK13" s="1556">
        <v>11</v>
      </c>
    </row>
    <row r="14" spans="1:37" ht="24" customHeight="1">
      <c r="I14" s="1941" t="s">
        <v>88</v>
      </c>
      <c r="J14" s="1941" t="s">
        <v>301</v>
      </c>
      <c r="K14" s="1941" t="s">
        <v>565</v>
      </c>
      <c r="L14" s="1981" t="s">
        <v>302</v>
      </c>
      <c r="M14" s="1982" t="s">
        <v>302</v>
      </c>
      <c r="O14" s="2066"/>
      <c r="AK14" s="1556">
        <v>23</v>
      </c>
    </row>
    <row r="15" spans="1:37" ht="24" customHeight="1">
      <c r="A15" s="1975"/>
      <c r="B15" s="1974" t="s">
        <v>624</v>
      </c>
      <c r="C15" s="1974" t="s">
        <v>625</v>
      </c>
      <c r="D15" s="1973" t="s">
        <v>626</v>
      </c>
      <c r="E15" s="1977" t="s">
        <v>627</v>
      </c>
      <c r="F15" s="1977" t="s">
        <v>627</v>
      </c>
      <c r="G15" s="1561" t="s">
        <v>587</v>
      </c>
      <c r="H15" s="1942"/>
      <c r="I15" s="1555">
        <v>1</v>
      </c>
      <c r="J15" s="1943" t="s">
        <v>628</v>
      </c>
      <c r="K15" s="1941" t="s">
        <v>305</v>
      </c>
      <c r="L15" s="597"/>
      <c r="M15" s="747"/>
      <c r="N15" s="478" t="s">
        <v>629</v>
      </c>
      <c r="O15" s="1450" t="s">
        <v>630</v>
      </c>
      <c r="P15" s="478" t="s">
        <v>629</v>
      </c>
      <c r="AK15" s="1556">
        <v>23</v>
      </c>
    </row>
    <row r="16" spans="1:37" ht="35.65" customHeight="1">
      <c r="A16" s="1975"/>
      <c r="B16" s="1974" t="s">
        <v>631</v>
      </c>
      <c r="C16" s="1974" t="s">
        <v>632</v>
      </c>
      <c r="D16" s="1973" t="s">
        <v>616</v>
      </c>
      <c r="E16" s="1977" t="s">
        <v>627</v>
      </c>
      <c r="F16" s="1977" t="s">
        <v>627</v>
      </c>
      <c r="H16" s="1942"/>
      <c r="I16" s="1554">
        <v>2</v>
      </c>
      <c r="J16" s="1984" t="s">
        <v>633</v>
      </c>
      <c r="K16" s="1983" t="s">
        <v>555</v>
      </c>
      <c r="L16" s="1989"/>
      <c r="M16" s="1601"/>
      <c r="N16" s="478" t="s">
        <v>629</v>
      </c>
      <c r="O16" s="1450" t="s">
        <v>634</v>
      </c>
      <c r="P16" s="478" t="s">
        <v>629</v>
      </c>
      <c r="AK16" s="1556">
        <v>34</v>
      </c>
    </row>
    <row r="17" spans="1:37" s="1567" customFormat="1" ht="17.25" hidden="1" customHeight="1">
      <c r="A17" s="1092"/>
      <c r="B17" s="1092"/>
      <c r="C17" s="1092"/>
      <c r="D17" s="1092"/>
      <c r="E17" s="1092"/>
      <c r="H17" s="1249"/>
      <c r="I17" s="941" t="s">
        <v>635</v>
      </c>
      <c r="J17" s="919"/>
      <c r="K17" s="941"/>
      <c r="L17" s="920"/>
      <c r="M17" s="920"/>
      <c r="O17" s="1310"/>
      <c r="AK17" s="1561">
        <v>1</v>
      </c>
    </row>
    <row r="18" spans="1:37" s="1291" customFormat="1" ht="24" customHeight="1">
      <c r="A18" s="915"/>
      <c r="B18" s="915"/>
      <c r="C18" s="915"/>
      <c r="D18" s="915"/>
      <c r="E18" s="915"/>
      <c r="G18" s="1561"/>
      <c r="H18" s="1558"/>
      <c r="I18" s="505"/>
      <c r="J18" s="506" t="s">
        <v>585</v>
      </c>
      <c r="K18" s="507"/>
      <c r="L18" s="1991"/>
      <c r="M18" s="508"/>
      <c r="N18" s="478"/>
      <c r="O18" s="1450" t="s">
        <v>586</v>
      </c>
      <c r="P18" s="478"/>
      <c r="Q18" s="1561"/>
      <c r="R18" s="1561"/>
      <c r="W18" s="1561"/>
      <c r="Z18" s="479"/>
      <c r="AF18" s="1557"/>
      <c r="AG18" s="1557"/>
      <c r="AH18" s="1557"/>
      <c r="AI18" s="1557"/>
      <c r="AJ18" s="1557"/>
      <c r="AK18" s="1291">
        <v>23</v>
      </c>
    </row>
    <row r="19" spans="1:37" ht="19.899999999999999" customHeight="1">
      <c r="A19" s="1975"/>
      <c r="B19" s="1974" t="s">
        <v>636</v>
      </c>
      <c r="C19" s="1974" t="s">
        <v>637</v>
      </c>
      <c r="D19" s="1973" t="s">
        <v>616</v>
      </c>
      <c r="E19" s="1977" t="s">
        <v>627</v>
      </c>
      <c r="F19" s="1977" t="s">
        <v>627</v>
      </c>
      <c r="H19" s="1942"/>
      <c r="I19" s="1589">
        <v>3</v>
      </c>
      <c r="J19" s="1943" t="s">
        <v>637</v>
      </c>
      <c r="K19" s="1939" t="s">
        <v>555</v>
      </c>
      <c r="L19" s="662"/>
      <c r="M19" s="492"/>
      <c r="N19" s="478"/>
      <c r="O19" s="1450" t="s">
        <v>638</v>
      </c>
      <c r="P19" s="478"/>
      <c r="AK19" s="1556">
        <v>19</v>
      </c>
    </row>
    <row r="20" spans="1:37" ht="77.650000000000006" customHeight="1">
      <c r="A20" s="1975"/>
      <c r="B20" s="1974" t="s">
        <v>639</v>
      </c>
      <c r="C20" s="1974" t="s">
        <v>640</v>
      </c>
      <c r="D20" s="1973" t="s">
        <v>616</v>
      </c>
      <c r="E20" s="1977" t="s">
        <v>627</v>
      </c>
      <c r="F20" s="1977" t="s">
        <v>627</v>
      </c>
      <c r="H20" s="1942"/>
      <c r="I20" s="1589">
        <v>4</v>
      </c>
      <c r="J20" s="1943" t="s">
        <v>641</v>
      </c>
      <c r="K20" s="1939" t="s">
        <v>582</v>
      </c>
      <c r="L20" s="662"/>
      <c r="M20" s="492"/>
      <c r="N20" s="478"/>
      <c r="O20" s="1450"/>
      <c r="P20" s="478"/>
      <c r="AK20" s="1556">
        <v>74</v>
      </c>
    </row>
    <row r="21" spans="1:37" ht="35.65" customHeight="1">
      <c r="A21" s="1975"/>
      <c r="B21" s="1974" t="s">
        <v>642</v>
      </c>
      <c r="C21" s="1974" t="s">
        <v>643</v>
      </c>
      <c r="D21" s="1973" t="s">
        <v>616</v>
      </c>
      <c r="E21" s="1977" t="s">
        <v>627</v>
      </c>
      <c r="F21" s="1977" t="s">
        <v>627</v>
      </c>
      <c r="H21" s="1942"/>
      <c r="I21" s="1589">
        <v>5</v>
      </c>
      <c r="J21" s="1943" t="s">
        <v>644</v>
      </c>
      <c r="K21" s="1939" t="s">
        <v>582</v>
      </c>
      <c r="L21" s="662"/>
      <c r="M21" s="492"/>
      <c r="N21" s="478"/>
      <c r="O21" s="1450" t="s">
        <v>638</v>
      </c>
      <c r="P21" s="478"/>
      <c r="AK21" s="1556">
        <v>34</v>
      </c>
    </row>
    <row r="22" spans="1:37" ht="48.2" customHeight="1">
      <c r="A22" s="1975"/>
      <c r="B22" s="1974" t="s">
        <v>645</v>
      </c>
      <c r="C22" s="1974" t="s">
        <v>646</v>
      </c>
      <c r="D22" s="1973" t="s">
        <v>616</v>
      </c>
      <c r="E22" s="1977" t="s">
        <v>627</v>
      </c>
      <c r="F22" s="1977" t="s">
        <v>627</v>
      </c>
      <c r="H22" s="1942"/>
      <c r="I22" s="1589">
        <v>6</v>
      </c>
      <c r="J22" s="1943" t="s">
        <v>647</v>
      </c>
      <c r="K22" s="1939" t="s">
        <v>582</v>
      </c>
      <c r="L22" s="662"/>
      <c r="M22" s="492"/>
      <c r="N22" s="478"/>
      <c r="O22" s="1450" t="s">
        <v>648</v>
      </c>
      <c r="P22" s="478"/>
      <c r="AK22" s="1556">
        <v>46</v>
      </c>
    </row>
    <row r="23" spans="1:37" ht="19.899999999999999" customHeight="1">
      <c r="A23" s="1975"/>
      <c r="B23" s="1974" t="s">
        <v>649</v>
      </c>
      <c r="C23" s="1974" t="s">
        <v>650</v>
      </c>
      <c r="D23" s="1973" t="s">
        <v>616</v>
      </c>
      <c r="E23" s="1977" t="s">
        <v>627</v>
      </c>
      <c r="F23" s="1977" t="s">
        <v>627</v>
      </c>
      <c r="H23" s="1942"/>
      <c r="I23" s="1589" t="s">
        <v>651</v>
      </c>
      <c r="J23" s="1449" t="s">
        <v>652</v>
      </c>
      <c r="K23" s="1939" t="s">
        <v>582</v>
      </c>
      <c r="L23" s="662"/>
      <c r="M23" s="492"/>
      <c r="N23" s="478"/>
      <c r="O23" s="1450" t="s">
        <v>638</v>
      </c>
      <c r="P23" s="478"/>
      <c r="AK23" s="1556">
        <v>19</v>
      </c>
    </row>
    <row r="24" spans="1:37" ht="19.899999999999999" customHeight="1">
      <c r="A24" s="1975"/>
      <c r="B24" s="1974" t="s">
        <v>653</v>
      </c>
      <c r="C24" s="1974" t="s">
        <v>654</v>
      </c>
      <c r="D24" s="1973" t="s">
        <v>616</v>
      </c>
      <c r="E24" s="1977" t="s">
        <v>627</v>
      </c>
      <c r="F24" s="1977" t="s">
        <v>627</v>
      </c>
      <c r="H24" s="1942"/>
      <c r="I24" s="1589" t="s">
        <v>655</v>
      </c>
      <c r="J24" s="1449" t="s">
        <v>656</v>
      </c>
      <c r="K24" s="1939" t="s">
        <v>582</v>
      </c>
      <c r="L24" s="662"/>
      <c r="M24" s="492"/>
      <c r="N24" s="478"/>
      <c r="O24" s="1450"/>
      <c r="P24" s="478"/>
      <c r="AK24" s="1556">
        <v>19</v>
      </c>
    </row>
    <row r="25" spans="1:37" ht="24" customHeight="1">
      <c r="A25" s="1975"/>
      <c r="B25" s="1974" t="s">
        <v>657</v>
      </c>
      <c r="C25" s="1974" t="s">
        <v>658</v>
      </c>
      <c r="D25" s="1973" t="s">
        <v>616</v>
      </c>
      <c r="E25" s="1977" t="s">
        <v>627</v>
      </c>
      <c r="F25" s="1977" t="s">
        <v>627</v>
      </c>
      <c r="H25" s="1942"/>
      <c r="I25" s="1589" t="s">
        <v>659</v>
      </c>
      <c r="J25" s="1449" t="s">
        <v>660</v>
      </c>
      <c r="K25" s="1939" t="s">
        <v>582</v>
      </c>
      <c r="L25" s="662"/>
      <c r="M25" s="492"/>
      <c r="N25" s="478"/>
      <c r="O25" s="1450"/>
      <c r="P25" s="478"/>
      <c r="AK25" s="1556">
        <v>23</v>
      </c>
    </row>
    <row r="26" spans="1:37" ht="24" customHeight="1">
      <c r="A26" s="1975"/>
      <c r="B26" s="1974" t="s">
        <v>661</v>
      </c>
      <c r="C26" s="1974" t="s">
        <v>662</v>
      </c>
      <c r="D26" s="1973" t="s">
        <v>616</v>
      </c>
      <c r="E26" s="1977" t="s">
        <v>627</v>
      </c>
      <c r="F26" s="1977" t="s">
        <v>627</v>
      </c>
      <c r="H26" s="1942"/>
      <c r="I26" s="1589">
        <v>7</v>
      </c>
      <c r="J26" s="1943" t="s">
        <v>662</v>
      </c>
      <c r="K26" s="1939" t="s">
        <v>663</v>
      </c>
      <c r="L26" s="662"/>
      <c r="M26" s="492"/>
      <c r="N26" s="478"/>
      <c r="O26" s="1450"/>
      <c r="P26" s="478"/>
      <c r="AK26" s="1556">
        <v>23</v>
      </c>
    </row>
    <row r="27" spans="1:37" ht="24" customHeight="1">
      <c r="A27" s="1975"/>
      <c r="B27" s="1974" t="s">
        <v>664</v>
      </c>
      <c r="C27" s="1974" t="s">
        <v>665</v>
      </c>
      <c r="D27" s="1973" t="s">
        <v>616</v>
      </c>
      <c r="E27" s="1977" t="s">
        <v>627</v>
      </c>
      <c r="F27" s="1977" t="s">
        <v>627</v>
      </c>
      <c r="H27" s="1942"/>
      <c r="I27" s="1589">
        <v>8</v>
      </c>
      <c r="J27" s="1943" t="s">
        <v>665</v>
      </c>
      <c r="K27" s="1939" t="s">
        <v>588</v>
      </c>
      <c r="L27" s="662"/>
      <c r="M27" s="492"/>
      <c r="N27" s="478"/>
      <c r="O27" s="1450"/>
      <c r="P27" s="478"/>
      <c r="AK27" s="1556">
        <v>23</v>
      </c>
    </row>
    <row r="28" spans="1:37" ht="35.65" customHeight="1">
      <c r="A28" s="1975"/>
      <c r="B28" s="1974" t="s">
        <v>666</v>
      </c>
      <c r="C28" s="1974" t="s">
        <v>667</v>
      </c>
      <c r="D28" s="1973" t="s">
        <v>616</v>
      </c>
      <c r="E28" s="1977" t="s">
        <v>627</v>
      </c>
      <c r="F28" s="1977" t="s">
        <v>627</v>
      </c>
      <c r="H28" s="1942"/>
      <c r="I28" s="1600">
        <v>9</v>
      </c>
      <c r="J28" s="1943" t="s">
        <v>668</v>
      </c>
      <c r="K28" s="1939" t="s">
        <v>559</v>
      </c>
      <c r="L28" s="662"/>
      <c r="M28" s="492"/>
      <c r="N28" s="478"/>
      <c r="O28" s="1450"/>
      <c r="P28" s="478"/>
      <c r="AK28" s="1556">
        <v>34</v>
      </c>
    </row>
    <row r="29" spans="1:37" ht="35.65" customHeight="1">
      <c r="A29" s="1975"/>
      <c r="B29" s="1974" t="s">
        <v>669</v>
      </c>
      <c r="C29" s="1974" t="s">
        <v>670</v>
      </c>
      <c r="D29" s="1973" t="s">
        <v>616</v>
      </c>
      <c r="E29" s="1977" t="s">
        <v>627</v>
      </c>
      <c r="F29" s="1977" t="s">
        <v>627</v>
      </c>
      <c r="H29" s="1942"/>
      <c r="I29" s="1600">
        <v>10</v>
      </c>
      <c r="J29" s="1943" t="s">
        <v>671</v>
      </c>
      <c r="K29" s="1939" t="s">
        <v>559</v>
      </c>
      <c r="L29" s="662"/>
      <c r="M29" s="492"/>
      <c r="N29" s="478"/>
      <c r="O29" s="1450"/>
      <c r="P29" s="478"/>
      <c r="AK29" s="1556">
        <v>34</v>
      </c>
    </row>
    <row r="30" spans="1:37" ht="24" customHeight="1">
      <c r="A30" s="1975"/>
      <c r="B30" s="1974" t="s">
        <v>672</v>
      </c>
      <c r="C30" s="1974" t="s">
        <v>673</v>
      </c>
      <c r="D30" s="1973" t="s">
        <v>616</v>
      </c>
      <c r="E30" s="1977" t="s">
        <v>627</v>
      </c>
      <c r="F30" s="1977" t="s">
        <v>627</v>
      </c>
      <c r="H30" s="1942"/>
      <c r="I30" s="1600">
        <v>11</v>
      </c>
      <c r="J30" s="1943" t="s">
        <v>673</v>
      </c>
      <c r="K30" s="1939" t="s">
        <v>589</v>
      </c>
      <c r="L30" s="1990"/>
      <c r="M30" s="1546"/>
      <c r="N30" s="478"/>
      <c r="O30" s="1450"/>
      <c r="P30" s="478"/>
      <c r="AK30" s="1556">
        <v>23</v>
      </c>
    </row>
    <row r="31" spans="1:37" ht="24" customHeight="1">
      <c r="A31" s="1975"/>
      <c r="B31" s="1974" t="s">
        <v>674</v>
      </c>
      <c r="C31" s="1974" t="s">
        <v>675</v>
      </c>
      <c r="D31" s="1973" t="s">
        <v>616</v>
      </c>
      <c r="E31" s="1977" t="s">
        <v>627</v>
      </c>
      <c r="F31" s="1977" t="s">
        <v>627</v>
      </c>
      <c r="H31" s="1942"/>
      <c r="I31" s="1600">
        <v>12</v>
      </c>
      <c r="J31" s="1943" t="s">
        <v>675</v>
      </c>
      <c r="K31" s="1939" t="s">
        <v>589</v>
      </c>
      <c r="L31" s="1990"/>
      <c r="M31" s="1546"/>
      <c r="N31" s="478"/>
      <c r="O31" s="1450"/>
      <c r="P31" s="478"/>
      <c r="AK31" s="1556">
        <v>23</v>
      </c>
    </row>
    <row r="32" spans="1:37" ht="48.2" customHeight="1">
      <c r="A32" s="1975"/>
      <c r="B32" s="1974" t="s">
        <v>676</v>
      </c>
      <c r="C32" s="1974" t="s">
        <v>677</v>
      </c>
      <c r="D32" s="1973" t="s">
        <v>616</v>
      </c>
      <c r="E32" s="1977" t="s">
        <v>627</v>
      </c>
      <c r="F32" s="1977" t="s">
        <v>627</v>
      </c>
      <c r="H32" s="1942"/>
      <c r="I32" s="1600">
        <v>13</v>
      </c>
      <c r="J32" s="1943" t="s">
        <v>678</v>
      </c>
      <c r="K32" s="1939" t="s">
        <v>599</v>
      </c>
      <c r="L32" s="662"/>
      <c r="M32" s="492"/>
      <c r="N32" s="478"/>
      <c r="O32" s="1450" t="s">
        <v>638</v>
      </c>
      <c r="P32" s="478"/>
      <c r="AK32" s="1556">
        <v>46</v>
      </c>
    </row>
    <row r="33" spans="1:37" s="1291" customFormat="1" ht="48.2" customHeight="1">
      <c r="A33" s="1975"/>
      <c r="B33" s="1974" t="s">
        <v>679</v>
      </c>
      <c r="C33" s="1974" t="s">
        <v>680</v>
      </c>
      <c r="D33" s="1973" t="s">
        <v>616</v>
      </c>
      <c r="E33" s="1977" t="s">
        <v>627</v>
      </c>
      <c r="F33" s="1977" t="s">
        <v>627</v>
      </c>
      <c r="G33" s="1561"/>
      <c r="H33" s="1942"/>
      <c r="I33" s="1600">
        <v>14</v>
      </c>
      <c r="J33" s="1955" t="s">
        <v>681</v>
      </c>
      <c r="K33" s="1944" t="s">
        <v>682</v>
      </c>
      <c r="L33" s="662"/>
      <c r="M33" s="492"/>
      <c r="N33" s="478"/>
      <c r="O33" s="1450" t="s">
        <v>638</v>
      </c>
      <c r="P33" s="478"/>
      <c r="Q33" s="1561"/>
      <c r="R33" s="1561"/>
      <c r="W33" s="1561"/>
      <c r="Z33" s="479"/>
      <c r="AF33" s="1557"/>
      <c r="AG33" s="1557"/>
      <c r="AH33" s="1557"/>
      <c r="AI33" s="1557"/>
      <c r="AJ33" s="1557"/>
      <c r="AK33" s="1291">
        <v>46</v>
      </c>
    </row>
    <row r="34" spans="1:37" ht="108" customHeight="1">
      <c r="A34" s="1975"/>
      <c r="B34" s="1974" t="s">
        <v>683</v>
      </c>
      <c r="C34" s="1974" t="s">
        <v>684</v>
      </c>
      <c r="D34" s="1973" t="s">
        <v>626</v>
      </c>
      <c r="E34" s="1977" t="s">
        <v>627</v>
      </c>
      <c r="F34" s="1977" t="s">
        <v>627</v>
      </c>
      <c r="G34" s="1561" t="s">
        <v>587</v>
      </c>
      <c r="H34" s="1942"/>
      <c r="I34" s="1953">
        <v>15</v>
      </c>
      <c r="J34" s="1954" t="s">
        <v>685</v>
      </c>
      <c r="K34" s="1939" t="s">
        <v>305</v>
      </c>
      <c r="L34" s="320"/>
      <c r="M34" s="1089"/>
      <c r="N34" s="478"/>
      <c r="O34" s="1450" t="s">
        <v>630</v>
      </c>
      <c r="P34" s="478"/>
      <c r="AK34" s="1556">
        <v>103</v>
      </c>
    </row>
    <row r="35" spans="1:37" s="1566" customFormat="1" ht="11.45" customHeight="1">
      <c r="A35" s="915"/>
      <c r="B35" s="915"/>
      <c r="C35" s="915"/>
      <c r="D35" s="915"/>
      <c r="E35" s="915"/>
      <c r="F35" s="1561"/>
      <c r="G35" s="1561"/>
      <c r="H35" s="286"/>
      <c r="N35" s="1291"/>
      <c r="P35" s="1291"/>
      <c r="Q35" s="1561"/>
      <c r="R35" s="1561"/>
      <c r="S35" s="1291"/>
      <c r="T35" s="1291"/>
      <c r="U35" s="1291"/>
      <c r="V35" s="1291"/>
      <c r="W35" s="1561"/>
      <c r="X35" s="1291"/>
      <c r="Y35" s="1291"/>
      <c r="Z35" s="479"/>
      <c r="AA35" s="1291"/>
      <c r="AB35" s="1291"/>
      <c r="AC35" s="1291"/>
      <c r="AD35" s="1291"/>
      <c r="AE35" s="1291"/>
      <c r="AF35" s="1557"/>
      <c r="AG35" s="557"/>
      <c r="AH35" s="557"/>
      <c r="AI35" s="557"/>
      <c r="AJ35" s="557"/>
      <c r="AK35" s="1566">
        <v>11</v>
      </c>
    </row>
    <row r="36" spans="1:37" s="1566" customFormat="1" ht="11.45" customHeight="1">
      <c r="A36" s="915"/>
      <c r="B36" s="915"/>
      <c r="C36" s="915"/>
      <c r="D36" s="915"/>
      <c r="E36" s="915"/>
      <c r="F36" s="1561"/>
      <c r="G36" s="1561"/>
      <c r="H36" s="286"/>
      <c r="N36" s="1291"/>
      <c r="P36" s="1291"/>
      <c r="Q36" s="1561"/>
      <c r="R36" s="1561"/>
      <c r="S36" s="1291"/>
      <c r="T36" s="1291"/>
      <c r="U36" s="1291"/>
      <c r="V36" s="1291"/>
      <c r="W36" s="1561"/>
      <c r="X36" s="1291"/>
      <c r="Y36" s="1291"/>
      <c r="Z36" s="479"/>
      <c r="AA36" s="1291"/>
      <c r="AB36" s="1291"/>
      <c r="AC36" s="1291"/>
      <c r="AD36" s="1291"/>
      <c r="AE36" s="1291"/>
      <c r="AF36" s="1557"/>
      <c r="AG36" s="557"/>
      <c r="AH36" s="557"/>
      <c r="AI36" s="557"/>
      <c r="AJ36" s="557"/>
      <c r="AK36" s="1566">
        <v>11</v>
      </c>
    </row>
    <row r="37" spans="1:37" s="1566" customFormat="1" ht="11.45" customHeight="1">
      <c r="A37" s="915"/>
      <c r="B37" s="915"/>
      <c r="C37" s="915"/>
      <c r="D37" s="915"/>
      <c r="E37" s="915"/>
      <c r="F37" s="1561"/>
      <c r="G37" s="1561"/>
      <c r="H37" s="286"/>
      <c r="L37" s="557"/>
      <c r="M37" s="557"/>
      <c r="N37" s="1291"/>
      <c r="P37" s="1291"/>
      <c r="Q37" s="1561"/>
      <c r="R37" s="1561"/>
      <c r="S37" s="1291"/>
      <c r="T37" s="1291"/>
      <c r="U37" s="1291"/>
      <c r="V37" s="1291"/>
      <c r="W37" s="1561"/>
      <c r="X37" s="1291"/>
      <c r="Y37" s="1291"/>
      <c r="Z37" s="479"/>
      <c r="AA37" s="1291"/>
      <c r="AB37" s="1291"/>
      <c r="AC37" s="1291"/>
      <c r="AD37" s="1291"/>
      <c r="AE37" s="1291"/>
      <c r="AF37" s="1557"/>
      <c r="AG37" s="557"/>
      <c r="AH37" s="557"/>
      <c r="AI37" s="557"/>
      <c r="AJ37" s="557"/>
      <c r="AK37" s="1566">
        <v>11</v>
      </c>
    </row>
    <row r="38" spans="1:37" s="1566" customFormat="1" ht="11.45" customHeight="1">
      <c r="A38" s="915"/>
      <c r="B38" s="915"/>
      <c r="C38" s="915"/>
      <c r="D38" s="915"/>
      <c r="E38" s="915"/>
      <c r="F38" s="1561"/>
      <c r="G38" s="1561"/>
      <c r="H38" s="286"/>
      <c r="N38" s="1291"/>
      <c r="P38" s="1291"/>
      <c r="Q38" s="1561"/>
      <c r="R38" s="1561"/>
      <c r="S38" s="1291"/>
      <c r="T38" s="1291"/>
      <c r="U38" s="1291"/>
      <c r="V38" s="1291"/>
      <c r="W38" s="1561"/>
      <c r="X38" s="1291"/>
      <c r="Y38" s="1291"/>
      <c r="Z38" s="479"/>
      <c r="AA38" s="1291"/>
      <c r="AB38" s="1291"/>
      <c r="AC38" s="1291"/>
      <c r="AD38" s="1291"/>
      <c r="AE38" s="1291"/>
      <c r="AF38" s="1557"/>
      <c r="AG38" s="557"/>
      <c r="AH38" s="557"/>
      <c r="AI38" s="557"/>
      <c r="AJ38" s="557"/>
      <c r="AK38" s="1566">
        <v>11</v>
      </c>
    </row>
    <row r="39" spans="1:37" s="1566" customFormat="1" ht="11.45" customHeight="1">
      <c r="A39" s="915"/>
      <c r="B39" s="915"/>
      <c r="C39" s="915"/>
      <c r="D39" s="915"/>
      <c r="E39" s="915"/>
      <c r="F39" s="1561"/>
      <c r="G39" s="1561"/>
      <c r="H39" s="286"/>
      <c r="N39" s="1291"/>
      <c r="P39" s="1291"/>
      <c r="Q39" s="1561"/>
      <c r="R39" s="1561"/>
      <c r="S39" s="1291"/>
      <c r="T39" s="1291"/>
      <c r="U39" s="1291"/>
      <c r="V39" s="1291"/>
      <c r="W39" s="1561"/>
      <c r="X39" s="1291"/>
      <c r="Y39" s="1291"/>
      <c r="Z39" s="479"/>
      <c r="AA39" s="1291"/>
      <c r="AB39" s="1291"/>
      <c r="AC39" s="1291"/>
      <c r="AD39" s="1291"/>
      <c r="AE39" s="1291"/>
      <c r="AF39" s="1557"/>
      <c r="AG39" s="557"/>
      <c r="AH39" s="557"/>
      <c r="AI39" s="557"/>
      <c r="AJ39" s="557"/>
      <c r="AK39" s="1566">
        <v>11</v>
      </c>
    </row>
    <row r="40" spans="1:37" s="1566" customFormat="1" ht="11.45" customHeight="1">
      <c r="A40" s="915"/>
      <c r="B40" s="915"/>
      <c r="C40" s="915"/>
      <c r="D40" s="915"/>
      <c r="E40" s="915"/>
      <c r="F40" s="1561"/>
      <c r="G40" s="1561"/>
      <c r="H40" s="286"/>
      <c r="N40" s="1291"/>
      <c r="P40" s="1291"/>
      <c r="Q40" s="1561"/>
      <c r="R40" s="1561"/>
      <c r="S40" s="1291"/>
      <c r="T40" s="1291"/>
      <c r="U40" s="1291"/>
      <c r="V40" s="1291"/>
      <c r="W40" s="1561"/>
      <c r="X40" s="1291"/>
      <c r="Y40" s="1291"/>
      <c r="Z40" s="479"/>
      <c r="AA40" s="1291"/>
      <c r="AB40" s="1291"/>
      <c r="AC40" s="1291"/>
      <c r="AD40" s="1291"/>
      <c r="AE40" s="1291"/>
      <c r="AF40" s="1557"/>
      <c r="AG40" s="557"/>
      <c r="AH40" s="557"/>
      <c r="AI40" s="557"/>
      <c r="AJ40" s="557"/>
      <c r="AK40" s="1566">
        <v>11</v>
      </c>
    </row>
    <row r="41" spans="1:37" s="1566" customFormat="1" ht="11.45" customHeight="1">
      <c r="A41" s="915"/>
      <c r="B41" s="915"/>
      <c r="C41" s="915"/>
      <c r="D41" s="915"/>
      <c r="E41" s="915"/>
      <c r="F41" s="1561"/>
      <c r="G41" s="1561"/>
      <c r="H41" s="286"/>
      <c r="N41" s="1291"/>
      <c r="P41" s="1291"/>
      <c r="Q41" s="1561"/>
      <c r="R41" s="1561"/>
      <c r="S41" s="1291"/>
      <c r="T41" s="1291"/>
      <c r="U41" s="1291"/>
      <c r="V41" s="1291"/>
      <c r="W41" s="1561"/>
      <c r="X41" s="1291"/>
      <c r="Y41" s="1291"/>
      <c r="Z41" s="479"/>
      <c r="AA41" s="1291"/>
      <c r="AB41" s="1291"/>
      <c r="AC41" s="1291"/>
      <c r="AD41" s="1291"/>
      <c r="AE41" s="1291"/>
      <c r="AF41" s="1557"/>
      <c r="AG41" s="557"/>
      <c r="AH41" s="557"/>
      <c r="AI41" s="557"/>
      <c r="AJ41" s="557"/>
      <c r="AK41" s="1566">
        <v>11</v>
      </c>
    </row>
    <row r="42" spans="1:37" s="1566" customFormat="1" ht="11.45" customHeight="1">
      <c r="A42" s="915"/>
      <c r="B42" s="915"/>
      <c r="C42" s="915"/>
      <c r="D42" s="915"/>
      <c r="E42" s="915"/>
      <c r="F42" s="1561"/>
      <c r="G42" s="1561"/>
      <c r="H42" s="286"/>
      <c r="N42" s="1291"/>
      <c r="P42" s="1291"/>
      <c r="Q42" s="1561"/>
      <c r="R42" s="1561"/>
      <c r="S42" s="1291"/>
      <c r="T42" s="1291"/>
      <c r="U42" s="1291"/>
      <c r="V42" s="1291"/>
      <c r="W42" s="1561"/>
      <c r="X42" s="1291"/>
      <c r="Y42" s="1291"/>
      <c r="Z42" s="479"/>
      <c r="AA42" s="1291"/>
      <c r="AB42" s="1291"/>
      <c r="AC42" s="1291"/>
      <c r="AD42" s="1291"/>
      <c r="AE42" s="1291"/>
      <c r="AF42" s="1557"/>
      <c r="AG42" s="557"/>
      <c r="AH42" s="557"/>
      <c r="AI42" s="557"/>
      <c r="AJ42" s="557"/>
      <c r="AK42" s="1566">
        <v>11</v>
      </c>
    </row>
    <row r="43" spans="1:37" s="1566" customFormat="1" ht="11.45" customHeight="1">
      <c r="A43" s="915"/>
      <c r="B43" s="915"/>
      <c r="C43" s="915"/>
      <c r="D43" s="915"/>
      <c r="E43" s="915"/>
      <c r="F43" s="1561"/>
      <c r="G43" s="1561"/>
      <c r="H43" s="286"/>
      <c r="N43" s="1291"/>
      <c r="P43" s="1291"/>
      <c r="Q43" s="1561"/>
      <c r="R43" s="1561"/>
      <c r="S43" s="1291"/>
      <c r="T43" s="1291"/>
      <c r="U43" s="1291"/>
      <c r="V43" s="1291"/>
      <c r="W43" s="1561"/>
      <c r="X43" s="1291"/>
      <c r="Y43" s="1291"/>
      <c r="Z43" s="479"/>
      <c r="AA43" s="1291"/>
      <c r="AB43" s="1291"/>
      <c r="AC43" s="1291"/>
      <c r="AD43" s="1291"/>
      <c r="AE43" s="1291"/>
      <c r="AF43" s="1557"/>
      <c r="AG43" s="557"/>
      <c r="AH43" s="557"/>
      <c r="AI43" s="557"/>
      <c r="AJ43" s="557"/>
      <c r="AK43" s="1566">
        <v>11</v>
      </c>
    </row>
    <row r="44" spans="1:37" s="1566" customFormat="1" ht="11.45" customHeight="1">
      <c r="A44" s="915"/>
      <c r="B44" s="915"/>
      <c r="C44" s="915"/>
      <c r="D44" s="915"/>
      <c r="E44" s="915"/>
      <c r="F44" s="1561"/>
      <c r="G44" s="1561"/>
      <c r="H44" s="286"/>
      <c r="N44" s="1291"/>
      <c r="P44" s="1291"/>
      <c r="Q44" s="1561"/>
      <c r="R44" s="1561"/>
      <c r="S44" s="1291"/>
      <c r="T44" s="1291"/>
      <c r="U44" s="1291"/>
      <c r="V44" s="1291"/>
      <c r="W44" s="1561"/>
      <c r="X44" s="1291"/>
      <c r="Y44" s="1291"/>
      <c r="Z44" s="479"/>
      <c r="AA44" s="1291"/>
      <c r="AB44" s="1291"/>
      <c r="AC44" s="1291"/>
      <c r="AD44" s="1291"/>
      <c r="AE44" s="1291"/>
      <c r="AF44" s="1557"/>
      <c r="AG44" s="557"/>
      <c r="AH44" s="557"/>
      <c r="AI44" s="557"/>
      <c r="AJ44" s="557"/>
      <c r="AK44" s="1566">
        <v>11</v>
      </c>
    </row>
    <row r="45" spans="1:37" s="1566" customFormat="1" ht="11.45" customHeight="1">
      <c r="A45" s="915"/>
      <c r="B45" s="915"/>
      <c r="C45" s="915"/>
      <c r="D45" s="915"/>
      <c r="E45" s="915"/>
      <c r="F45" s="1561"/>
      <c r="G45" s="1561"/>
      <c r="H45" s="286"/>
      <c r="N45" s="1291"/>
      <c r="P45" s="1291"/>
      <c r="Q45" s="1561"/>
      <c r="R45" s="1561"/>
      <c r="S45" s="1291"/>
      <c r="T45" s="1291"/>
      <c r="U45" s="1291"/>
      <c r="V45" s="1291"/>
      <c r="W45" s="1561"/>
      <c r="X45" s="1291"/>
      <c r="Y45" s="1291"/>
      <c r="Z45" s="479"/>
      <c r="AA45" s="1291"/>
      <c r="AB45" s="1291"/>
      <c r="AC45" s="1291"/>
      <c r="AD45" s="1291"/>
      <c r="AE45" s="1291"/>
      <c r="AF45" s="1557"/>
      <c r="AG45" s="557"/>
      <c r="AH45" s="557"/>
      <c r="AI45" s="557"/>
      <c r="AJ45" s="557"/>
      <c r="AK45" s="1566">
        <v>11</v>
      </c>
    </row>
    <row r="46" spans="1:37" s="1566" customFormat="1" ht="11.45" customHeight="1">
      <c r="A46" s="915"/>
      <c r="B46" s="915"/>
      <c r="C46" s="915"/>
      <c r="D46" s="915"/>
      <c r="E46" s="915"/>
      <c r="F46" s="1561"/>
      <c r="G46" s="1561"/>
      <c r="H46" s="286"/>
      <c r="N46" s="1291"/>
      <c r="P46" s="1291"/>
      <c r="Q46" s="1561"/>
      <c r="R46" s="1561"/>
      <c r="S46" s="1291"/>
      <c r="T46" s="1291"/>
      <c r="U46" s="1291"/>
      <c r="V46" s="1291"/>
      <c r="W46" s="1561"/>
      <c r="X46" s="1291"/>
      <c r="Y46" s="1291"/>
      <c r="Z46" s="479"/>
      <c r="AA46" s="1291"/>
      <c r="AB46" s="1291"/>
      <c r="AC46" s="1291"/>
      <c r="AD46" s="1291"/>
      <c r="AE46" s="1291"/>
      <c r="AF46" s="1557"/>
      <c r="AG46" s="557"/>
      <c r="AH46" s="557"/>
      <c r="AI46" s="557"/>
      <c r="AJ46" s="557"/>
      <c r="AK46" s="1566">
        <v>11</v>
      </c>
    </row>
    <row r="47" spans="1:37" s="1566" customFormat="1" ht="11.45" customHeight="1">
      <c r="A47" s="915"/>
      <c r="B47" s="915"/>
      <c r="C47" s="915"/>
      <c r="D47" s="915"/>
      <c r="E47" s="915"/>
      <c r="F47" s="1561"/>
      <c r="G47" s="1561"/>
      <c r="H47" s="286"/>
      <c r="N47" s="1291"/>
      <c r="P47" s="1291"/>
      <c r="Q47" s="1561"/>
      <c r="R47" s="1561"/>
      <c r="S47" s="1291"/>
      <c r="T47" s="1291"/>
      <c r="U47" s="1291"/>
      <c r="V47" s="1291"/>
      <c r="W47" s="1561"/>
      <c r="X47" s="1291"/>
      <c r="Y47" s="1291"/>
      <c r="Z47" s="479"/>
      <c r="AA47" s="1291"/>
      <c r="AB47" s="1291"/>
      <c r="AC47" s="1291"/>
      <c r="AD47" s="1291"/>
      <c r="AE47" s="1291"/>
      <c r="AF47" s="1557"/>
      <c r="AG47" s="557"/>
      <c r="AH47" s="557"/>
      <c r="AI47" s="557"/>
      <c r="AJ47" s="557"/>
      <c r="AK47" s="1566">
        <v>11</v>
      </c>
    </row>
    <row r="48" spans="1:37" s="1566" customFormat="1" ht="11.45" customHeight="1">
      <c r="A48" s="915"/>
      <c r="B48" s="915"/>
      <c r="C48" s="915"/>
      <c r="D48" s="915"/>
      <c r="E48" s="915"/>
      <c r="F48" s="1561"/>
      <c r="G48" s="1561"/>
      <c r="H48" s="286"/>
      <c r="N48" s="1291"/>
      <c r="P48" s="1291"/>
      <c r="Q48" s="1561"/>
      <c r="R48" s="1561"/>
      <c r="S48" s="1291"/>
      <c r="T48" s="1291"/>
      <c r="U48" s="1291"/>
      <c r="V48" s="1291"/>
      <c r="W48" s="1561"/>
      <c r="X48" s="1291"/>
      <c r="Y48" s="1291"/>
      <c r="Z48" s="479"/>
      <c r="AA48" s="1291"/>
      <c r="AB48" s="1291"/>
      <c r="AC48" s="1291"/>
      <c r="AD48" s="1291"/>
      <c r="AE48" s="1291"/>
      <c r="AF48" s="1557"/>
      <c r="AG48" s="557"/>
      <c r="AH48" s="557"/>
      <c r="AI48" s="557"/>
      <c r="AJ48" s="557"/>
      <c r="AK48" s="1566">
        <v>11</v>
      </c>
    </row>
    <row r="49" spans="1:37" s="1566" customFormat="1" ht="11.45" customHeight="1">
      <c r="A49" s="915"/>
      <c r="B49" s="915"/>
      <c r="C49" s="915"/>
      <c r="D49" s="915"/>
      <c r="E49" s="915"/>
      <c r="F49" s="1561"/>
      <c r="G49" s="1561"/>
      <c r="H49" s="286"/>
      <c r="N49" s="1291"/>
      <c r="P49" s="1291"/>
      <c r="Q49" s="1561"/>
      <c r="R49" s="1561"/>
      <c r="S49" s="1291"/>
      <c r="T49" s="1291"/>
      <c r="U49" s="1291"/>
      <c r="V49" s="1291"/>
      <c r="W49" s="1561"/>
      <c r="X49" s="1291"/>
      <c r="Y49" s="1291"/>
      <c r="Z49" s="479"/>
      <c r="AA49" s="1291"/>
      <c r="AB49" s="1291"/>
      <c r="AC49" s="1291"/>
      <c r="AD49" s="1291"/>
      <c r="AE49" s="1291"/>
      <c r="AF49" s="1557"/>
      <c r="AG49" s="557"/>
      <c r="AH49" s="557"/>
      <c r="AI49" s="557"/>
      <c r="AJ49" s="557"/>
      <c r="AK49" s="1566">
        <v>11</v>
      </c>
    </row>
    <row r="50" spans="1:37" s="1566" customFormat="1" ht="11.45" customHeight="1">
      <c r="A50" s="915"/>
      <c r="B50" s="915"/>
      <c r="C50" s="915"/>
      <c r="D50" s="915"/>
      <c r="E50" s="915"/>
      <c r="F50" s="1561"/>
      <c r="G50" s="1561"/>
      <c r="H50" s="286"/>
      <c r="N50" s="1291"/>
      <c r="P50" s="1291"/>
      <c r="Q50" s="1561"/>
      <c r="R50" s="1561"/>
      <c r="S50" s="1291"/>
      <c r="T50" s="1291"/>
      <c r="U50" s="1291"/>
      <c r="V50" s="1291"/>
      <c r="W50" s="1561"/>
      <c r="X50" s="1291"/>
      <c r="Y50" s="1291"/>
      <c r="Z50" s="479"/>
      <c r="AA50" s="1291"/>
      <c r="AB50" s="1291"/>
      <c r="AC50" s="1291"/>
      <c r="AD50" s="1291"/>
      <c r="AE50" s="1291"/>
      <c r="AF50" s="1557"/>
      <c r="AG50" s="557"/>
      <c r="AH50" s="557"/>
      <c r="AI50" s="557"/>
      <c r="AJ50" s="557"/>
      <c r="AK50" s="1566">
        <v>11</v>
      </c>
    </row>
    <row r="51" spans="1:37" s="1566" customFormat="1" ht="11.45" customHeight="1">
      <c r="A51" s="915"/>
      <c r="B51" s="915"/>
      <c r="C51" s="915"/>
      <c r="D51" s="915"/>
      <c r="E51" s="915"/>
      <c r="F51" s="1561"/>
      <c r="G51" s="1561"/>
      <c r="H51" s="286"/>
      <c r="N51" s="1291"/>
      <c r="P51" s="1291"/>
      <c r="Q51" s="1561"/>
      <c r="R51" s="1561"/>
      <c r="S51" s="1291"/>
      <c r="T51" s="1291"/>
      <c r="U51" s="1291"/>
      <c r="V51" s="1291"/>
      <c r="W51" s="1561"/>
      <c r="X51" s="1291"/>
      <c r="Y51" s="1291"/>
      <c r="Z51" s="479"/>
      <c r="AA51" s="1291"/>
      <c r="AB51" s="1291"/>
      <c r="AC51" s="1291"/>
      <c r="AD51" s="1291"/>
      <c r="AE51" s="1291"/>
      <c r="AF51" s="1557"/>
      <c r="AG51" s="557"/>
      <c r="AH51" s="557"/>
      <c r="AI51" s="557"/>
      <c r="AJ51" s="557"/>
      <c r="AK51" s="1566">
        <v>11</v>
      </c>
    </row>
    <row r="52" spans="1:37" s="1566" customFormat="1" ht="11.45" customHeight="1">
      <c r="A52" s="915"/>
      <c r="B52" s="915"/>
      <c r="C52" s="915"/>
      <c r="D52" s="915"/>
      <c r="E52" s="915"/>
      <c r="F52" s="1561"/>
      <c r="G52" s="1561"/>
      <c r="H52" s="286"/>
      <c r="N52" s="1291"/>
      <c r="P52" s="1291"/>
      <c r="Q52" s="1561"/>
      <c r="R52" s="1561"/>
      <c r="S52" s="1291"/>
      <c r="T52" s="1291"/>
      <c r="U52" s="1291"/>
      <c r="V52" s="1291"/>
      <c r="W52" s="1561"/>
      <c r="X52" s="1291"/>
      <c r="Y52" s="1291"/>
      <c r="Z52" s="479"/>
      <c r="AA52" s="1291"/>
      <c r="AB52" s="1291"/>
      <c r="AC52" s="1291"/>
      <c r="AD52" s="1291"/>
      <c r="AE52" s="1291"/>
      <c r="AF52" s="1557"/>
      <c r="AG52" s="557"/>
      <c r="AH52" s="557"/>
      <c r="AI52" s="557"/>
      <c r="AJ52" s="557"/>
      <c r="AK52" s="1566">
        <v>11</v>
      </c>
    </row>
    <row r="53" spans="1:37" s="1566" customFormat="1" ht="11.45" customHeight="1">
      <c r="A53" s="915"/>
      <c r="B53" s="915"/>
      <c r="C53" s="915"/>
      <c r="D53" s="915"/>
      <c r="E53" s="915"/>
      <c r="F53" s="1561"/>
      <c r="G53" s="1561"/>
      <c r="H53" s="286"/>
      <c r="N53" s="1291"/>
      <c r="P53" s="1291"/>
      <c r="Q53" s="1561"/>
      <c r="R53" s="1561"/>
      <c r="S53" s="1291"/>
      <c r="T53" s="1291"/>
      <c r="U53" s="1291"/>
      <c r="V53" s="1291"/>
      <c r="W53" s="1561"/>
      <c r="X53" s="1291"/>
      <c r="Y53" s="1291"/>
      <c r="Z53" s="479"/>
      <c r="AA53" s="1291"/>
      <c r="AB53" s="1291"/>
      <c r="AC53" s="1291"/>
      <c r="AD53" s="1291"/>
      <c r="AE53" s="1291"/>
      <c r="AF53" s="1557"/>
      <c r="AG53" s="557"/>
      <c r="AH53" s="557"/>
      <c r="AI53" s="557"/>
      <c r="AJ53" s="557"/>
      <c r="AK53" s="1566">
        <v>11</v>
      </c>
    </row>
    <row r="54" spans="1:37" s="1566" customFormat="1" ht="11.45" customHeight="1">
      <c r="A54" s="915"/>
      <c r="B54" s="915"/>
      <c r="C54" s="915"/>
      <c r="D54" s="915"/>
      <c r="E54" s="915"/>
      <c r="F54" s="1561"/>
      <c r="G54" s="1561"/>
      <c r="H54" s="286"/>
      <c r="N54" s="1291"/>
      <c r="P54" s="1291"/>
      <c r="Q54" s="1561"/>
      <c r="R54" s="1561"/>
      <c r="S54" s="1291"/>
      <c r="T54" s="1291"/>
      <c r="U54" s="1291"/>
      <c r="V54" s="1291"/>
      <c r="W54" s="1561"/>
      <c r="X54" s="1291"/>
      <c r="Y54" s="1291"/>
      <c r="Z54" s="479"/>
      <c r="AA54" s="1291"/>
      <c r="AB54" s="1291"/>
      <c r="AC54" s="1291"/>
      <c r="AD54" s="1291"/>
      <c r="AE54" s="1291"/>
      <c r="AF54" s="1557"/>
      <c r="AG54" s="557"/>
      <c r="AH54" s="557"/>
      <c r="AI54" s="557"/>
      <c r="AJ54" s="557"/>
      <c r="AK54" s="1566">
        <v>11</v>
      </c>
    </row>
    <row r="55" spans="1:37" s="1566" customFormat="1" ht="11.45" customHeight="1">
      <c r="A55" s="915"/>
      <c r="B55" s="915"/>
      <c r="C55" s="915"/>
      <c r="D55" s="915"/>
      <c r="E55" s="915"/>
      <c r="F55" s="1561"/>
      <c r="G55" s="1561"/>
      <c r="H55" s="286"/>
      <c r="N55" s="1291"/>
      <c r="P55" s="1291"/>
      <c r="Q55" s="1561"/>
      <c r="R55" s="1561"/>
      <c r="S55" s="1291"/>
      <c r="T55" s="1291"/>
      <c r="U55" s="1291"/>
      <c r="V55" s="1291"/>
      <c r="W55" s="1561"/>
      <c r="X55" s="1291"/>
      <c r="Y55" s="1291"/>
      <c r="Z55" s="479"/>
      <c r="AA55" s="1291"/>
      <c r="AB55" s="1291"/>
      <c r="AC55" s="1291"/>
      <c r="AD55" s="1291"/>
      <c r="AE55" s="1291"/>
      <c r="AF55" s="1557"/>
      <c r="AG55" s="557"/>
      <c r="AH55" s="557"/>
      <c r="AI55" s="557"/>
      <c r="AJ55" s="557"/>
      <c r="AK55" s="1566">
        <v>11</v>
      </c>
    </row>
    <row r="56" spans="1:37" s="1566" customFormat="1" ht="11.45" customHeight="1">
      <c r="A56" s="915"/>
      <c r="B56" s="915"/>
      <c r="C56" s="915"/>
      <c r="D56" s="915"/>
      <c r="E56" s="915"/>
      <c r="F56" s="1561"/>
      <c r="G56" s="1561"/>
      <c r="H56" s="286"/>
      <c r="N56" s="1291"/>
      <c r="P56" s="1291"/>
      <c r="Q56" s="1561"/>
      <c r="R56" s="1561"/>
      <c r="S56" s="1291"/>
      <c r="T56" s="1291"/>
      <c r="U56" s="1291"/>
      <c r="V56" s="1291"/>
      <c r="W56" s="1561"/>
      <c r="X56" s="1291"/>
      <c r="Y56" s="1291"/>
      <c r="Z56" s="479"/>
      <c r="AA56" s="1291"/>
      <c r="AB56" s="1291"/>
      <c r="AC56" s="1291"/>
      <c r="AD56" s="1291"/>
      <c r="AE56" s="1291"/>
      <c r="AF56" s="1557"/>
      <c r="AG56" s="557"/>
      <c r="AH56" s="557"/>
      <c r="AI56" s="557"/>
      <c r="AJ56" s="557"/>
      <c r="AK56" s="1566">
        <v>11</v>
      </c>
    </row>
    <row r="57" spans="1:37" s="1566" customFormat="1" ht="11.45" customHeight="1">
      <c r="A57" s="915"/>
      <c r="B57" s="915"/>
      <c r="C57" s="915"/>
      <c r="D57" s="915"/>
      <c r="E57" s="915"/>
      <c r="F57" s="1561"/>
      <c r="G57" s="1561"/>
      <c r="H57" s="286"/>
      <c r="N57" s="1291"/>
      <c r="P57" s="1291"/>
      <c r="Q57" s="1561"/>
      <c r="R57" s="1561"/>
      <c r="S57" s="1291"/>
      <c r="T57" s="1291"/>
      <c r="U57" s="1291"/>
      <c r="V57" s="1291"/>
      <c r="W57" s="1561"/>
      <c r="X57" s="1291"/>
      <c r="Y57" s="1291"/>
      <c r="Z57" s="479"/>
      <c r="AA57" s="1291"/>
      <c r="AB57" s="1291"/>
      <c r="AC57" s="1291"/>
      <c r="AD57" s="1291"/>
      <c r="AE57" s="1291"/>
      <c r="AF57" s="1557"/>
      <c r="AG57" s="557"/>
      <c r="AH57" s="557"/>
      <c r="AI57" s="557"/>
      <c r="AJ57" s="557"/>
      <c r="AK57" s="1566">
        <v>11</v>
      </c>
    </row>
    <row r="58" spans="1:37" s="1566" customFormat="1" ht="11.45" customHeight="1">
      <c r="A58" s="915"/>
      <c r="B58" s="915"/>
      <c r="C58" s="915"/>
      <c r="D58" s="915"/>
      <c r="E58" s="915"/>
      <c r="F58" s="1561"/>
      <c r="G58" s="1561"/>
      <c r="H58" s="286"/>
      <c r="N58" s="1291"/>
      <c r="P58" s="1291"/>
      <c r="Q58" s="1561"/>
      <c r="R58" s="1561"/>
      <c r="S58" s="1291"/>
      <c r="T58" s="1291"/>
      <c r="U58" s="1291"/>
      <c r="V58" s="1291"/>
      <c r="W58" s="1561"/>
      <c r="X58" s="1291"/>
      <c r="Y58" s="1291"/>
      <c r="Z58" s="479"/>
      <c r="AA58" s="1291"/>
      <c r="AB58" s="1291"/>
      <c r="AC58" s="1291"/>
      <c r="AD58" s="1291"/>
      <c r="AE58" s="1291"/>
      <c r="AF58" s="1557"/>
      <c r="AG58" s="557"/>
      <c r="AH58" s="557"/>
      <c r="AI58" s="557"/>
      <c r="AJ58" s="557"/>
      <c r="AK58" s="1566">
        <v>11</v>
      </c>
    </row>
    <row r="59" spans="1:37" s="1566" customFormat="1" ht="11.45" customHeight="1">
      <c r="A59" s="915"/>
      <c r="B59" s="915"/>
      <c r="C59" s="915"/>
      <c r="D59" s="915"/>
      <c r="E59" s="915"/>
      <c r="F59" s="1561"/>
      <c r="G59" s="1561"/>
      <c r="H59" s="286"/>
      <c r="N59" s="1291"/>
      <c r="P59" s="1291"/>
      <c r="Q59" s="1561"/>
      <c r="R59" s="1561"/>
      <c r="S59" s="1291"/>
      <c r="T59" s="1291"/>
      <c r="U59" s="1291"/>
      <c r="V59" s="1291"/>
      <c r="W59" s="1561"/>
      <c r="X59" s="1291"/>
      <c r="Y59" s="1291"/>
      <c r="Z59" s="479"/>
      <c r="AA59" s="1291"/>
      <c r="AB59" s="1291"/>
      <c r="AC59" s="1291"/>
      <c r="AD59" s="1291"/>
      <c r="AE59" s="1291"/>
      <c r="AF59" s="1557"/>
      <c r="AG59" s="557"/>
      <c r="AH59" s="557"/>
      <c r="AI59" s="557"/>
      <c r="AJ59" s="557"/>
      <c r="AK59" s="1566">
        <v>11</v>
      </c>
    </row>
    <row r="60" spans="1:37" s="1566" customFormat="1" ht="11.45" customHeight="1">
      <c r="A60" s="915"/>
      <c r="B60" s="915"/>
      <c r="C60" s="915"/>
      <c r="D60" s="915"/>
      <c r="E60" s="915"/>
      <c r="F60" s="1561"/>
      <c r="G60" s="1561"/>
      <c r="H60" s="286"/>
      <c r="N60" s="1291"/>
      <c r="P60" s="1291"/>
      <c r="Q60" s="1561"/>
      <c r="R60" s="1561"/>
      <c r="S60" s="1291"/>
      <c r="T60" s="1291"/>
      <c r="U60" s="1291"/>
      <c r="V60" s="1291"/>
      <c r="W60" s="1561"/>
      <c r="X60" s="1291"/>
      <c r="Y60" s="1291"/>
      <c r="Z60" s="479"/>
      <c r="AA60" s="1291"/>
      <c r="AB60" s="1291"/>
      <c r="AC60" s="1291"/>
      <c r="AD60" s="1291"/>
      <c r="AE60" s="1291"/>
      <c r="AF60" s="1557"/>
      <c r="AG60" s="557"/>
      <c r="AH60" s="557"/>
      <c r="AI60" s="557"/>
      <c r="AJ60" s="557"/>
      <c r="AK60" s="1566">
        <v>11</v>
      </c>
    </row>
    <row r="61" spans="1:37" s="1566" customFormat="1" ht="11.45" customHeight="1">
      <c r="A61" s="915"/>
      <c r="B61" s="915"/>
      <c r="C61" s="915"/>
      <c r="D61" s="915"/>
      <c r="E61" s="915"/>
      <c r="F61" s="1561"/>
      <c r="G61" s="1561"/>
      <c r="H61" s="286"/>
      <c r="N61" s="1291"/>
      <c r="P61" s="1291"/>
      <c r="Q61" s="1561"/>
      <c r="R61" s="1561"/>
      <c r="S61" s="1291"/>
      <c r="T61" s="1291"/>
      <c r="U61" s="1291"/>
      <c r="V61" s="1291"/>
      <c r="W61" s="1561"/>
      <c r="X61" s="1291"/>
      <c r="Y61" s="1291"/>
      <c r="Z61" s="479"/>
      <c r="AA61" s="1291"/>
      <c r="AB61" s="1291"/>
      <c r="AC61" s="1291"/>
      <c r="AD61" s="1291"/>
      <c r="AE61" s="1291"/>
      <c r="AF61" s="1557"/>
      <c r="AG61" s="557"/>
      <c r="AH61" s="557"/>
      <c r="AI61" s="557"/>
      <c r="AJ61" s="557"/>
      <c r="AK61" s="1566">
        <v>11</v>
      </c>
    </row>
    <row r="62" spans="1:37" s="1566" customFormat="1" ht="11.45" customHeight="1">
      <c r="A62" s="915"/>
      <c r="B62" s="915"/>
      <c r="C62" s="915"/>
      <c r="D62" s="915"/>
      <c r="E62" s="915"/>
      <c r="F62" s="1561"/>
      <c r="G62" s="1561"/>
      <c r="H62" s="286"/>
      <c r="N62" s="1291"/>
      <c r="P62" s="1291"/>
      <c r="Q62" s="1561"/>
      <c r="R62" s="1561"/>
      <c r="S62" s="1291"/>
      <c r="T62" s="1291"/>
      <c r="U62" s="1291"/>
      <c r="V62" s="1291"/>
      <c r="W62" s="1561"/>
      <c r="X62" s="1291"/>
      <c r="Y62" s="1291"/>
      <c r="Z62" s="479"/>
      <c r="AA62" s="1291"/>
      <c r="AB62" s="1291"/>
      <c r="AC62" s="1291"/>
      <c r="AD62" s="1291"/>
      <c r="AE62" s="1291"/>
      <c r="AF62" s="1557"/>
      <c r="AG62" s="557"/>
      <c r="AH62" s="557"/>
      <c r="AI62" s="557"/>
      <c r="AJ62" s="557"/>
      <c r="AK62" s="1566">
        <v>11</v>
      </c>
    </row>
    <row r="63" spans="1:37" s="1566" customFormat="1" ht="11.45" customHeight="1">
      <c r="A63" s="915"/>
      <c r="B63" s="915"/>
      <c r="C63" s="915"/>
      <c r="D63" s="915"/>
      <c r="E63" s="915"/>
      <c r="F63" s="1561"/>
      <c r="G63" s="1561"/>
      <c r="H63" s="286"/>
      <c r="N63" s="1291"/>
      <c r="P63" s="1291"/>
      <c r="Q63" s="1561"/>
      <c r="R63" s="1561"/>
      <c r="S63" s="1291"/>
      <c r="T63" s="1291"/>
      <c r="U63" s="1291"/>
      <c r="V63" s="1291"/>
      <c r="W63" s="1561"/>
      <c r="X63" s="1291"/>
      <c r="Y63" s="1291"/>
      <c r="Z63" s="479"/>
      <c r="AA63" s="1291"/>
      <c r="AB63" s="1291"/>
      <c r="AC63" s="1291"/>
      <c r="AD63" s="1291"/>
      <c r="AE63" s="1291"/>
      <c r="AF63" s="1557"/>
      <c r="AG63" s="557"/>
      <c r="AH63" s="557"/>
      <c r="AI63" s="557"/>
      <c r="AJ63" s="557"/>
      <c r="AK63" s="1566">
        <v>11</v>
      </c>
    </row>
    <row r="64" spans="1:37" s="1566" customFormat="1" ht="11.45" customHeight="1">
      <c r="A64" s="915"/>
      <c r="B64" s="915"/>
      <c r="C64" s="915"/>
      <c r="D64" s="915"/>
      <c r="E64" s="915"/>
      <c r="F64" s="1561"/>
      <c r="G64" s="1561"/>
      <c r="H64" s="286"/>
      <c r="N64" s="1291"/>
      <c r="P64" s="1291"/>
      <c r="Q64" s="1561"/>
      <c r="R64" s="1561"/>
      <c r="S64" s="1291"/>
      <c r="T64" s="1291"/>
      <c r="U64" s="1291"/>
      <c r="V64" s="1291"/>
      <c r="W64" s="1561"/>
      <c r="X64" s="1291"/>
      <c r="Y64" s="1291"/>
      <c r="Z64" s="479"/>
      <c r="AA64" s="1291"/>
      <c r="AB64" s="1291"/>
      <c r="AC64" s="1291"/>
      <c r="AD64" s="1291"/>
      <c r="AE64" s="1291"/>
      <c r="AF64" s="1557"/>
      <c r="AG64" s="557"/>
      <c r="AH64" s="557"/>
      <c r="AI64" s="557"/>
      <c r="AJ64" s="557"/>
      <c r="AK64" s="1566">
        <v>11</v>
      </c>
    </row>
    <row r="65" spans="1:37" s="1566" customFormat="1" ht="11.45" customHeight="1">
      <c r="A65" s="915"/>
      <c r="B65" s="915"/>
      <c r="C65" s="915"/>
      <c r="D65" s="915"/>
      <c r="E65" s="915"/>
      <c r="F65" s="1561"/>
      <c r="G65" s="1561"/>
      <c r="H65" s="286"/>
      <c r="N65" s="1291"/>
      <c r="P65" s="1291"/>
      <c r="Q65" s="1561"/>
      <c r="R65" s="1561"/>
      <c r="S65" s="1291"/>
      <c r="T65" s="1291"/>
      <c r="U65" s="1291"/>
      <c r="V65" s="1291"/>
      <c r="W65" s="1561"/>
      <c r="X65" s="1291"/>
      <c r="Y65" s="1291"/>
      <c r="Z65" s="479"/>
      <c r="AA65" s="1291"/>
      <c r="AB65" s="1291"/>
      <c r="AC65" s="1291"/>
      <c r="AD65" s="1291"/>
      <c r="AE65" s="1291"/>
      <c r="AF65" s="1557"/>
      <c r="AG65" s="557"/>
      <c r="AH65" s="557"/>
      <c r="AI65" s="557"/>
      <c r="AJ65" s="557"/>
      <c r="AK65" s="1566">
        <v>11</v>
      </c>
    </row>
    <row r="66" spans="1:37" s="1566" customFormat="1" ht="11.45" customHeight="1">
      <c r="A66" s="915"/>
      <c r="B66" s="915"/>
      <c r="C66" s="915"/>
      <c r="D66" s="915"/>
      <c r="E66" s="915"/>
      <c r="F66" s="1561"/>
      <c r="G66" s="1561"/>
      <c r="H66" s="286"/>
      <c r="N66" s="1291"/>
      <c r="P66" s="1291"/>
      <c r="Q66" s="1561"/>
      <c r="R66" s="1561"/>
      <c r="S66" s="1291"/>
      <c r="T66" s="1291"/>
      <c r="U66" s="1291"/>
      <c r="V66" s="1291"/>
      <c r="W66" s="1561"/>
      <c r="X66" s="1291"/>
      <c r="Y66" s="1291"/>
      <c r="Z66" s="479"/>
      <c r="AA66" s="1291"/>
      <c r="AB66" s="1291"/>
      <c r="AC66" s="1291"/>
      <c r="AD66" s="1291"/>
      <c r="AE66" s="1291"/>
      <c r="AF66" s="1557"/>
      <c r="AG66" s="557"/>
      <c r="AH66" s="557"/>
      <c r="AI66" s="557"/>
      <c r="AJ66" s="557"/>
      <c r="AK66" s="1566">
        <v>11</v>
      </c>
    </row>
    <row r="67" spans="1:37" s="1566" customFormat="1" ht="11.45" customHeight="1">
      <c r="A67" s="915"/>
      <c r="B67" s="915"/>
      <c r="C67" s="915"/>
      <c r="D67" s="915"/>
      <c r="E67" s="915"/>
      <c r="F67" s="1561"/>
      <c r="G67" s="1561"/>
      <c r="H67" s="286"/>
      <c r="N67" s="1291"/>
      <c r="P67" s="1291"/>
      <c r="Q67" s="1561"/>
      <c r="R67" s="1561"/>
      <c r="S67" s="1291"/>
      <c r="T67" s="1291"/>
      <c r="U67" s="1291"/>
      <c r="V67" s="1291"/>
      <c r="W67" s="1561"/>
      <c r="X67" s="1291"/>
      <c r="Y67" s="1291"/>
      <c r="Z67" s="479"/>
      <c r="AA67" s="1291"/>
      <c r="AB67" s="1291"/>
      <c r="AC67" s="1291"/>
      <c r="AD67" s="1291"/>
      <c r="AE67" s="1291"/>
      <c r="AF67" s="1557"/>
      <c r="AG67" s="557"/>
      <c r="AH67" s="557"/>
      <c r="AI67" s="557"/>
      <c r="AJ67" s="557"/>
      <c r="AK67" s="1566">
        <v>11</v>
      </c>
    </row>
    <row r="68" spans="1:37" s="1566" customFormat="1" ht="11.45" customHeight="1">
      <c r="A68" s="915"/>
      <c r="B68" s="915"/>
      <c r="C68" s="915"/>
      <c r="D68" s="915"/>
      <c r="E68" s="915"/>
      <c r="F68" s="1561"/>
      <c r="G68" s="1561"/>
      <c r="H68" s="286"/>
      <c r="N68" s="1291"/>
      <c r="P68" s="1291"/>
      <c r="Q68" s="1561"/>
      <c r="R68" s="1561"/>
      <c r="S68" s="1291"/>
      <c r="T68" s="1291"/>
      <c r="U68" s="1291"/>
      <c r="V68" s="1291"/>
      <c r="W68" s="1561"/>
      <c r="X68" s="1291"/>
      <c r="Y68" s="1291"/>
      <c r="Z68" s="479"/>
      <c r="AA68" s="1291"/>
      <c r="AB68" s="1291"/>
      <c r="AC68" s="1291"/>
      <c r="AD68" s="1291"/>
      <c r="AE68" s="1291"/>
      <c r="AF68" s="1557"/>
      <c r="AG68" s="557"/>
      <c r="AH68" s="557"/>
      <c r="AI68" s="557"/>
      <c r="AJ68" s="557"/>
      <c r="AK68" s="1566">
        <v>11</v>
      </c>
    </row>
    <row r="69" spans="1:37" s="1566" customFormat="1" ht="11.45" customHeight="1">
      <c r="A69" s="915"/>
      <c r="B69" s="915"/>
      <c r="C69" s="915"/>
      <c r="D69" s="915"/>
      <c r="E69" s="915"/>
      <c r="F69" s="1561"/>
      <c r="G69" s="1561"/>
      <c r="H69" s="286"/>
      <c r="N69" s="1291"/>
      <c r="P69" s="1291"/>
      <c r="Q69" s="1561"/>
      <c r="R69" s="1561"/>
      <c r="S69" s="1291"/>
      <c r="T69" s="1291"/>
      <c r="U69" s="1291"/>
      <c r="V69" s="1291"/>
      <c r="W69" s="1561"/>
      <c r="X69" s="1291"/>
      <c r="Y69" s="1291"/>
      <c r="Z69" s="479"/>
      <c r="AA69" s="1291"/>
      <c r="AB69" s="1291"/>
      <c r="AC69" s="1291"/>
      <c r="AD69" s="1291"/>
      <c r="AE69" s="1291"/>
      <c r="AF69" s="1557"/>
      <c r="AG69" s="557"/>
      <c r="AH69" s="557"/>
      <c r="AI69" s="557"/>
      <c r="AJ69" s="557"/>
      <c r="AK69" s="1566">
        <v>11</v>
      </c>
    </row>
    <row r="70" spans="1:37" s="1566" customFormat="1" ht="11.45" customHeight="1">
      <c r="A70" s="915"/>
      <c r="B70" s="915"/>
      <c r="C70" s="915"/>
      <c r="D70" s="915"/>
      <c r="E70" s="915"/>
      <c r="F70" s="1561"/>
      <c r="G70" s="1561"/>
      <c r="H70" s="286"/>
      <c r="N70" s="1291"/>
      <c r="P70" s="1291"/>
      <c r="Q70" s="1561"/>
      <c r="R70" s="1561"/>
      <c r="S70" s="1291"/>
      <c r="T70" s="1291"/>
      <c r="U70" s="1291"/>
      <c r="V70" s="1291"/>
      <c r="W70" s="1561"/>
      <c r="X70" s="1291"/>
      <c r="Y70" s="1291"/>
      <c r="Z70" s="479"/>
      <c r="AA70" s="1291"/>
      <c r="AB70" s="1291"/>
      <c r="AC70" s="1291"/>
      <c r="AD70" s="1291"/>
      <c r="AE70" s="1291"/>
      <c r="AF70" s="1557"/>
      <c r="AG70" s="557"/>
      <c r="AH70" s="557"/>
      <c r="AI70" s="557"/>
      <c r="AJ70" s="557"/>
      <c r="AK70" s="1566">
        <v>11</v>
      </c>
    </row>
    <row r="71" spans="1:37" s="1566" customFormat="1" ht="11.45" customHeight="1">
      <c r="A71" s="915"/>
      <c r="B71" s="915"/>
      <c r="C71" s="915"/>
      <c r="D71" s="915"/>
      <c r="E71" s="915"/>
      <c r="F71" s="1561"/>
      <c r="G71" s="1561"/>
      <c r="H71" s="286"/>
      <c r="N71" s="1291"/>
      <c r="P71" s="1291"/>
      <c r="Q71" s="1561"/>
      <c r="R71" s="1561"/>
      <c r="S71" s="1291"/>
      <c r="T71" s="1291"/>
      <c r="U71" s="1291"/>
      <c r="V71" s="1291"/>
      <c r="W71" s="1561"/>
      <c r="X71" s="1291"/>
      <c r="Y71" s="1291"/>
      <c r="Z71" s="479"/>
      <c r="AA71" s="1291"/>
      <c r="AB71" s="1291"/>
      <c r="AC71" s="1291"/>
      <c r="AD71" s="1291"/>
      <c r="AE71" s="1291"/>
      <c r="AF71" s="1557"/>
      <c r="AG71" s="557"/>
      <c r="AH71" s="557"/>
      <c r="AI71" s="557"/>
      <c r="AJ71" s="557"/>
      <c r="AK71" s="1566">
        <v>11</v>
      </c>
    </row>
    <row r="72" spans="1:37" s="1566" customFormat="1" ht="11.45" customHeight="1">
      <c r="A72" s="915"/>
      <c r="B72" s="915"/>
      <c r="C72" s="915"/>
      <c r="D72" s="915"/>
      <c r="E72" s="915"/>
      <c r="F72" s="1561"/>
      <c r="G72" s="1561"/>
      <c r="H72" s="286"/>
      <c r="N72" s="1291"/>
      <c r="P72" s="1291"/>
      <c r="Q72" s="1561"/>
      <c r="R72" s="1561"/>
      <c r="S72" s="1291"/>
      <c r="T72" s="1291"/>
      <c r="U72" s="1291"/>
      <c r="V72" s="1291"/>
      <c r="W72" s="1561"/>
      <c r="X72" s="1291"/>
      <c r="Y72" s="1291"/>
      <c r="Z72" s="479"/>
      <c r="AA72" s="1291"/>
      <c r="AB72" s="1291"/>
      <c r="AC72" s="1291"/>
      <c r="AD72" s="1291"/>
      <c r="AE72" s="1291"/>
      <c r="AF72" s="1557"/>
      <c r="AG72" s="557"/>
      <c r="AH72" s="557"/>
      <c r="AI72" s="557"/>
      <c r="AJ72" s="557"/>
      <c r="AK72" s="1566">
        <v>11</v>
      </c>
    </row>
    <row r="73" spans="1:37" s="1566" customFormat="1" ht="11.45" customHeight="1">
      <c r="A73" s="915"/>
      <c r="B73" s="915"/>
      <c r="C73" s="915"/>
      <c r="D73" s="915"/>
      <c r="E73" s="915"/>
      <c r="F73" s="1561"/>
      <c r="G73" s="1561"/>
      <c r="H73" s="286"/>
      <c r="N73" s="1291"/>
      <c r="P73" s="1291"/>
      <c r="Q73" s="1561"/>
      <c r="R73" s="1561"/>
      <c r="S73" s="1291"/>
      <c r="T73" s="1291"/>
      <c r="U73" s="1291"/>
      <c r="V73" s="1291"/>
      <c r="W73" s="1561"/>
      <c r="X73" s="1291"/>
      <c r="Y73" s="1291"/>
      <c r="Z73" s="479"/>
      <c r="AA73" s="1291"/>
      <c r="AB73" s="1291"/>
      <c r="AC73" s="1291"/>
      <c r="AD73" s="1291"/>
      <c r="AE73" s="1291"/>
      <c r="AF73" s="1557"/>
      <c r="AG73" s="557"/>
      <c r="AH73" s="557"/>
      <c r="AI73" s="557"/>
      <c r="AJ73" s="557"/>
      <c r="AK73" s="1566">
        <v>11</v>
      </c>
    </row>
    <row r="74" spans="1:37" s="1566" customFormat="1" ht="11.45" customHeight="1">
      <c r="A74" s="915"/>
      <c r="B74" s="915"/>
      <c r="C74" s="915"/>
      <c r="D74" s="915"/>
      <c r="E74" s="915"/>
      <c r="F74" s="1561"/>
      <c r="G74" s="1561"/>
      <c r="H74" s="286"/>
      <c r="N74" s="1291"/>
      <c r="P74" s="1291"/>
      <c r="Q74" s="1561"/>
      <c r="R74" s="1561"/>
      <c r="S74" s="1291"/>
      <c r="T74" s="1291"/>
      <c r="U74" s="1291"/>
      <c r="V74" s="1291"/>
      <c r="W74" s="1561"/>
      <c r="X74" s="1291"/>
      <c r="Y74" s="1291"/>
      <c r="Z74" s="479"/>
      <c r="AA74" s="1291"/>
      <c r="AB74" s="1291"/>
      <c r="AC74" s="1291"/>
      <c r="AD74" s="1291"/>
      <c r="AE74" s="1291"/>
      <c r="AF74" s="1557"/>
      <c r="AG74" s="557"/>
      <c r="AH74" s="557"/>
      <c r="AI74" s="557"/>
      <c r="AJ74" s="557"/>
      <c r="AK74" s="1566">
        <v>11</v>
      </c>
    </row>
    <row r="75" spans="1:37" s="1566" customFormat="1" ht="11.45" customHeight="1">
      <c r="A75" s="915"/>
      <c r="B75" s="915"/>
      <c r="C75" s="915"/>
      <c r="D75" s="915"/>
      <c r="E75" s="915"/>
      <c r="F75" s="1561"/>
      <c r="G75" s="1561"/>
      <c r="H75" s="286"/>
      <c r="N75" s="1291"/>
      <c r="P75" s="1291"/>
      <c r="Q75" s="1561"/>
      <c r="R75" s="1561"/>
      <c r="S75" s="1291"/>
      <c r="T75" s="1291"/>
      <c r="U75" s="1291"/>
      <c r="V75" s="1291"/>
      <c r="W75" s="1561"/>
      <c r="X75" s="1291"/>
      <c r="Y75" s="1291"/>
      <c r="Z75" s="479"/>
      <c r="AA75" s="1291"/>
      <c r="AB75" s="1291"/>
      <c r="AC75" s="1291"/>
      <c r="AD75" s="1291"/>
      <c r="AE75" s="1291"/>
      <c r="AF75" s="1557"/>
      <c r="AG75" s="557"/>
      <c r="AH75" s="557"/>
      <c r="AI75" s="557"/>
      <c r="AJ75" s="557"/>
      <c r="AK75" s="1566">
        <v>11</v>
      </c>
    </row>
    <row r="76" spans="1:37" s="1566" customFormat="1" ht="11.45" customHeight="1">
      <c r="A76" s="915"/>
      <c r="B76" s="915"/>
      <c r="C76" s="915"/>
      <c r="D76" s="915"/>
      <c r="E76" s="915"/>
      <c r="F76" s="1561"/>
      <c r="G76" s="1561"/>
      <c r="H76" s="286"/>
      <c r="N76" s="1291"/>
      <c r="P76" s="1291"/>
      <c r="Q76" s="1561"/>
      <c r="R76" s="1561"/>
      <c r="S76" s="1291"/>
      <c r="T76" s="1291"/>
      <c r="U76" s="1291"/>
      <c r="V76" s="1291"/>
      <c r="W76" s="1561"/>
      <c r="X76" s="1291"/>
      <c r="Y76" s="1291"/>
      <c r="Z76" s="479"/>
      <c r="AA76" s="1291"/>
      <c r="AB76" s="1291"/>
      <c r="AC76" s="1291"/>
      <c r="AD76" s="1291"/>
      <c r="AE76" s="1291"/>
      <c r="AF76" s="1557"/>
      <c r="AG76" s="557"/>
      <c r="AH76" s="557"/>
      <c r="AI76" s="557"/>
      <c r="AJ76" s="557"/>
      <c r="AK76" s="1566">
        <v>11</v>
      </c>
    </row>
    <row r="77" spans="1:37" s="1566" customFormat="1" ht="11.45" customHeight="1">
      <c r="A77" s="915"/>
      <c r="B77" s="915"/>
      <c r="C77" s="915"/>
      <c r="D77" s="915"/>
      <c r="E77" s="915"/>
      <c r="F77" s="1561"/>
      <c r="G77" s="1561"/>
      <c r="H77" s="286"/>
      <c r="N77" s="1291"/>
      <c r="P77" s="1291"/>
      <c r="Q77" s="1561"/>
      <c r="R77" s="1561"/>
      <c r="S77" s="1291"/>
      <c r="T77" s="1291"/>
      <c r="U77" s="1291"/>
      <c r="V77" s="1291"/>
      <c r="W77" s="1561"/>
      <c r="X77" s="1291"/>
      <c r="Y77" s="1291"/>
      <c r="Z77" s="479"/>
      <c r="AA77" s="1291"/>
      <c r="AB77" s="1291"/>
      <c r="AC77" s="1291"/>
      <c r="AD77" s="1291"/>
      <c r="AE77" s="1291"/>
      <c r="AF77" s="1557"/>
      <c r="AG77" s="557"/>
      <c r="AH77" s="557"/>
      <c r="AI77" s="557"/>
      <c r="AJ77" s="557"/>
      <c r="AK77" s="1566">
        <v>11</v>
      </c>
    </row>
    <row r="78" spans="1:37" s="1566" customFormat="1" ht="11.45" customHeight="1">
      <c r="A78" s="915"/>
      <c r="B78" s="915"/>
      <c r="C78" s="915"/>
      <c r="D78" s="915"/>
      <c r="E78" s="915"/>
      <c r="F78" s="1561"/>
      <c r="G78" s="1561"/>
      <c r="H78" s="286"/>
      <c r="N78" s="1291"/>
      <c r="P78" s="1291"/>
      <c r="Q78" s="1561"/>
      <c r="R78" s="1561"/>
      <c r="S78" s="1291"/>
      <c r="T78" s="1291"/>
      <c r="U78" s="1291"/>
      <c r="V78" s="1291"/>
      <c r="W78" s="1561"/>
      <c r="X78" s="1291"/>
      <c r="Y78" s="1291"/>
      <c r="Z78" s="479"/>
      <c r="AA78" s="1291"/>
      <c r="AB78" s="1291"/>
      <c r="AC78" s="1291"/>
      <c r="AD78" s="1291"/>
      <c r="AE78" s="1291"/>
      <c r="AF78" s="1557"/>
      <c r="AG78" s="557"/>
      <c r="AH78" s="557"/>
      <c r="AI78" s="557"/>
      <c r="AJ78" s="557"/>
      <c r="AK78" s="1566">
        <v>11</v>
      </c>
    </row>
    <row r="79" spans="1:37" s="1566" customFormat="1" ht="11.45" customHeight="1">
      <c r="A79" s="915"/>
      <c r="B79" s="915"/>
      <c r="C79" s="915"/>
      <c r="D79" s="915"/>
      <c r="E79" s="915"/>
      <c r="F79" s="1561"/>
      <c r="G79" s="1561"/>
      <c r="H79" s="286"/>
      <c r="N79" s="1291"/>
      <c r="P79" s="1291"/>
      <c r="Q79" s="1561"/>
      <c r="R79" s="1561"/>
      <c r="S79" s="1291"/>
      <c r="T79" s="1291"/>
      <c r="U79" s="1291"/>
      <c r="V79" s="1291"/>
      <c r="W79" s="1561"/>
      <c r="X79" s="1291"/>
      <c r="Y79" s="1291"/>
      <c r="Z79" s="479"/>
      <c r="AA79" s="1291"/>
      <c r="AB79" s="1291"/>
      <c r="AC79" s="1291"/>
      <c r="AD79" s="1291"/>
      <c r="AE79" s="1291"/>
      <c r="AF79" s="1557"/>
      <c r="AG79" s="557"/>
      <c r="AH79" s="557"/>
      <c r="AI79" s="557"/>
      <c r="AJ79" s="557"/>
      <c r="AK79" s="1566">
        <v>11</v>
      </c>
    </row>
    <row r="80" spans="1:37" s="1566" customFormat="1" ht="11.45" customHeight="1">
      <c r="A80" s="915"/>
      <c r="B80" s="915"/>
      <c r="C80" s="915"/>
      <c r="D80" s="915"/>
      <c r="E80" s="915"/>
      <c r="F80" s="1561"/>
      <c r="G80" s="1561"/>
      <c r="H80" s="286"/>
      <c r="N80" s="1291"/>
      <c r="P80" s="1291"/>
      <c r="Q80" s="1561"/>
      <c r="R80" s="1561"/>
      <c r="S80" s="1291"/>
      <c r="T80" s="1291"/>
      <c r="U80" s="1291"/>
      <c r="V80" s="1291"/>
      <c r="W80" s="1561"/>
      <c r="X80" s="1291"/>
      <c r="Y80" s="1291"/>
      <c r="Z80" s="479"/>
      <c r="AA80" s="1291"/>
      <c r="AB80" s="1291"/>
      <c r="AC80" s="1291"/>
      <c r="AD80" s="1291"/>
      <c r="AE80" s="1291"/>
      <c r="AF80" s="1557"/>
      <c r="AG80" s="557"/>
      <c r="AH80" s="557"/>
      <c r="AI80" s="557"/>
      <c r="AJ80" s="557"/>
      <c r="AK80" s="1566">
        <v>11</v>
      </c>
    </row>
    <row r="81" spans="1:37" s="1566" customFormat="1" ht="11.45" customHeight="1">
      <c r="A81" s="915"/>
      <c r="B81" s="915"/>
      <c r="C81" s="915"/>
      <c r="D81" s="915"/>
      <c r="E81" s="915"/>
      <c r="F81" s="1561"/>
      <c r="G81" s="1561"/>
      <c r="H81" s="286"/>
      <c r="N81" s="1291"/>
      <c r="P81" s="1291"/>
      <c r="Q81" s="1561"/>
      <c r="R81" s="1561"/>
      <c r="S81" s="1291"/>
      <c r="T81" s="1291"/>
      <c r="U81" s="1291"/>
      <c r="V81" s="1291"/>
      <c r="W81" s="1561"/>
      <c r="X81" s="1291"/>
      <c r="Y81" s="1291"/>
      <c r="Z81" s="479"/>
      <c r="AA81" s="1291"/>
      <c r="AB81" s="1291"/>
      <c r="AC81" s="1291"/>
      <c r="AD81" s="1291"/>
      <c r="AE81" s="1291"/>
      <c r="AF81" s="1557"/>
      <c r="AG81" s="557"/>
      <c r="AH81" s="557"/>
      <c r="AI81" s="557"/>
      <c r="AJ81" s="557"/>
      <c r="AK81" s="1566">
        <v>11</v>
      </c>
    </row>
    <row r="82" spans="1:37" s="1566" customFormat="1" ht="11.45" customHeight="1">
      <c r="A82" s="915"/>
      <c r="B82" s="915"/>
      <c r="C82" s="915"/>
      <c r="D82" s="915"/>
      <c r="E82" s="915"/>
      <c r="F82" s="1561"/>
      <c r="G82" s="1561"/>
      <c r="H82" s="286"/>
      <c r="N82" s="1291"/>
      <c r="P82" s="1291"/>
      <c r="Q82" s="1561"/>
      <c r="R82" s="1561"/>
      <c r="S82" s="1291"/>
      <c r="T82" s="1291"/>
      <c r="U82" s="1291"/>
      <c r="V82" s="1291"/>
      <c r="W82" s="1561"/>
      <c r="X82" s="1291"/>
      <c r="Y82" s="1291"/>
      <c r="Z82" s="479"/>
      <c r="AA82" s="1291"/>
      <c r="AB82" s="1291"/>
      <c r="AC82" s="1291"/>
      <c r="AD82" s="1291"/>
      <c r="AE82" s="1291"/>
      <c r="AF82" s="1557"/>
      <c r="AG82" s="557"/>
      <c r="AH82" s="557"/>
      <c r="AI82" s="557"/>
      <c r="AJ82" s="557"/>
      <c r="AK82" s="1566">
        <v>11</v>
      </c>
    </row>
    <row r="83" spans="1:37" s="1566" customFormat="1" ht="11.45" customHeight="1">
      <c r="A83" s="915"/>
      <c r="B83" s="915"/>
      <c r="C83" s="915"/>
      <c r="D83" s="915"/>
      <c r="E83" s="915"/>
      <c r="F83" s="1561"/>
      <c r="G83" s="1561"/>
      <c r="H83" s="286"/>
      <c r="N83" s="1291"/>
      <c r="P83" s="1291"/>
      <c r="Q83" s="1561"/>
      <c r="R83" s="1561"/>
      <c r="S83" s="1291"/>
      <c r="T83" s="1291"/>
      <c r="U83" s="1291"/>
      <c r="V83" s="1291"/>
      <c r="W83" s="1561"/>
      <c r="X83" s="1291"/>
      <c r="Y83" s="1291"/>
      <c r="Z83" s="479"/>
      <c r="AA83" s="1291"/>
      <c r="AB83" s="1291"/>
      <c r="AC83" s="1291"/>
      <c r="AD83" s="1291"/>
      <c r="AE83" s="1291"/>
      <c r="AF83" s="1557"/>
      <c r="AG83" s="557"/>
      <c r="AH83" s="557"/>
      <c r="AI83" s="557"/>
      <c r="AJ83" s="557"/>
      <c r="AK83" s="1566">
        <v>11</v>
      </c>
    </row>
    <row r="84" spans="1:37" s="1566" customFormat="1" ht="11.45" customHeight="1">
      <c r="A84" s="915"/>
      <c r="B84" s="915"/>
      <c r="C84" s="915"/>
      <c r="D84" s="915"/>
      <c r="E84" s="915"/>
      <c r="F84" s="1561"/>
      <c r="G84" s="1561"/>
      <c r="H84" s="286"/>
      <c r="N84" s="1291"/>
      <c r="P84" s="1291"/>
      <c r="Q84" s="1561"/>
      <c r="R84" s="1561"/>
      <c r="S84" s="1291"/>
      <c r="T84" s="1291"/>
      <c r="U84" s="1291"/>
      <c r="V84" s="1291"/>
      <c r="W84" s="1561"/>
      <c r="X84" s="1291"/>
      <c r="Y84" s="1291"/>
      <c r="Z84" s="479"/>
      <c r="AA84" s="1291"/>
      <c r="AB84" s="1291"/>
      <c r="AC84" s="1291"/>
      <c r="AD84" s="1291"/>
      <c r="AE84" s="1291"/>
      <c r="AF84" s="1557"/>
      <c r="AG84" s="557"/>
      <c r="AH84" s="557"/>
      <c r="AI84" s="557"/>
      <c r="AJ84" s="557"/>
      <c r="AK84" s="1566">
        <v>11</v>
      </c>
    </row>
    <row r="85" spans="1:37" s="1566" customFormat="1" ht="11.45" customHeight="1">
      <c r="A85" s="915"/>
      <c r="B85" s="915"/>
      <c r="C85" s="915"/>
      <c r="D85" s="915"/>
      <c r="E85" s="915"/>
      <c r="F85" s="1561"/>
      <c r="G85" s="1561"/>
      <c r="H85" s="286"/>
      <c r="N85" s="1291"/>
      <c r="P85" s="1291"/>
      <c r="Q85" s="1561"/>
      <c r="R85" s="1561"/>
      <c r="S85" s="1291"/>
      <c r="T85" s="1291"/>
      <c r="U85" s="1291"/>
      <c r="V85" s="1291"/>
      <c r="W85" s="1561"/>
      <c r="X85" s="1291"/>
      <c r="Y85" s="1291"/>
      <c r="Z85" s="479"/>
      <c r="AA85" s="1291"/>
      <c r="AB85" s="1291"/>
      <c r="AC85" s="1291"/>
      <c r="AD85" s="1291"/>
      <c r="AE85" s="1291"/>
      <c r="AF85" s="1557"/>
      <c r="AG85" s="557"/>
      <c r="AH85" s="557"/>
      <c r="AI85" s="557"/>
      <c r="AJ85" s="557"/>
      <c r="AK85" s="1566">
        <v>11</v>
      </c>
    </row>
    <row r="86" spans="1:37" s="1566" customFormat="1" ht="11.45" customHeight="1">
      <c r="A86" s="915"/>
      <c r="B86" s="915"/>
      <c r="C86" s="915"/>
      <c r="D86" s="915"/>
      <c r="E86" s="915"/>
      <c r="F86" s="1561"/>
      <c r="G86" s="1561"/>
      <c r="H86" s="286"/>
      <c r="N86" s="1291"/>
      <c r="P86" s="1291"/>
      <c r="Q86" s="1561"/>
      <c r="R86" s="1561"/>
      <c r="S86" s="1291"/>
      <c r="T86" s="1291"/>
      <c r="U86" s="1291"/>
      <c r="V86" s="1291"/>
      <c r="W86" s="1561"/>
      <c r="X86" s="1291"/>
      <c r="Y86" s="1291"/>
      <c r="Z86" s="479"/>
      <c r="AA86" s="1291"/>
      <c r="AB86" s="1291"/>
      <c r="AC86" s="1291"/>
      <c r="AD86" s="1291"/>
      <c r="AE86" s="1291"/>
      <c r="AF86" s="1557"/>
      <c r="AG86" s="557"/>
      <c r="AH86" s="557"/>
      <c r="AI86" s="557"/>
      <c r="AJ86" s="557"/>
      <c r="AK86" s="1566">
        <v>11</v>
      </c>
    </row>
    <row r="87" spans="1:37" s="1566" customFormat="1" ht="11.45" customHeight="1">
      <c r="A87" s="915"/>
      <c r="B87" s="915"/>
      <c r="C87" s="915"/>
      <c r="D87" s="915"/>
      <c r="E87" s="915"/>
      <c r="F87" s="1561"/>
      <c r="G87" s="1561"/>
      <c r="H87" s="286"/>
      <c r="N87" s="1291"/>
      <c r="P87" s="1291"/>
      <c r="Q87" s="1561"/>
      <c r="R87" s="1561"/>
      <c r="S87" s="1291"/>
      <c r="T87" s="1291"/>
      <c r="U87" s="1291"/>
      <c r="V87" s="1291"/>
      <c r="W87" s="1561"/>
      <c r="X87" s="1291"/>
      <c r="Y87" s="1291"/>
      <c r="Z87" s="479"/>
      <c r="AA87" s="1291"/>
      <c r="AB87" s="1291"/>
      <c r="AC87" s="1291"/>
      <c r="AD87" s="1291"/>
      <c r="AE87" s="1291"/>
      <c r="AF87" s="1557"/>
      <c r="AG87" s="557"/>
      <c r="AH87" s="557"/>
      <c r="AI87" s="557"/>
      <c r="AJ87" s="557"/>
      <c r="AK87" s="1566">
        <v>11</v>
      </c>
    </row>
    <row r="88" spans="1:37" s="1566" customFormat="1" ht="11.45" customHeight="1">
      <c r="A88" s="915"/>
      <c r="B88" s="915"/>
      <c r="C88" s="915"/>
      <c r="D88" s="915"/>
      <c r="E88" s="915"/>
      <c r="F88" s="1561"/>
      <c r="G88" s="1561"/>
      <c r="H88" s="286"/>
      <c r="N88" s="1291"/>
      <c r="P88" s="1291"/>
      <c r="Q88" s="1561"/>
      <c r="R88" s="1561"/>
      <c r="S88" s="1291"/>
      <c r="T88" s="1291"/>
      <c r="U88" s="1291"/>
      <c r="V88" s="1291"/>
      <c r="W88" s="1561"/>
      <c r="X88" s="1291"/>
      <c r="Y88" s="1291"/>
      <c r="Z88" s="479"/>
      <c r="AA88" s="1291"/>
      <c r="AB88" s="1291"/>
      <c r="AC88" s="1291"/>
      <c r="AD88" s="1291"/>
      <c r="AE88" s="1291"/>
      <c r="AF88" s="1557"/>
      <c r="AG88" s="557"/>
      <c r="AH88" s="557"/>
      <c r="AI88" s="557"/>
      <c r="AJ88" s="557"/>
      <c r="AK88" s="1566">
        <v>11</v>
      </c>
    </row>
    <row r="89" spans="1:37" s="1566" customFormat="1" ht="11.45" customHeight="1">
      <c r="A89" s="915"/>
      <c r="B89" s="915"/>
      <c r="C89" s="915"/>
      <c r="D89" s="915"/>
      <c r="E89" s="915"/>
      <c r="F89" s="1561"/>
      <c r="G89" s="1561"/>
      <c r="H89" s="286"/>
      <c r="N89" s="1291"/>
      <c r="P89" s="1291"/>
      <c r="Q89" s="1561"/>
      <c r="R89" s="1561"/>
      <c r="S89" s="1291"/>
      <c r="T89" s="1291"/>
      <c r="U89" s="1291"/>
      <c r="V89" s="1291"/>
      <c r="W89" s="1561"/>
      <c r="X89" s="1291"/>
      <c r="Y89" s="1291"/>
      <c r="Z89" s="479"/>
      <c r="AA89" s="1291"/>
      <c r="AB89" s="1291"/>
      <c r="AC89" s="1291"/>
      <c r="AD89" s="1291"/>
      <c r="AE89" s="1291"/>
      <c r="AF89" s="1557"/>
      <c r="AG89" s="557"/>
      <c r="AH89" s="557"/>
      <c r="AI89" s="557"/>
      <c r="AJ89" s="557"/>
      <c r="AK89" s="1566">
        <v>11</v>
      </c>
    </row>
    <row r="90" spans="1:37" s="1566" customFormat="1" ht="11.45" customHeight="1">
      <c r="A90" s="915"/>
      <c r="B90" s="915"/>
      <c r="C90" s="915"/>
      <c r="D90" s="915"/>
      <c r="E90" s="915"/>
      <c r="F90" s="1561"/>
      <c r="G90" s="1561"/>
      <c r="H90" s="286"/>
      <c r="N90" s="1291"/>
      <c r="P90" s="1291"/>
      <c r="Q90" s="1561"/>
      <c r="R90" s="1561"/>
      <c r="S90" s="1291"/>
      <c r="T90" s="1291"/>
      <c r="U90" s="1291"/>
      <c r="V90" s="1291"/>
      <c r="W90" s="1561"/>
      <c r="X90" s="1291"/>
      <c r="Y90" s="1291"/>
      <c r="Z90" s="479"/>
      <c r="AA90" s="1291"/>
      <c r="AB90" s="1291"/>
      <c r="AC90" s="1291"/>
      <c r="AD90" s="1291"/>
      <c r="AE90" s="1291"/>
      <c r="AF90" s="1557"/>
      <c r="AG90" s="557"/>
      <c r="AH90" s="557"/>
      <c r="AI90" s="557"/>
      <c r="AJ90" s="557"/>
      <c r="AK90" s="1566">
        <v>11</v>
      </c>
    </row>
    <row r="91" spans="1:37" s="1566" customFormat="1" ht="11.45" customHeight="1">
      <c r="A91" s="915"/>
      <c r="B91" s="915"/>
      <c r="C91" s="915"/>
      <c r="D91" s="915"/>
      <c r="E91" s="915"/>
      <c r="F91" s="1561"/>
      <c r="G91" s="1561"/>
      <c r="H91" s="286"/>
      <c r="N91" s="1291"/>
      <c r="P91" s="1291"/>
      <c r="Q91" s="1561"/>
      <c r="R91" s="1561"/>
      <c r="S91" s="1291"/>
      <c r="T91" s="1291"/>
      <c r="U91" s="1291"/>
      <c r="V91" s="1291"/>
      <c r="W91" s="1561"/>
      <c r="X91" s="1291"/>
      <c r="Y91" s="1291"/>
      <c r="Z91" s="479"/>
      <c r="AA91" s="1291"/>
      <c r="AB91" s="1291"/>
      <c r="AC91" s="1291"/>
      <c r="AD91" s="1291"/>
      <c r="AE91" s="1291"/>
      <c r="AF91" s="1557"/>
      <c r="AG91" s="557"/>
      <c r="AH91" s="557"/>
      <c r="AI91" s="557"/>
      <c r="AJ91" s="557"/>
      <c r="AK91" s="1566">
        <v>11</v>
      </c>
    </row>
    <row r="92" spans="1:37" s="1566" customFormat="1" ht="11.45" customHeight="1">
      <c r="A92" s="915"/>
      <c r="B92" s="915"/>
      <c r="C92" s="915"/>
      <c r="D92" s="915"/>
      <c r="E92" s="915"/>
      <c r="F92" s="1561"/>
      <c r="G92" s="1561"/>
      <c r="H92" s="286"/>
      <c r="N92" s="1291"/>
      <c r="P92" s="1291"/>
      <c r="Q92" s="1561"/>
      <c r="R92" s="1561"/>
      <c r="S92" s="1291"/>
      <c r="T92" s="1291"/>
      <c r="U92" s="1291"/>
      <c r="V92" s="1291"/>
      <c r="W92" s="1561"/>
      <c r="X92" s="1291"/>
      <c r="Y92" s="1291"/>
      <c r="Z92" s="479"/>
      <c r="AA92" s="1291"/>
      <c r="AB92" s="1291"/>
      <c r="AC92" s="1291"/>
      <c r="AD92" s="1291"/>
      <c r="AE92" s="1291"/>
      <c r="AF92" s="1557"/>
      <c r="AG92" s="557"/>
      <c r="AH92" s="557"/>
      <c r="AI92" s="557"/>
      <c r="AJ92" s="557"/>
      <c r="AK92" s="1566">
        <v>11</v>
      </c>
    </row>
    <row r="93" spans="1:37" s="1566" customFormat="1" ht="11.45" customHeight="1">
      <c r="A93" s="915"/>
      <c r="B93" s="915"/>
      <c r="C93" s="915"/>
      <c r="D93" s="915"/>
      <c r="E93" s="915"/>
      <c r="F93" s="1561"/>
      <c r="G93" s="1561"/>
      <c r="H93" s="286"/>
      <c r="N93" s="1291"/>
      <c r="P93" s="1291"/>
      <c r="Q93" s="1561"/>
      <c r="R93" s="1561"/>
      <c r="S93" s="1291"/>
      <c r="T93" s="1291"/>
      <c r="U93" s="1291"/>
      <c r="V93" s="1291"/>
      <c r="W93" s="1561"/>
      <c r="X93" s="1291"/>
      <c r="Y93" s="1291"/>
      <c r="Z93" s="479"/>
      <c r="AA93" s="1291"/>
      <c r="AB93" s="1291"/>
      <c r="AC93" s="1291"/>
      <c r="AD93" s="1291"/>
      <c r="AE93" s="1291"/>
      <c r="AF93" s="1557"/>
      <c r="AG93" s="557"/>
      <c r="AH93" s="557"/>
      <c r="AI93" s="557"/>
      <c r="AJ93" s="557"/>
      <c r="AK93" s="1566">
        <v>11</v>
      </c>
    </row>
    <row r="94" spans="1:37" s="1566" customFormat="1" ht="11.45" customHeight="1">
      <c r="A94" s="915"/>
      <c r="B94" s="915"/>
      <c r="C94" s="915"/>
      <c r="D94" s="915"/>
      <c r="E94" s="915"/>
      <c r="F94" s="1561"/>
      <c r="G94" s="1561"/>
      <c r="H94" s="286"/>
      <c r="N94" s="1291"/>
      <c r="P94" s="1291"/>
      <c r="Q94" s="1561"/>
      <c r="R94" s="1561"/>
      <c r="S94" s="1291"/>
      <c r="T94" s="1291"/>
      <c r="U94" s="1291"/>
      <c r="V94" s="1291"/>
      <c r="W94" s="1561"/>
      <c r="X94" s="1291"/>
      <c r="Y94" s="1291"/>
      <c r="Z94" s="479"/>
      <c r="AA94" s="1291"/>
      <c r="AB94" s="1291"/>
      <c r="AC94" s="1291"/>
      <c r="AD94" s="1291"/>
      <c r="AE94" s="1291"/>
      <c r="AF94" s="1557"/>
      <c r="AG94" s="557"/>
      <c r="AH94" s="557"/>
      <c r="AI94" s="557"/>
      <c r="AJ94" s="557"/>
      <c r="AK94" s="1566">
        <v>11</v>
      </c>
    </row>
    <row r="95" spans="1:37" s="1566" customFormat="1" ht="11.45" customHeight="1">
      <c r="A95" s="915"/>
      <c r="B95" s="915"/>
      <c r="C95" s="915"/>
      <c r="D95" s="915"/>
      <c r="E95" s="915"/>
      <c r="F95" s="1561"/>
      <c r="G95" s="1561"/>
      <c r="H95" s="286"/>
      <c r="N95" s="1291"/>
      <c r="P95" s="1291"/>
      <c r="Q95" s="1561"/>
      <c r="R95" s="1561"/>
      <c r="S95" s="1291"/>
      <c r="T95" s="1291"/>
      <c r="U95" s="1291"/>
      <c r="V95" s="1291"/>
      <c r="W95" s="1561"/>
      <c r="X95" s="1291"/>
      <c r="Y95" s="1291"/>
      <c r="Z95" s="479"/>
      <c r="AA95" s="1291"/>
      <c r="AB95" s="1291"/>
      <c r="AC95" s="1291"/>
      <c r="AD95" s="1291"/>
      <c r="AE95" s="1291"/>
      <c r="AF95" s="1557"/>
      <c r="AG95" s="557"/>
      <c r="AH95" s="557"/>
      <c r="AI95" s="557"/>
      <c r="AJ95" s="557"/>
      <c r="AK95" s="1566">
        <v>11</v>
      </c>
    </row>
    <row r="96" spans="1:37" s="1566" customFormat="1" ht="11.45" customHeight="1">
      <c r="A96" s="915"/>
      <c r="B96" s="915"/>
      <c r="C96" s="915"/>
      <c r="D96" s="915"/>
      <c r="E96" s="915"/>
      <c r="F96" s="1561"/>
      <c r="G96" s="1561"/>
      <c r="H96" s="286"/>
      <c r="N96" s="1291"/>
      <c r="P96" s="1291"/>
      <c r="Q96" s="1561"/>
      <c r="R96" s="1561"/>
      <c r="S96" s="1291"/>
      <c r="T96" s="1291"/>
      <c r="U96" s="1291"/>
      <c r="V96" s="1291"/>
      <c r="W96" s="1561"/>
      <c r="X96" s="1291"/>
      <c r="Y96" s="1291"/>
      <c r="Z96" s="479"/>
      <c r="AA96" s="1291"/>
      <c r="AB96" s="1291"/>
      <c r="AC96" s="1291"/>
      <c r="AD96" s="1291"/>
      <c r="AE96" s="1291"/>
      <c r="AF96" s="1557"/>
      <c r="AG96" s="557"/>
      <c r="AH96" s="557"/>
      <c r="AI96" s="557"/>
      <c r="AJ96" s="557"/>
      <c r="AK96" s="1566">
        <v>11</v>
      </c>
    </row>
    <row r="97" spans="1:37" s="1566" customFormat="1" ht="11.45" customHeight="1">
      <c r="A97" s="915"/>
      <c r="B97" s="915"/>
      <c r="C97" s="915"/>
      <c r="D97" s="915"/>
      <c r="E97" s="915"/>
      <c r="F97" s="1561"/>
      <c r="G97" s="1561"/>
      <c r="H97" s="286"/>
      <c r="N97" s="1291"/>
      <c r="P97" s="1291"/>
      <c r="Q97" s="1561"/>
      <c r="R97" s="1561"/>
      <c r="S97" s="1291"/>
      <c r="T97" s="1291"/>
      <c r="U97" s="1291"/>
      <c r="V97" s="1291"/>
      <c r="W97" s="1561"/>
      <c r="X97" s="1291"/>
      <c r="Y97" s="1291"/>
      <c r="Z97" s="479"/>
      <c r="AA97" s="1291"/>
      <c r="AB97" s="1291"/>
      <c r="AC97" s="1291"/>
      <c r="AD97" s="1291"/>
      <c r="AE97" s="1291"/>
      <c r="AF97" s="1557"/>
      <c r="AG97" s="557"/>
      <c r="AH97" s="557"/>
      <c r="AI97" s="557"/>
      <c r="AJ97" s="557"/>
      <c r="AK97" s="1566">
        <v>11</v>
      </c>
    </row>
    <row r="98" spans="1:37" s="1566" customFormat="1" ht="11.45" customHeight="1">
      <c r="A98" s="915"/>
      <c r="B98" s="915"/>
      <c r="C98" s="915"/>
      <c r="D98" s="915"/>
      <c r="E98" s="915"/>
      <c r="F98" s="1561"/>
      <c r="G98" s="1561"/>
      <c r="H98" s="286"/>
      <c r="N98" s="1291"/>
      <c r="P98" s="1291"/>
      <c r="Q98" s="1561"/>
      <c r="R98" s="1561"/>
      <c r="S98" s="1291"/>
      <c r="T98" s="1291"/>
      <c r="U98" s="1291"/>
      <c r="V98" s="1291"/>
      <c r="W98" s="1561"/>
      <c r="X98" s="1291"/>
      <c r="Y98" s="1291"/>
      <c r="Z98" s="479"/>
      <c r="AA98" s="1291"/>
      <c r="AB98" s="1291"/>
      <c r="AC98" s="1291"/>
      <c r="AD98" s="1291"/>
      <c r="AE98" s="1291"/>
      <c r="AF98" s="1557"/>
      <c r="AG98" s="557"/>
      <c r="AH98" s="557"/>
      <c r="AI98" s="557"/>
      <c r="AJ98" s="557"/>
      <c r="AK98" s="1566">
        <v>11</v>
      </c>
    </row>
    <row r="99" spans="1:37" s="1566" customFormat="1" ht="11.45" customHeight="1">
      <c r="A99" s="915"/>
      <c r="B99" s="915"/>
      <c r="C99" s="915"/>
      <c r="D99" s="915"/>
      <c r="E99" s="915"/>
      <c r="F99" s="1561"/>
      <c r="G99" s="1561"/>
      <c r="H99" s="286"/>
      <c r="N99" s="1291"/>
      <c r="P99" s="1291"/>
      <c r="Q99" s="1561"/>
      <c r="R99" s="1561"/>
      <c r="S99" s="1291"/>
      <c r="T99" s="1291"/>
      <c r="U99" s="1291"/>
      <c r="V99" s="1291"/>
      <c r="W99" s="1561"/>
      <c r="X99" s="1291"/>
      <c r="Y99" s="1291"/>
      <c r="Z99" s="479"/>
      <c r="AA99" s="1291"/>
      <c r="AB99" s="1291"/>
      <c r="AC99" s="1291"/>
      <c r="AD99" s="1291"/>
      <c r="AE99" s="1291"/>
      <c r="AF99" s="1557"/>
      <c r="AG99" s="557"/>
      <c r="AH99" s="557"/>
      <c r="AI99" s="557"/>
      <c r="AJ99" s="557"/>
      <c r="AK99" s="1566">
        <v>11</v>
      </c>
    </row>
    <row r="100" spans="1:37" s="1566" customFormat="1" ht="11.45" customHeight="1">
      <c r="A100" s="915"/>
      <c r="B100" s="915"/>
      <c r="C100" s="915"/>
      <c r="D100" s="915"/>
      <c r="E100" s="915"/>
      <c r="F100" s="1561"/>
      <c r="G100" s="1561"/>
      <c r="H100" s="286"/>
      <c r="N100" s="1291"/>
      <c r="P100" s="1291"/>
      <c r="Q100" s="1561"/>
      <c r="R100" s="1561"/>
      <c r="S100" s="1291"/>
      <c r="T100" s="1291"/>
      <c r="U100" s="1291"/>
      <c r="V100" s="1291"/>
      <c r="W100" s="1561"/>
      <c r="X100" s="1291"/>
      <c r="Y100" s="1291"/>
      <c r="Z100" s="479"/>
      <c r="AA100" s="1291"/>
      <c r="AB100" s="1291"/>
      <c r="AC100" s="1291"/>
      <c r="AD100" s="1291"/>
      <c r="AE100" s="1291"/>
      <c r="AF100" s="1557"/>
      <c r="AG100" s="557"/>
      <c r="AH100" s="557"/>
      <c r="AI100" s="557"/>
      <c r="AJ100" s="557"/>
      <c r="AK100" s="1566">
        <v>11</v>
      </c>
    </row>
    <row r="101" spans="1:37" s="1566" customFormat="1" ht="11.45" customHeight="1">
      <c r="A101" s="915"/>
      <c r="B101" s="915"/>
      <c r="C101" s="915"/>
      <c r="D101" s="915"/>
      <c r="E101" s="915"/>
      <c r="F101" s="1561"/>
      <c r="G101" s="1561"/>
      <c r="H101" s="286"/>
      <c r="N101" s="1291"/>
      <c r="P101" s="1291"/>
      <c r="Q101" s="1561"/>
      <c r="R101" s="1561"/>
      <c r="S101" s="1291"/>
      <c r="T101" s="1291"/>
      <c r="U101" s="1291"/>
      <c r="V101" s="1291"/>
      <c r="W101" s="1561"/>
      <c r="X101" s="1291"/>
      <c r="Y101" s="1291"/>
      <c r="Z101" s="479"/>
      <c r="AA101" s="1291"/>
      <c r="AB101" s="1291"/>
      <c r="AC101" s="1291"/>
      <c r="AD101" s="1291"/>
      <c r="AE101" s="1291"/>
      <c r="AF101" s="1557"/>
      <c r="AG101" s="557"/>
      <c r="AH101" s="557"/>
      <c r="AI101" s="557"/>
      <c r="AJ101" s="557"/>
      <c r="AK101" s="1566">
        <v>11</v>
      </c>
    </row>
    <row r="102" spans="1:37" s="1566" customFormat="1" ht="11.45" customHeight="1">
      <c r="A102" s="915"/>
      <c r="B102" s="915"/>
      <c r="C102" s="915"/>
      <c r="D102" s="915"/>
      <c r="E102" s="915"/>
      <c r="F102" s="1561"/>
      <c r="G102" s="1561"/>
      <c r="H102" s="286"/>
      <c r="N102" s="1291"/>
      <c r="P102" s="1291"/>
      <c r="Q102" s="1561"/>
      <c r="R102" s="1561"/>
      <c r="S102" s="1291"/>
      <c r="T102" s="1291"/>
      <c r="U102" s="1291"/>
      <c r="V102" s="1291"/>
      <c r="W102" s="1561"/>
      <c r="X102" s="1291"/>
      <c r="Y102" s="1291"/>
      <c r="Z102" s="479"/>
      <c r="AA102" s="1291"/>
      <c r="AB102" s="1291"/>
      <c r="AC102" s="1291"/>
      <c r="AD102" s="1291"/>
      <c r="AE102" s="1291"/>
      <c r="AF102" s="1557"/>
      <c r="AG102" s="557"/>
      <c r="AH102" s="557"/>
      <c r="AI102" s="557"/>
      <c r="AJ102" s="557"/>
      <c r="AK102" s="1566">
        <v>11</v>
      </c>
    </row>
    <row r="103" spans="1:37" s="1566" customFormat="1" ht="11.45" customHeight="1">
      <c r="A103" s="915"/>
      <c r="B103" s="915"/>
      <c r="C103" s="915"/>
      <c r="D103" s="915"/>
      <c r="E103" s="915"/>
      <c r="F103" s="1561"/>
      <c r="G103" s="1561"/>
      <c r="H103" s="286"/>
      <c r="N103" s="1291"/>
      <c r="P103" s="1291"/>
      <c r="Q103" s="1561"/>
      <c r="R103" s="1561"/>
      <c r="S103" s="1291"/>
      <c r="T103" s="1291"/>
      <c r="U103" s="1291"/>
      <c r="V103" s="1291"/>
      <c r="W103" s="1561"/>
      <c r="X103" s="1291"/>
      <c r="Y103" s="1291"/>
      <c r="Z103" s="479"/>
      <c r="AA103" s="1291"/>
      <c r="AB103" s="1291"/>
      <c r="AC103" s="1291"/>
      <c r="AD103" s="1291"/>
      <c r="AE103" s="1291"/>
      <c r="AF103" s="1557"/>
      <c r="AG103" s="557"/>
      <c r="AH103" s="557"/>
      <c r="AI103" s="557"/>
      <c r="AJ103" s="557"/>
      <c r="AK103" s="1566">
        <v>11</v>
      </c>
    </row>
    <row r="104" spans="1:37" s="1566" customFormat="1" ht="11.45" customHeight="1">
      <c r="A104" s="915"/>
      <c r="B104" s="915"/>
      <c r="C104" s="915"/>
      <c r="D104" s="915"/>
      <c r="E104" s="915"/>
      <c r="F104" s="1561"/>
      <c r="G104" s="1561"/>
      <c r="H104" s="286"/>
      <c r="N104" s="1291"/>
      <c r="P104" s="1291"/>
      <c r="Q104" s="1561"/>
      <c r="R104" s="1561"/>
      <c r="S104" s="1291"/>
      <c r="T104" s="1291"/>
      <c r="U104" s="1291"/>
      <c r="V104" s="1291"/>
      <c r="W104" s="1561"/>
      <c r="X104" s="1291"/>
      <c r="Y104" s="1291"/>
      <c r="Z104" s="479"/>
      <c r="AA104" s="1291"/>
      <c r="AB104" s="1291"/>
      <c r="AC104" s="1291"/>
      <c r="AD104" s="1291"/>
      <c r="AE104" s="1291"/>
      <c r="AF104" s="1557"/>
      <c r="AG104" s="557"/>
      <c r="AH104" s="557"/>
      <c r="AI104" s="557"/>
      <c r="AJ104" s="557"/>
      <c r="AK104" s="1566">
        <v>11</v>
      </c>
    </row>
    <row r="105" spans="1:37" s="1566" customFormat="1" ht="11.45" customHeight="1">
      <c r="A105" s="915"/>
      <c r="B105" s="915"/>
      <c r="C105" s="915"/>
      <c r="D105" s="915"/>
      <c r="E105" s="915"/>
      <c r="F105" s="1561"/>
      <c r="G105" s="1561"/>
      <c r="H105" s="286"/>
      <c r="N105" s="1291"/>
      <c r="P105" s="1291"/>
      <c r="Q105" s="1561"/>
      <c r="R105" s="1561"/>
      <c r="S105" s="1291"/>
      <c r="T105" s="1291"/>
      <c r="U105" s="1291"/>
      <c r="V105" s="1291"/>
      <c r="W105" s="1561"/>
      <c r="X105" s="1291"/>
      <c r="Y105" s="1291"/>
      <c r="Z105" s="479"/>
      <c r="AA105" s="1291"/>
      <c r="AB105" s="1291"/>
      <c r="AC105" s="1291"/>
      <c r="AD105" s="1291"/>
      <c r="AE105" s="1291"/>
      <c r="AF105" s="1557"/>
      <c r="AG105" s="557"/>
      <c r="AH105" s="557"/>
      <c r="AI105" s="557"/>
      <c r="AJ105" s="557"/>
      <c r="AK105" s="1566">
        <v>11</v>
      </c>
    </row>
    <row r="106" spans="1:37" s="1566" customFormat="1" ht="11.45" customHeight="1">
      <c r="A106" s="915"/>
      <c r="B106" s="915"/>
      <c r="C106" s="915"/>
      <c r="D106" s="915"/>
      <c r="E106" s="915"/>
      <c r="F106" s="1561"/>
      <c r="G106" s="1561"/>
      <c r="H106" s="286"/>
      <c r="N106" s="1291"/>
      <c r="P106" s="1291"/>
      <c r="Q106" s="1561"/>
      <c r="R106" s="1561"/>
      <c r="S106" s="1291"/>
      <c r="T106" s="1291"/>
      <c r="U106" s="1291"/>
      <c r="V106" s="1291"/>
      <c r="W106" s="1561"/>
      <c r="X106" s="1291"/>
      <c r="Y106" s="1291"/>
      <c r="Z106" s="479"/>
      <c r="AA106" s="1291"/>
      <c r="AB106" s="1291"/>
      <c r="AC106" s="1291"/>
      <c r="AD106" s="1291"/>
      <c r="AE106" s="1291"/>
      <c r="AF106" s="1557"/>
      <c r="AG106" s="557"/>
      <c r="AH106" s="557"/>
      <c r="AI106" s="557"/>
      <c r="AJ106" s="557"/>
      <c r="AK106" s="1566">
        <v>11</v>
      </c>
    </row>
    <row r="107" spans="1:37" s="1566" customFormat="1" ht="11.45" customHeight="1">
      <c r="A107" s="915"/>
      <c r="B107" s="915"/>
      <c r="C107" s="915"/>
      <c r="D107" s="915"/>
      <c r="E107" s="915"/>
      <c r="F107" s="1561"/>
      <c r="G107" s="1561"/>
      <c r="H107" s="286"/>
      <c r="N107" s="1291"/>
      <c r="P107" s="1291"/>
      <c r="Q107" s="1561"/>
      <c r="R107" s="1561"/>
      <c r="S107" s="1291"/>
      <c r="T107" s="1291"/>
      <c r="U107" s="1291"/>
      <c r="V107" s="1291"/>
      <c r="W107" s="1561"/>
      <c r="X107" s="1291"/>
      <c r="Y107" s="1291"/>
      <c r="Z107" s="479"/>
      <c r="AA107" s="1291"/>
      <c r="AB107" s="1291"/>
      <c r="AC107" s="1291"/>
      <c r="AD107" s="1291"/>
      <c r="AE107" s="1291"/>
      <c r="AF107" s="1557"/>
      <c r="AG107" s="557"/>
      <c r="AH107" s="557"/>
      <c r="AI107" s="557"/>
      <c r="AJ107" s="557"/>
      <c r="AK107" s="1566">
        <v>11</v>
      </c>
    </row>
    <row r="108" spans="1:37" s="1566" customFormat="1" ht="11.45" customHeight="1">
      <c r="A108" s="915"/>
      <c r="B108" s="915"/>
      <c r="C108" s="915"/>
      <c r="D108" s="915"/>
      <c r="E108" s="915"/>
      <c r="F108" s="1561"/>
      <c r="G108" s="1561"/>
      <c r="H108" s="286"/>
      <c r="N108" s="1291"/>
      <c r="P108" s="1291"/>
      <c r="Q108" s="1561"/>
      <c r="R108" s="1561"/>
      <c r="S108" s="1291"/>
      <c r="T108" s="1291"/>
      <c r="U108" s="1291"/>
      <c r="V108" s="1291"/>
      <c r="W108" s="1561"/>
      <c r="X108" s="1291"/>
      <c r="Y108" s="1291"/>
      <c r="Z108" s="479"/>
      <c r="AA108" s="1291"/>
      <c r="AB108" s="1291"/>
      <c r="AC108" s="1291"/>
      <c r="AD108" s="1291"/>
      <c r="AE108" s="1291"/>
      <c r="AF108" s="1557"/>
      <c r="AG108" s="557"/>
      <c r="AH108" s="557"/>
      <c r="AI108" s="557"/>
      <c r="AJ108" s="557"/>
      <c r="AK108" s="1566">
        <v>11</v>
      </c>
    </row>
    <row r="109" spans="1:37" s="1566" customFormat="1" ht="11.45" customHeight="1">
      <c r="A109" s="915"/>
      <c r="B109" s="915"/>
      <c r="C109" s="915"/>
      <c r="D109" s="915"/>
      <c r="E109" s="915"/>
      <c r="F109" s="1561"/>
      <c r="G109" s="1561"/>
      <c r="H109" s="286"/>
      <c r="N109" s="1291"/>
      <c r="P109" s="1291"/>
      <c r="Q109" s="1561"/>
      <c r="R109" s="1561"/>
      <c r="S109" s="1291"/>
      <c r="T109" s="1291"/>
      <c r="U109" s="1291"/>
      <c r="V109" s="1291"/>
      <c r="W109" s="1561"/>
      <c r="X109" s="1291"/>
      <c r="Y109" s="1291"/>
      <c r="Z109" s="479"/>
      <c r="AA109" s="1291"/>
      <c r="AB109" s="1291"/>
      <c r="AC109" s="1291"/>
      <c r="AD109" s="1291"/>
      <c r="AE109" s="1291"/>
      <c r="AF109" s="1557"/>
      <c r="AG109" s="557"/>
      <c r="AH109" s="557"/>
      <c r="AI109" s="557"/>
      <c r="AJ109" s="557"/>
      <c r="AK109" s="1566">
        <v>11</v>
      </c>
    </row>
    <row r="110" spans="1:37" s="1566" customFormat="1" ht="11.45" customHeight="1">
      <c r="A110" s="915"/>
      <c r="B110" s="915"/>
      <c r="C110" s="915"/>
      <c r="D110" s="915"/>
      <c r="E110" s="915"/>
      <c r="F110" s="1561"/>
      <c r="G110" s="1561"/>
      <c r="H110" s="286"/>
      <c r="N110" s="1291"/>
      <c r="P110" s="1291"/>
      <c r="Q110" s="1561"/>
      <c r="R110" s="1561"/>
      <c r="S110" s="1291"/>
      <c r="T110" s="1291"/>
      <c r="U110" s="1291"/>
      <c r="V110" s="1291"/>
      <c r="W110" s="1561"/>
      <c r="X110" s="1291"/>
      <c r="Y110" s="1291"/>
      <c r="Z110" s="479"/>
      <c r="AA110" s="1291"/>
      <c r="AB110" s="1291"/>
      <c r="AC110" s="1291"/>
      <c r="AD110" s="1291"/>
      <c r="AE110" s="1291"/>
      <c r="AF110" s="1557"/>
      <c r="AG110" s="557"/>
      <c r="AH110" s="557"/>
      <c r="AI110" s="557"/>
      <c r="AJ110" s="557"/>
      <c r="AK110" s="1566">
        <v>11</v>
      </c>
    </row>
    <row r="111" spans="1:37" s="1566" customFormat="1" ht="11.45" customHeight="1">
      <c r="A111" s="915"/>
      <c r="B111" s="915"/>
      <c r="C111" s="915"/>
      <c r="D111" s="915"/>
      <c r="E111" s="915"/>
      <c r="F111" s="1561"/>
      <c r="G111" s="1561"/>
      <c r="H111" s="286"/>
      <c r="N111" s="1291"/>
      <c r="P111" s="1291"/>
      <c r="Q111" s="1561"/>
      <c r="R111" s="1561"/>
      <c r="S111" s="1291"/>
      <c r="T111" s="1291"/>
      <c r="U111" s="1291"/>
      <c r="V111" s="1291"/>
      <c r="W111" s="1561"/>
      <c r="X111" s="1291"/>
      <c r="Y111" s="1291"/>
      <c r="Z111" s="479"/>
      <c r="AA111" s="1291"/>
      <c r="AB111" s="1291"/>
      <c r="AC111" s="1291"/>
      <c r="AD111" s="1291"/>
      <c r="AE111" s="1291"/>
      <c r="AF111" s="1557"/>
      <c r="AG111" s="557"/>
      <c r="AH111" s="557"/>
      <c r="AI111" s="557"/>
      <c r="AJ111" s="557"/>
      <c r="AK111" s="1566">
        <v>11</v>
      </c>
    </row>
    <row r="112" spans="1:37" s="1566" customFormat="1" ht="11.45" customHeight="1">
      <c r="A112" s="915"/>
      <c r="B112" s="915"/>
      <c r="C112" s="915"/>
      <c r="D112" s="915"/>
      <c r="E112" s="915"/>
      <c r="F112" s="1561"/>
      <c r="G112" s="1561"/>
      <c r="H112" s="286"/>
      <c r="N112" s="1291"/>
      <c r="P112" s="1291"/>
      <c r="Q112" s="1561"/>
      <c r="R112" s="1561"/>
      <c r="S112" s="1291"/>
      <c r="T112" s="1291"/>
      <c r="U112" s="1291"/>
      <c r="V112" s="1291"/>
      <c r="W112" s="1561"/>
      <c r="X112" s="1291"/>
      <c r="Y112" s="1291"/>
      <c r="Z112" s="479"/>
      <c r="AA112" s="1291"/>
      <c r="AB112" s="1291"/>
      <c r="AC112" s="1291"/>
      <c r="AD112" s="1291"/>
      <c r="AE112" s="1291"/>
      <c r="AF112" s="1557"/>
      <c r="AG112" s="557"/>
      <c r="AH112" s="557"/>
      <c r="AI112" s="557"/>
      <c r="AJ112" s="557"/>
      <c r="AK112" s="1566">
        <v>11</v>
      </c>
    </row>
    <row r="113" spans="1:37" s="1566" customFormat="1" ht="11.45" customHeight="1">
      <c r="A113" s="915"/>
      <c r="B113" s="915"/>
      <c r="C113" s="915"/>
      <c r="D113" s="915"/>
      <c r="E113" s="915"/>
      <c r="F113" s="1561"/>
      <c r="G113" s="1561"/>
      <c r="H113" s="286"/>
      <c r="N113" s="1291"/>
      <c r="P113" s="1291"/>
      <c r="Q113" s="1561"/>
      <c r="R113" s="1561"/>
      <c r="S113" s="1291"/>
      <c r="T113" s="1291"/>
      <c r="U113" s="1291"/>
      <c r="V113" s="1291"/>
      <c r="W113" s="1561"/>
      <c r="X113" s="1291"/>
      <c r="Y113" s="1291"/>
      <c r="Z113" s="479"/>
      <c r="AA113" s="1291"/>
      <c r="AB113" s="1291"/>
      <c r="AC113" s="1291"/>
      <c r="AD113" s="1291"/>
      <c r="AE113" s="1291"/>
      <c r="AF113" s="1557"/>
      <c r="AG113" s="557"/>
      <c r="AH113" s="557"/>
      <c r="AI113" s="557"/>
      <c r="AJ113" s="557"/>
      <c r="AK113" s="1566">
        <v>11</v>
      </c>
    </row>
    <row r="114" spans="1:37" s="1566" customFormat="1" ht="11.45" customHeight="1">
      <c r="A114" s="915"/>
      <c r="B114" s="915"/>
      <c r="C114" s="915"/>
      <c r="D114" s="915"/>
      <c r="E114" s="915"/>
      <c r="F114" s="1561"/>
      <c r="G114" s="1561"/>
      <c r="H114" s="286"/>
      <c r="N114" s="1291"/>
      <c r="P114" s="1291"/>
      <c r="Q114" s="1561"/>
      <c r="R114" s="1561"/>
      <c r="S114" s="1291"/>
      <c r="T114" s="1291"/>
      <c r="U114" s="1291"/>
      <c r="V114" s="1291"/>
      <c r="W114" s="1561"/>
      <c r="X114" s="1291"/>
      <c r="Y114" s="1291"/>
      <c r="Z114" s="479"/>
      <c r="AA114" s="1291"/>
      <c r="AB114" s="1291"/>
      <c r="AC114" s="1291"/>
      <c r="AD114" s="1291"/>
      <c r="AE114" s="1291"/>
      <c r="AF114" s="1557"/>
      <c r="AG114" s="557"/>
      <c r="AH114" s="557"/>
      <c r="AI114" s="557"/>
      <c r="AJ114" s="557"/>
      <c r="AK114" s="1566">
        <v>11</v>
      </c>
    </row>
    <row r="115" spans="1:37" s="1566" customFormat="1" ht="11.45" customHeight="1">
      <c r="A115" s="915"/>
      <c r="B115" s="915"/>
      <c r="C115" s="915"/>
      <c r="D115" s="915"/>
      <c r="E115" s="915"/>
      <c r="F115" s="1561"/>
      <c r="G115" s="1561"/>
      <c r="H115" s="286"/>
      <c r="N115" s="1291"/>
      <c r="P115" s="1291"/>
      <c r="Q115" s="1561"/>
      <c r="R115" s="1561"/>
      <c r="S115" s="1291"/>
      <c r="T115" s="1291"/>
      <c r="U115" s="1291"/>
      <c r="V115" s="1291"/>
      <c r="W115" s="1561"/>
      <c r="X115" s="1291"/>
      <c r="Y115" s="1291"/>
      <c r="Z115" s="479"/>
      <c r="AA115" s="1291"/>
      <c r="AB115" s="1291"/>
      <c r="AC115" s="1291"/>
      <c r="AD115" s="1291"/>
      <c r="AE115" s="1291"/>
      <c r="AF115" s="1557"/>
      <c r="AG115" s="557"/>
      <c r="AH115" s="557"/>
      <c r="AI115" s="557"/>
      <c r="AJ115" s="557"/>
      <c r="AK115" s="1566">
        <v>11</v>
      </c>
    </row>
    <row r="116" spans="1:37" s="1566" customFormat="1" ht="11.45" customHeight="1">
      <c r="A116" s="915"/>
      <c r="B116" s="915"/>
      <c r="C116" s="915"/>
      <c r="D116" s="915"/>
      <c r="E116" s="915"/>
      <c r="F116" s="1561"/>
      <c r="G116" s="1561"/>
      <c r="H116" s="286"/>
      <c r="N116" s="1291"/>
      <c r="P116" s="1291"/>
      <c r="Q116" s="1561"/>
      <c r="R116" s="1561"/>
      <c r="S116" s="1291"/>
      <c r="T116" s="1291"/>
      <c r="U116" s="1291"/>
      <c r="V116" s="1291"/>
      <c r="W116" s="1561"/>
      <c r="X116" s="1291"/>
      <c r="Y116" s="1291"/>
      <c r="Z116" s="479"/>
      <c r="AA116" s="1291"/>
      <c r="AB116" s="1291"/>
      <c r="AC116" s="1291"/>
      <c r="AD116" s="1291"/>
      <c r="AE116" s="1291"/>
      <c r="AF116" s="1557"/>
      <c r="AG116" s="557"/>
      <c r="AH116" s="557"/>
      <c r="AI116" s="557"/>
      <c r="AJ116" s="557"/>
      <c r="AK116" s="1566">
        <v>11</v>
      </c>
    </row>
    <row r="117" spans="1:37" s="1566" customFormat="1" ht="11.45" customHeight="1">
      <c r="A117" s="915"/>
      <c r="B117" s="915"/>
      <c r="C117" s="915"/>
      <c r="D117" s="915"/>
      <c r="E117" s="915"/>
      <c r="F117" s="1561"/>
      <c r="G117" s="1561"/>
      <c r="H117" s="286"/>
      <c r="N117" s="1291"/>
      <c r="P117" s="1291"/>
      <c r="Q117" s="1561"/>
      <c r="R117" s="1561"/>
      <c r="S117" s="1291"/>
      <c r="T117" s="1291"/>
      <c r="U117" s="1291"/>
      <c r="V117" s="1291"/>
      <c r="W117" s="1561"/>
      <c r="X117" s="1291"/>
      <c r="Y117" s="1291"/>
      <c r="Z117" s="479"/>
      <c r="AA117" s="1291"/>
      <c r="AB117" s="1291"/>
      <c r="AC117" s="1291"/>
      <c r="AD117" s="1291"/>
      <c r="AE117" s="1291"/>
      <c r="AF117" s="1557"/>
      <c r="AG117" s="557"/>
      <c r="AH117" s="557"/>
      <c r="AI117" s="557"/>
      <c r="AJ117" s="557"/>
      <c r="AK117" s="1566">
        <v>11</v>
      </c>
    </row>
    <row r="118" spans="1:37" s="1566" customFormat="1" ht="11.45" customHeight="1">
      <c r="A118" s="915"/>
      <c r="B118" s="915"/>
      <c r="C118" s="915"/>
      <c r="D118" s="915"/>
      <c r="E118" s="915"/>
      <c r="F118" s="1561"/>
      <c r="G118" s="1561"/>
      <c r="H118" s="286"/>
      <c r="N118" s="1291"/>
      <c r="P118" s="1291"/>
      <c r="Q118" s="1561"/>
      <c r="R118" s="1561"/>
      <c r="S118" s="1291"/>
      <c r="T118" s="1291"/>
      <c r="U118" s="1291"/>
      <c r="V118" s="1291"/>
      <c r="W118" s="1561"/>
      <c r="X118" s="1291"/>
      <c r="Y118" s="1291"/>
      <c r="Z118" s="479"/>
      <c r="AA118" s="1291"/>
      <c r="AB118" s="1291"/>
      <c r="AC118" s="1291"/>
      <c r="AD118" s="1291"/>
      <c r="AE118" s="1291"/>
      <c r="AF118" s="1557"/>
      <c r="AG118" s="557"/>
      <c r="AH118" s="557"/>
      <c r="AI118" s="557"/>
      <c r="AJ118" s="557"/>
      <c r="AK118" s="1566">
        <v>11</v>
      </c>
    </row>
    <row r="119" spans="1:37" s="1566" customFormat="1" ht="11.45" customHeight="1">
      <c r="A119" s="915"/>
      <c r="B119" s="915"/>
      <c r="C119" s="915"/>
      <c r="D119" s="915"/>
      <c r="E119" s="915"/>
      <c r="F119" s="1561"/>
      <c r="G119" s="1561"/>
      <c r="H119" s="286"/>
      <c r="N119" s="1291"/>
      <c r="P119" s="1291"/>
      <c r="Q119" s="1561"/>
      <c r="R119" s="1561"/>
      <c r="S119" s="1291"/>
      <c r="T119" s="1291"/>
      <c r="U119" s="1291"/>
      <c r="V119" s="1291"/>
      <c r="W119" s="1561"/>
      <c r="X119" s="1291"/>
      <c r="Y119" s="1291"/>
      <c r="Z119" s="479"/>
      <c r="AA119" s="1291"/>
      <c r="AB119" s="1291"/>
      <c r="AC119" s="1291"/>
      <c r="AD119" s="1291"/>
      <c r="AE119" s="1291"/>
      <c r="AF119" s="1557"/>
      <c r="AG119" s="557"/>
      <c r="AH119" s="557"/>
      <c r="AI119" s="557"/>
      <c r="AJ119" s="557"/>
      <c r="AK119" s="1566">
        <v>11</v>
      </c>
    </row>
    <row r="120" spans="1:37" s="1566" customFormat="1" ht="11.45" customHeight="1">
      <c r="A120" s="915"/>
      <c r="B120" s="915"/>
      <c r="C120" s="915"/>
      <c r="D120" s="915"/>
      <c r="E120" s="915"/>
      <c r="F120" s="1561"/>
      <c r="G120" s="1561"/>
      <c r="H120" s="286"/>
      <c r="N120" s="1291"/>
      <c r="P120" s="1291"/>
      <c r="Q120" s="1561"/>
      <c r="R120" s="1561"/>
      <c r="S120" s="1291"/>
      <c r="T120" s="1291"/>
      <c r="U120" s="1291"/>
      <c r="V120" s="1291"/>
      <c r="W120" s="1561"/>
      <c r="X120" s="1291"/>
      <c r="Y120" s="1291"/>
      <c r="Z120" s="479"/>
      <c r="AA120" s="1291"/>
      <c r="AB120" s="1291"/>
      <c r="AC120" s="1291"/>
      <c r="AD120" s="1291"/>
      <c r="AE120" s="1291"/>
      <c r="AF120" s="1557"/>
      <c r="AG120" s="557"/>
      <c r="AH120" s="557"/>
      <c r="AI120" s="557"/>
      <c r="AJ120" s="557"/>
      <c r="AK120" s="1566">
        <v>11</v>
      </c>
    </row>
    <row r="121" spans="1:37" s="1566" customFormat="1" ht="11.45" customHeight="1">
      <c r="A121" s="915"/>
      <c r="B121" s="915"/>
      <c r="C121" s="915"/>
      <c r="D121" s="915"/>
      <c r="E121" s="915"/>
      <c r="F121" s="1561"/>
      <c r="G121" s="1561"/>
      <c r="H121" s="286"/>
      <c r="N121" s="1291"/>
      <c r="P121" s="1291"/>
      <c r="Q121" s="1561"/>
      <c r="R121" s="1561"/>
      <c r="S121" s="1291"/>
      <c r="T121" s="1291"/>
      <c r="U121" s="1291"/>
      <c r="V121" s="1291"/>
      <c r="W121" s="1561"/>
      <c r="X121" s="1291"/>
      <c r="Y121" s="1291"/>
      <c r="Z121" s="479"/>
      <c r="AA121" s="1291"/>
      <c r="AB121" s="1291"/>
      <c r="AC121" s="1291"/>
      <c r="AD121" s="1291"/>
      <c r="AE121" s="1291"/>
      <c r="AF121" s="1557"/>
      <c r="AG121" s="557"/>
      <c r="AH121" s="557"/>
      <c r="AI121" s="557"/>
      <c r="AJ121" s="557"/>
      <c r="AK121" s="1566">
        <v>11</v>
      </c>
    </row>
    <row r="122" spans="1:37" s="1566" customFormat="1" ht="11.45" customHeight="1">
      <c r="A122" s="915"/>
      <c r="B122" s="915"/>
      <c r="C122" s="915"/>
      <c r="D122" s="915"/>
      <c r="E122" s="915"/>
      <c r="F122" s="1561"/>
      <c r="G122" s="1561"/>
      <c r="H122" s="286"/>
      <c r="N122" s="1291"/>
      <c r="P122" s="1291"/>
      <c r="Q122" s="1561"/>
      <c r="R122" s="1561"/>
      <c r="S122" s="1291"/>
      <c r="T122" s="1291"/>
      <c r="U122" s="1291"/>
      <c r="V122" s="1291"/>
      <c r="W122" s="1561"/>
      <c r="X122" s="1291"/>
      <c r="Y122" s="1291"/>
      <c r="Z122" s="479"/>
      <c r="AA122" s="1291"/>
      <c r="AB122" s="1291"/>
      <c r="AC122" s="1291"/>
      <c r="AD122" s="1291"/>
      <c r="AE122" s="1291"/>
      <c r="AF122" s="1557"/>
      <c r="AG122" s="557"/>
      <c r="AH122" s="557"/>
      <c r="AI122" s="557"/>
      <c r="AJ122" s="557"/>
      <c r="AK122" s="1566">
        <v>11</v>
      </c>
    </row>
    <row r="123" spans="1:37" s="1566" customFormat="1" ht="11.45" customHeight="1">
      <c r="A123" s="915"/>
      <c r="B123" s="915"/>
      <c r="C123" s="915"/>
      <c r="D123" s="915"/>
      <c r="E123" s="915"/>
      <c r="F123" s="1561"/>
      <c r="G123" s="1561"/>
      <c r="H123" s="286"/>
      <c r="N123" s="1291"/>
      <c r="P123" s="1291"/>
      <c r="Q123" s="1561"/>
      <c r="R123" s="1561"/>
      <c r="S123" s="1291"/>
      <c r="T123" s="1291"/>
      <c r="U123" s="1291"/>
      <c r="V123" s="1291"/>
      <c r="W123" s="1561"/>
      <c r="X123" s="1291"/>
      <c r="Y123" s="1291"/>
      <c r="Z123" s="479"/>
      <c r="AA123" s="1291"/>
      <c r="AB123" s="1291"/>
      <c r="AC123" s="1291"/>
      <c r="AD123" s="1291"/>
      <c r="AE123" s="1291"/>
      <c r="AF123" s="1557"/>
      <c r="AG123" s="557"/>
      <c r="AH123" s="557"/>
      <c r="AI123" s="557"/>
      <c r="AJ123" s="557"/>
      <c r="AK123" s="1566">
        <v>11</v>
      </c>
    </row>
    <row r="124" spans="1:37" s="1566" customFormat="1" ht="11.45" customHeight="1">
      <c r="A124" s="915"/>
      <c r="B124" s="915"/>
      <c r="C124" s="915"/>
      <c r="D124" s="915"/>
      <c r="E124" s="915"/>
      <c r="F124" s="1561"/>
      <c r="G124" s="1561"/>
      <c r="H124" s="286"/>
      <c r="N124" s="1291"/>
      <c r="P124" s="1291"/>
      <c r="Q124" s="1561"/>
      <c r="R124" s="1561"/>
      <c r="S124" s="1291"/>
      <c r="T124" s="1291"/>
      <c r="U124" s="1291"/>
      <c r="V124" s="1291"/>
      <c r="W124" s="1561"/>
      <c r="X124" s="1291"/>
      <c r="Y124" s="1291"/>
      <c r="Z124" s="479"/>
      <c r="AA124" s="1291"/>
      <c r="AB124" s="1291"/>
      <c r="AC124" s="1291"/>
      <c r="AD124" s="1291"/>
      <c r="AE124" s="1291"/>
      <c r="AF124" s="1557"/>
      <c r="AG124" s="557"/>
      <c r="AH124" s="557"/>
      <c r="AI124" s="557"/>
      <c r="AJ124" s="557"/>
      <c r="AK124" s="1566">
        <v>11</v>
      </c>
    </row>
    <row r="125" spans="1:37" s="1566" customFormat="1" ht="11.45" customHeight="1">
      <c r="A125" s="915"/>
      <c r="B125" s="915"/>
      <c r="C125" s="915"/>
      <c r="D125" s="915"/>
      <c r="E125" s="915"/>
      <c r="F125" s="1561"/>
      <c r="G125" s="1561"/>
      <c r="H125" s="286"/>
      <c r="N125" s="1291"/>
      <c r="P125" s="1291"/>
      <c r="Q125" s="1561"/>
      <c r="R125" s="1561"/>
      <c r="S125" s="1291"/>
      <c r="T125" s="1291"/>
      <c r="U125" s="1291"/>
      <c r="V125" s="1291"/>
      <c r="W125" s="1561"/>
      <c r="X125" s="1291"/>
      <c r="Y125" s="1291"/>
      <c r="Z125" s="479"/>
      <c r="AA125" s="1291"/>
      <c r="AB125" s="1291"/>
      <c r="AC125" s="1291"/>
      <c r="AD125" s="1291"/>
      <c r="AE125" s="1291"/>
      <c r="AF125" s="1557"/>
      <c r="AG125" s="557"/>
      <c r="AH125" s="557"/>
      <c r="AI125" s="557"/>
      <c r="AJ125" s="557"/>
      <c r="AK125" s="1566">
        <v>11</v>
      </c>
    </row>
    <row r="126" spans="1:37" s="1566" customFormat="1" ht="11.45" customHeight="1">
      <c r="A126" s="915"/>
      <c r="B126" s="915"/>
      <c r="C126" s="915"/>
      <c r="D126" s="915"/>
      <c r="E126" s="915"/>
      <c r="F126" s="1561"/>
      <c r="G126" s="1561"/>
      <c r="H126" s="286"/>
      <c r="N126" s="1291"/>
      <c r="P126" s="1291"/>
      <c r="Q126" s="1561"/>
      <c r="R126" s="1561"/>
      <c r="S126" s="1291"/>
      <c r="T126" s="1291"/>
      <c r="U126" s="1291"/>
      <c r="V126" s="1291"/>
      <c r="W126" s="1561"/>
      <c r="X126" s="1291"/>
      <c r="Y126" s="1291"/>
      <c r="Z126" s="479"/>
      <c r="AA126" s="1291"/>
      <c r="AB126" s="1291"/>
      <c r="AC126" s="1291"/>
      <c r="AD126" s="1291"/>
      <c r="AE126" s="1291"/>
      <c r="AF126" s="1557"/>
      <c r="AG126" s="557"/>
      <c r="AH126" s="557"/>
      <c r="AI126" s="557"/>
      <c r="AJ126" s="557"/>
      <c r="AK126" s="1566">
        <v>11</v>
      </c>
    </row>
    <row r="127" spans="1:37" s="1566" customFormat="1" ht="11.45" customHeight="1">
      <c r="A127" s="915"/>
      <c r="B127" s="915"/>
      <c r="C127" s="915"/>
      <c r="D127" s="915"/>
      <c r="E127" s="915"/>
      <c r="F127" s="1561"/>
      <c r="G127" s="1561"/>
      <c r="H127" s="286"/>
      <c r="N127" s="1291"/>
      <c r="P127" s="1291"/>
      <c r="Q127" s="1561"/>
      <c r="R127" s="1561"/>
      <c r="S127" s="1291"/>
      <c r="T127" s="1291"/>
      <c r="U127" s="1291"/>
      <c r="V127" s="1291"/>
      <c r="W127" s="1561"/>
      <c r="X127" s="1291"/>
      <c r="Y127" s="1291"/>
      <c r="Z127" s="479"/>
      <c r="AA127" s="1291"/>
      <c r="AB127" s="1291"/>
      <c r="AC127" s="1291"/>
      <c r="AD127" s="1291"/>
      <c r="AE127" s="1291"/>
      <c r="AF127" s="1557"/>
      <c r="AG127" s="557"/>
      <c r="AH127" s="557"/>
      <c r="AI127" s="557"/>
      <c r="AJ127" s="557"/>
      <c r="AK127" s="1566">
        <v>11</v>
      </c>
    </row>
    <row r="128" spans="1:37" s="1566" customFormat="1" ht="11.45" customHeight="1">
      <c r="A128" s="915"/>
      <c r="B128" s="915"/>
      <c r="C128" s="915"/>
      <c r="D128" s="915"/>
      <c r="E128" s="915"/>
      <c r="F128" s="1561"/>
      <c r="G128" s="1561"/>
      <c r="H128" s="286"/>
      <c r="N128" s="1291"/>
      <c r="P128" s="1291"/>
      <c r="Q128" s="1561"/>
      <c r="R128" s="1561"/>
      <c r="S128" s="1291"/>
      <c r="T128" s="1291"/>
      <c r="U128" s="1291"/>
      <c r="V128" s="1291"/>
      <c r="W128" s="1561"/>
      <c r="X128" s="1291"/>
      <c r="Y128" s="1291"/>
      <c r="Z128" s="479"/>
      <c r="AA128" s="1291"/>
      <c r="AB128" s="1291"/>
      <c r="AC128" s="1291"/>
      <c r="AD128" s="1291"/>
      <c r="AE128" s="1291"/>
      <c r="AF128" s="1557"/>
      <c r="AG128" s="557"/>
      <c r="AH128" s="557"/>
      <c r="AI128" s="557"/>
      <c r="AJ128" s="557"/>
      <c r="AK128" s="1566">
        <v>11</v>
      </c>
    </row>
    <row r="129" spans="1:37" s="1566" customFormat="1" ht="11.45" customHeight="1">
      <c r="A129" s="915"/>
      <c r="B129" s="915"/>
      <c r="C129" s="915"/>
      <c r="D129" s="915"/>
      <c r="E129" s="915"/>
      <c r="F129" s="1561"/>
      <c r="G129" s="1561"/>
      <c r="H129" s="286"/>
      <c r="N129" s="1291"/>
      <c r="P129" s="1291"/>
      <c r="Q129" s="1561"/>
      <c r="R129" s="1561"/>
      <c r="S129" s="1291"/>
      <c r="T129" s="1291"/>
      <c r="U129" s="1291"/>
      <c r="V129" s="1291"/>
      <c r="W129" s="1561"/>
      <c r="X129" s="1291"/>
      <c r="Y129" s="1291"/>
      <c r="Z129" s="479"/>
      <c r="AA129" s="1291"/>
      <c r="AB129" s="1291"/>
      <c r="AC129" s="1291"/>
      <c r="AD129" s="1291"/>
      <c r="AE129" s="1291"/>
      <c r="AF129" s="1557"/>
      <c r="AG129" s="557"/>
      <c r="AH129" s="557"/>
      <c r="AI129" s="557"/>
      <c r="AJ129" s="557"/>
      <c r="AK129" s="1566">
        <v>11</v>
      </c>
    </row>
    <row r="130" spans="1:37" s="1566" customFormat="1" ht="11.45" customHeight="1">
      <c r="A130" s="915"/>
      <c r="B130" s="915"/>
      <c r="C130" s="915"/>
      <c r="D130" s="915"/>
      <c r="E130" s="915"/>
      <c r="F130" s="1561"/>
      <c r="G130" s="1561"/>
      <c r="H130" s="286"/>
      <c r="N130" s="1291"/>
      <c r="P130" s="1291"/>
      <c r="Q130" s="1561"/>
      <c r="R130" s="1561"/>
      <c r="S130" s="1291"/>
      <c r="T130" s="1291"/>
      <c r="U130" s="1291"/>
      <c r="V130" s="1291"/>
      <c r="W130" s="1561"/>
      <c r="X130" s="1291"/>
      <c r="Y130" s="1291"/>
      <c r="Z130" s="479"/>
      <c r="AA130" s="1291"/>
      <c r="AB130" s="1291"/>
      <c r="AC130" s="1291"/>
      <c r="AD130" s="1291"/>
      <c r="AE130" s="1291"/>
      <c r="AF130" s="1557"/>
      <c r="AG130" s="557"/>
      <c r="AH130" s="557"/>
      <c r="AI130" s="557"/>
      <c r="AJ130" s="557"/>
      <c r="AK130" s="1566">
        <v>11</v>
      </c>
    </row>
    <row r="131" spans="1:37" s="1566" customFormat="1" ht="11.45" customHeight="1">
      <c r="A131" s="915"/>
      <c r="B131" s="915"/>
      <c r="C131" s="915"/>
      <c r="D131" s="915"/>
      <c r="E131" s="915"/>
      <c r="F131" s="1561"/>
      <c r="G131" s="1561"/>
      <c r="H131" s="286"/>
      <c r="N131" s="1291"/>
      <c r="P131" s="1291"/>
      <c r="Q131" s="1561"/>
      <c r="R131" s="1561"/>
      <c r="S131" s="1291"/>
      <c r="T131" s="1291"/>
      <c r="U131" s="1291"/>
      <c r="V131" s="1291"/>
      <c r="W131" s="1561"/>
      <c r="X131" s="1291"/>
      <c r="Y131" s="1291"/>
      <c r="Z131" s="479"/>
      <c r="AA131" s="1291"/>
      <c r="AB131" s="1291"/>
      <c r="AC131" s="1291"/>
      <c r="AD131" s="1291"/>
      <c r="AE131" s="1291"/>
      <c r="AF131" s="1557"/>
      <c r="AG131" s="557"/>
      <c r="AH131" s="557"/>
      <c r="AI131" s="557"/>
      <c r="AJ131" s="557"/>
      <c r="AK131" s="1566">
        <v>11</v>
      </c>
    </row>
    <row r="132" spans="1:37" s="1566" customFormat="1" ht="11.45" customHeight="1">
      <c r="A132" s="915"/>
      <c r="B132" s="915"/>
      <c r="C132" s="915"/>
      <c r="D132" s="915"/>
      <c r="E132" s="915"/>
      <c r="F132" s="1561"/>
      <c r="G132" s="1561"/>
      <c r="H132" s="286"/>
      <c r="N132" s="1291"/>
      <c r="P132" s="1291"/>
      <c r="Q132" s="1561"/>
      <c r="R132" s="1561"/>
      <c r="S132" s="1291"/>
      <c r="T132" s="1291"/>
      <c r="U132" s="1291"/>
      <c r="V132" s="1291"/>
      <c r="W132" s="1561"/>
      <c r="X132" s="1291"/>
      <c r="Y132" s="1291"/>
      <c r="Z132" s="479"/>
      <c r="AA132" s="1291"/>
      <c r="AB132" s="1291"/>
      <c r="AC132" s="1291"/>
      <c r="AD132" s="1291"/>
      <c r="AE132" s="1291"/>
      <c r="AF132" s="1557"/>
      <c r="AG132" s="557"/>
      <c r="AH132" s="557"/>
      <c r="AI132" s="557"/>
      <c r="AJ132" s="557"/>
      <c r="AK132" s="1566">
        <v>11</v>
      </c>
    </row>
    <row r="133" spans="1:37" s="1566" customFormat="1" ht="11.45" customHeight="1">
      <c r="A133" s="915"/>
      <c r="B133" s="915"/>
      <c r="C133" s="915"/>
      <c r="D133" s="915"/>
      <c r="E133" s="915"/>
      <c r="F133" s="1561"/>
      <c r="G133" s="1561"/>
      <c r="H133" s="286"/>
      <c r="N133" s="1291"/>
      <c r="P133" s="1291"/>
      <c r="Q133" s="1561"/>
      <c r="R133" s="1561"/>
      <c r="S133" s="1291"/>
      <c r="T133" s="1291"/>
      <c r="U133" s="1291"/>
      <c r="V133" s="1291"/>
      <c r="W133" s="1561"/>
      <c r="X133" s="1291"/>
      <c r="Y133" s="1291"/>
      <c r="Z133" s="479"/>
      <c r="AA133" s="1291"/>
      <c r="AB133" s="1291"/>
      <c r="AC133" s="1291"/>
      <c r="AD133" s="1291"/>
      <c r="AE133" s="1291"/>
      <c r="AF133" s="1557"/>
      <c r="AG133" s="557"/>
      <c r="AH133" s="557"/>
      <c r="AI133" s="557"/>
      <c r="AJ133" s="557"/>
      <c r="AK133" s="1566">
        <v>11</v>
      </c>
    </row>
    <row r="134" spans="1:37" s="1566" customFormat="1" ht="11.45" customHeight="1">
      <c r="A134" s="915"/>
      <c r="B134" s="915"/>
      <c r="C134" s="915"/>
      <c r="D134" s="915"/>
      <c r="E134" s="915"/>
      <c r="F134" s="1561"/>
      <c r="G134" s="1561"/>
      <c r="H134" s="286"/>
      <c r="N134" s="1291"/>
      <c r="P134" s="1291"/>
      <c r="Q134" s="1561"/>
      <c r="R134" s="1561"/>
      <c r="S134" s="1291"/>
      <c r="T134" s="1291"/>
      <c r="U134" s="1291"/>
      <c r="V134" s="1291"/>
      <c r="W134" s="1561"/>
      <c r="X134" s="1291"/>
      <c r="Y134" s="1291"/>
      <c r="Z134" s="479"/>
      <c r="AA134" s="1291"/>
      <c r="AB134" s="1291"/>
      <c r="AC134" s="1291"/>
      <c r="AD134" s="1291"/>
      <c r="AE134" s="1291"/>
      <c r="AF134" s="1557"/>
      <c r="AG134" s="557"/>
      <c r="AH134" s="557"/>
      <c r="AI134" s="557"/>
      <c r="AJ134" s="557"/>
      <c r="AK134" s="1566">
        <v>11</v>
      </c>
    </row>
    <row r="135" spans="1:37" s="1566" customFormat="1" ht="11.45" customHeight="1">
      <c r="A135" s="915"/>
      <c r="B135" s="915"/>
      <c r="C135" s="915"/>
      <c r="D135" s="915"/>
      <c r="E135" s="915"/>
      <c r="F135" s="1561"/>
      <c r="G135" s="1561"/>
      <c r="H135" s="286"/>
      <c r="N135" s="1291"/>
      <c r="P135" s="1291"/>
      <c r="Q135" s="1561"/>
      <c r="R135" s="1561"/>
      <c r="S135" s="1291"/>
      <c r="T135" s="1291"/>
      <c r="U135" s="1291"/>
      <c r="V135" s="1291"/>
      <c r="W135" s="1561"/>
      <c r="X135" s="1291"/>
      <c r="Y135" s="1291"/>
      <c r="Z135" s="479"/>
      <c r="AA135" s="1291"/>
      <c r="AB135" s="1291"/>
      <c r="AC135" s="1291"/>
      <c r="AD135" s="1291"/>
      <c r="AE135" s="1291"/>
      <c r="AF135" s="1557"/>
      <c r="AG135" s="557"/>
      <c r="AH135" s="557"/>
      <c r="AI135" s="557"/>
      <c r="AJ135" s="557"/>
      <c r="AK135" s="1566">
        <v>11</v>
      </c>
    </row>
    <row r="136" spans="1:37" s="1566" customFormat="1" ht="11.45" customHeight="1">
      <c r="A136" s="915"/>
      <c r="B136" s="915"/>
      <c r="C136" s="915"/>
      <c r="D136" s="915"/>
      <c r="E136" s="915"/>
      <c r="F136" s="1561"/>
      <c r="G136" s="1561"/>
      <c r="H136" s="286"/>
      <c r="N136" s="1291"/>
      <c r="P136" s="1291"/>
      <c r="Q136" s="1561"/>
      <c r="R136" s="1561"/>
      <c r="S136" s="1291"/>
      <c r="T136" s="1291"/>
      <c r="U136" s="1291"/>
      <c r="V136" s="1291"/>
      <c r="W136" s="1561"/>
      <c r="X136" s="1291"/>
      <c r="Y136" s="1291"/>
      <c r="Z136" s="479"/>
      <c r="AA136" s="1291"/>
      <c r="AB136" s="1291"/>
      <c r="AC136" s="1291"/>
      <c r="AD136" s="1291"/>
      <c r="AE136" s="1291"/>
      <c r="AF136" s="1557"/>
      <c r="AG136" s="557"/>
      <c r="AH136" s="557"/>
      <c r="AI136" s="557"/>
      <c r="AJ136" s="557"/>
      <c r="AK136" s="1566">
        <v>11</v>
      </c>
    </row>
    <row r="137" spans="1:37" s="1566" customFormat="1" ht="11.45" customHeight="1">
      <c r="A137" s="915"/>
      <c r="B137" s="915"/>
      <c r="C137" s="915"/>
      <c r="D137" s="915"/>
      <c r="E137" s="915"/>
      <c r="F137" s="1561"/>
      <c r="G137" s="1561"/>
      <c r="H137" s="286"/>
      <c r="N137" s="1291"/>
      <c r="P137" s="1291"/>
      <c r="Q137" s="1561"/>
      <c r="R137" s="1561"/>
      <c r="S137" s="1291"/>
      <c r="T137" s="1291"/>
      <c r="U137" s="1291"/>
      <c r="V137" s="1291"/>
      <c r="W137" s="1561"/>
      <c r="X137" s="1291"/>
      <c r="Y137" s="1291"/>
      <c r="Z137" s="479"/>
      <c r="AA137" s="1291"/>
      <c r="AB137" s="1291"/>
      <c r="AC137" s="1291"/>
      <c r="AD137" s="1291"/>
      <c r="AE137" s="1291"/>
      <c r="AF137" s="1557"/>
      <c r="AG137" s="557"/>
      <c r="AH137" s="557"/>
      <c r="AI137" s="557"/>
      <c r="AJ137" s="557"/>
      <c r="AK137" s="1566">
        <v>11</v>
      </c>
    </row>
    <row r="138" spans="1:37" s="1566" customFormat="1" ht="11.45" customHeight="1">
      <c r="A138" s="915"/>
      <c r="B138" s="915"/>
      <c r="C138" s="915"/>
      <c r="D138" s="915"/>
      <c r="E138" s="915"/>
      <c r="F138" s="1561"/>
      <c r="G138" s="1561"/>
      <c r="H138" s="286"/>
      <c r="N138" s="1291"/>
      <c r="P138" s="1291"/>
      <c r="Q138" s="1561"/>
      <c r="R138" s="1561"/>
      <c r="S138" s="1291"/>
      <c r="T138" s="1291"/>
      <c r="U138" s="1291"/>
      <c r="V138" s="1291"/>
      <c r="W138" s="1561"/>
      <c r="X138" s="1291"/>
      <c r="Y138" s="1291"/>
      <c r="Z138" s="479"/>
      <c r="AA138" s="1291"/>
      <c r="AB138" s="1291"/>
      <c r="AC138" s="1291"/>
      <c r="AD138" s="1291"/>
      <c r="AE138" s="1291"/>
      <c r="AF138" s="1557"/>
      <c r="AG138" s="557"/>
      <c r="AH138" s="557"/>
      <c r="AI138" s="557"/>
      <c r="AJ138" s="557"/>
      <c r="AK138" s="1566">
        <v>11</v>
      </c>
    </row>
    <row r="139" spans="1:37" s="1566" customFormat="1" ht="11.45" customHeight="1">
      <c r="A139" s="915"/>
      <c r="B139" s="915"/>
      <c r="C139" s="915"/>
      <c r="D139" s="915"/>
      <c r="E139" s="915"/>
      <c r="F139" s="1561"/>
      <c r="G139" s="1561"/>
      <c r="H139" s="286"/>
      <c r="N139" s="1291"/>
      <c r="P139" s="1291"/>
      <c r="Q139" s="1561"/>
      <c r="R139" s="1561"/>
      <c r="S139" s="1291"/>
      <c r="T139" s="1291"/>
      <c r="U139" s="1291"/>
      <c r="V139" s="1291"/>
      <c r="W139" s="1561"/>
      <c r="X139" s="1291"/>
      <c r="Y139" s="1291"/>
      <c r="Z139" s="479"/>
      <c r="AA139" s="1291"/>
      <c r="AB139" s="1291"/>
      <c r="AC139" s="1291"/>
      <c r="AD139" s="1291"/>
      <c r="AE139" s="1291"/>
      <c r="AF139" s="1557"/>
      <c r="AG139" s="557"/>
      <c r="AH139" s="557"/>
      <c r="AI139" s="557"/>
      <c r="AJ139" s="557"/>
      <c r="AK139" s="1566">
        <v>11</v>
      </c>
    </row>
    <row r="140" spans="1:37" s="1566" customFormat="1" ht="11.45" customHeight="1">
      <c r="A140" s="915"/>
      <c r="B140" s="915"/>
      <c r="C140" s="915"/>
      <c r="D140" s="915"/>
      <c r="E140" s="915"/>
      <c r="F140" s="1561"/>
      <c r="G140" s="1561"/>
      <c r="H140" s="286"/>
      <c r="N140" s="1291"/>
      <c r="P140" s="1291"/>
      <c r="Q140" s="1561"/>
      <c r="R140" s="1561"/>
      <c r="S140" s="1291"/>
      <c r="T140" s="1291"/>
      <c r="U140" s="1291"/>
      <c r="V140" s="1291"/>
      <c r="W140" s="1561"/>
      <c r="X140" s="1291"/>
      <c r="Y140" s="1291"/>
      <c r="Z140" s="479"/>
      <c r="AA140" s="1291"/>
      <c r="AB140" s="1291"/>
      <c r="AC140" s="1291"/>
      <c r="AD140" s="1291"/>
      <c r="AE140" s="1291"/>
      <c r="AF140" s="1557"/>
      <c r="AG140" s="557"/>
      <c r="AH140" s="557"/>
      <c r="AI140" s="557"/>
      <c r="AJ140" s="557"/>
      <c r="AK140" s="1566">
        <v>11</v>
      </c>
    </row>
    <row r="141" spans="1:37" s="1566" customFormat="1" ht="11.45" customHeight="1">
      <c r="A141" s="915"/>
      <c r="B141" s="915"/>
      <c r="C141" s="915"/>
      <c r="D141" s="915"/>
      <c r="E141" s="915"/>
      <c r="F141" s="1561"/>
      <c r="G141" s="1561"/>
      <c r="H141" s="286"/>
      <c r="N141" s="1291"/>
      <c r="P141" s="1291"/>
      <c r="Q141" s="1561"/>
      <c r="R141" s="1561"/>
      <c r="S141" s="1291"/>
      <c r="T141" s="1291"/>
      <c r="U141" s="1291"/>
      <c r="V141" s="1291"/>
      <c r="W141" s="1561"/>
      <c r="X141" s="1291"/>
      <c r="Y141" s="1291"/>
      <c r="Z141" s="479"/>
      <c r="AA141" s="1291"/>
      <c r="AB141" s="1291"/>
      <c r="AC141" s="1291"/>
      <c r="AD141" s="1291"/>
      <c r="AE141" s="1291"/>
      <c r="AF141" s="1557"/>
      <c r="AG141" s="557"/>
      <c r="AH141" s="557"/>
      <c r="AI141" s="557"/>
      <c r="AJ141" s="557"/>
      <c r="AK141" s="1566">
        <v>11</v>
      </c>
    </row>
    <row r="142" spans="1:37" s="1566" customFormat="1" ht="11.45" customHeight="1">
      <c r="A142" s="915"/>
      <c r="B142" s="915"/>
      <c r="C142" s="915"/>
      <c r="D142" s="915"/>
      <c r="E142" s="915"/>
      <c r="F142" s="1561"/>
      <c r="G142" s="1561"/>
      <c r="H142" s="286"/>
      <c r="N142" s="1291"/>
      <c r="P142" s="1291"/>
      <c r="Q142" s="1561"/>
      <c r="R142" s="1561"/>
      <c r="S142" s="1291"/>
      <c r="T142" s="1291"/>
      <c r="U142" s="1291"/>
      <c r="V142" s="1291"/>
      <c r="W142" s="1561"/>
      <c r="X142" s="1291"/>
      <c r="Y142" s="1291"/>
      <c r="Z142" s="479"/>
      <c r="AA142" s="1291"/>
      <c r="AB142" s="1291"/>
      <c r="AC142" s="1291"/>
      <c r="AD142" s="1291"/>
      <c r="AE142" s="1291"/>
      <c r="AF142" s="1557"/>
      <c r="AG142" s="557"/>
      <c r="AH142" s="557"/>
      <c r="AI142" s="557"/>
      <c r="AJ142" s="557"/>
      <c r="AK142" s="1566">
        <v>11</v>
      </c>
    </row>
    <row r="143" spans="1:37" s="1566" customFormat="1" ht="11.45" customHeight="1">
      <c r="A143" s="915"/>
      <c r="B143" s="915"/>
      <c r="C143" s="915"/>
      <c r="D143" s="915"/>
      <c r="E143" s="915"/>
      <c r="F143" s="1561"/>
      <c r="G143" s="1561"/>
      <c r="H143" s="286"/>
      <c r="N143" s="1291"/>
      <c r="P143" s="1291"/>
      <c r="Q143" s="1561"/>
      <c r="R143" s="1561"/>
      <c r="S143" s="1291"/>
      <c r="T143" s="1291"/>
      <c r="U143" s="1291"/>
      <c r="V143" s="1291"/>
      <c r="W143" s="1561"/>
      <c r="X143" s="1291"/>
      <c r="Y143" s="1291"/>
      <c r="Z143" s="479"/>
      <c r="AA143" s="1291"/>
      <c r="AB143" s="1291"/>
      <c r="AC143" s="1291"/>
      <c r="AD143" s="1291"/>
      <c r="AE143" s="1291"/>
      <c r="AF143" s="1557"/>
      <c r="AG143" s="557"/>
      <c r="AH143" s="557"/>
      <c r="AI143" s="557"/>
      <c r="AJ143" s="557"/>
      <c r="AK143" s="1566">
        <v>11</v>
      </c>
    </row>
    <row r="144" spans="1:37" s="1566" customFormat="1" ht="11.45" customHeight="1">
      <c r="A144" s="915"/>
      <c r="B144" s="915"/>
      <c r="C144" s="915"/>
      <c r="D144" s="915"/>
      <c r="E144" s="915"/>
      <c r="F144" s="1561"/>
      <c r="G144" s="1561"/>
      <c r="H144" s="286"/>
      <c r="N144" s="1291"/>
      <c r="P144" s="1291"/>
      <c r="Q144" s="1561"/>
      <c r="R144" s="1561"/>
      <c r="S144" s="1291"/>
      <c r="T144" s="1291"/>
      <c r="U144" s="1291"/>
      <c r="V144" s="1291"/>
      <c r="W144" s="1561"/>
      <c r="X144" s="1291"/>
      <c r="Y144" s="1291"/>
      <c r="Z144" s="479"/>
      <c r="AA144" s="1291"/>
      <c r="AB144" s="1291"/>
      <c r="AC144" s="1291"/>
      <c r="AD144" s="1291"/>
      <c r="AE144" s="1291"/>
      <c r="AF144" s="1557"/>
      <c r="AG144" s="557"/>
      <c r="AH144" s="557"/>
      <c r="AI144" s="557"/>
      <c r="AJ144" s="557"/>
      <c r="AK144" s="1566">
        <v>11</v>
      </c>
    </row>
    <row r="145" spans="1:37" s="1566" customFormat="1" ht="11.45" customHeight="1">
      <c r="A145" s="915"/>
      <c r="B145" s="915"/>
      <c r="C145" s="915"/>
      <c r="D145" s="915"/>
      <c r="E145" s="915"/>
      <c r="F145" s="1561"/>
      <c r="G145" s="1561"/>
      <c r="H145" s="286"/>
      <c r="N145" s="1291"/>
      <c r="P145" s="1291"/>
      <c r="Q145" s="1561"/>
      <c r="R145" s="1561"/>
      <c r="S145" s="1291"/>
      <c r="T145" s="1291"/>
      <c r="U145" s="1291"/>
      <c r="V145" s="1291"/>
      <c r="W145" s="1561"/>
      <c r="X145" s="1291"/>
      <c r="Y145" s="1291"/>
      <c r="Z145" s="479"/>
      <c r="AA145" s="1291"/>
      <c r="AB145" s="1291"/>
      <c r="AC145" s="1291"/>
      <c r="AD145" s="1291"/>
      <c r="AE145" s="1291"/>
      <c r="AF145" s="1557"/>
      <c r="AG145" s="557"/>
      <c r="AH145" s="557"/>
      <c r="AI145" s="557"/>
      <c r="AJ145" s="557"/>
      <c r="AK145" s="1566">
        <v>11</v>
      </c>
    </row>
    <row r="146" spans="1:37" s="1566" customFormat="1" ht="11.45" customHeight="1">
      <c r="A146" s="915"/>
      <c r="B146" s="915"/>
      <c r="C146" s="915"/>
      <c r="D146" s="915"/>
      <c r="E146" s="915"/>
      <c r="F146" s="1561"/>
      <c r="G146" s="1561"/>
      <c r="H146" s="286"/>
      <c r="N146" s="1291"/>
      <c r="P146" s="1291"/>
      <c r="Q146" s="1561"/>
      <c r="R146" s="1561"/>
      <c r="S146" s="1291"/>
      <c r="T146" s="1291"/>
      <c r="U146" s="1291"/>
      <c r="V146" s="1291"/>
      <c r="W146" s="1561"/>
      <c r="X146" s="1291"/>
      <c r="Y146" s="1291"/>
      <c r="Z146" s="479"/>
      <c r="AA146" s="1291"/>
      <c r="AB146" s="1291"/>
      <c r="AC146" s="1291"/>
      <c r="AD146" s="1291"/>
      <c r="AE146" s="1291"/>
      <c r="AF146" s="1557"/>
      <c r="AG146" s="557"/>
      <c r="AH146" s="557"/>
      <c r="AI146" s="557"/>
      <c r="AJ146" s="557"/>
      <c r="AK146" s="1566">
        <v>11</v>
      </c>
    </row>
    <row r="147" spans="1:37" s="1566" customFormat="1" ht="11.45" customHeight="1">
      <c r="A147" s="915"/>
      <c r="B147" s="915"/>
      <c r="C147" s="915"/>
      <c r="D147" s="915"/>
      <c r="E147" s="915"/>
      <c r="F147" s="1561"/>
      <c r="G147" s="1561"/>
      <c r="H147" s="286"/>
      <c r="N147" s="1291"/>
      <c r="P147" s="1291"/>
      <c r="Q147" s="1561"/>
      <c r="R147" s="1561"/>
      <c r="S147" s="1291"/>
      <c r="T147" s="1291"/>
      <c r="U147" s="1291"/>
      <c r="V147" s="1291"/>
      <c r="W147" s="1561"/>
      <c r="X147" s="1291"/>
      <c r="Y147" s="1291"/>
      <c r="Z147" s="479"/>
      <c r="AA147" s="1291"/>
      <c r="AB147" s="1291"/>
      <c r="AC147" s="1291"/>
      <c r="AD147" s="1291"/>
      <c r="AE147" s="1291"/>
      <c r="AF147" s="1557"/>
      <c r="AG147" s="557"/>
      <c r="AH147" s="557"/>
      <c r="AI147" s="557"/>
      <c r="AJ147" s="557"/>
      <c r="AK147" s="1566">
        <v>11</v>
      </c>
    </row>
    <row r="148" spans="1:37" s="1566" customFormat="1" ht="11.45" customHeight="1">
      <c r="A148" s="915"/>
      <c r="B148" s="915"/>
      <c r="C148" s="915"/>
      <c r="D148" s="915"/>
      <c r="E148" s="915"/>
      <c r="F148" s="1561"/>
      <c r="G148" s="1561"/>
      <c r="H148" s="286"/>
      <c r="N148" s="1291"/>
      <c r="P148" s="1291"/>
      <c r="Q148" s="1561"/>
      <c r="R148" s="1561"/>
      <c r="S148" s="1291"/>
      <c r="T148" s="1291"/>
      <c r="U148" s="1291"/>
      <c r="V148" s="1291"/>
      <c r="W148" s="1561"/>
      <c r="X148" s="1291"/>
      <c r="Y148" s="1291"/>
      <c r="Z148" s="479"/>
      <c r="AA148" s="1291"/>
      <c r="AB148" s="1291"/>
      <c r="AC148" s="1291"/>
      <c r="AD148" s="1291"/>
      <c r="AE148" s="1291"/>
      <c r="AF148" s="1557"/>
      <c r="AG148" s="557"/>
      <c r="AH148" s="557"/>
      <c r="AI148" s="557"/>
      <c r="AJ148" s="557"/>
      <c r="AK148" s="1566">
        <v>11</v>
      </c>
    </row>
    <row r="149" spans="1:37" s="1566" customFormat="1" ht="11.45" customHeight="1">
      <c r="A149" s="915"/>
      <c r="B149" s="915"/>
      <c r="C149" s="915"/>
      <c r="D149" s="915"/>
      <c r="E149" s="915"/>
      <c r="F149" s="1561"/>
      <c r="G149" s="1561"/>
      <c r="H149" s="286"/>
      <c r="N149" s="1291"/>
      <c r="P149" s="1291"/>
      <c r="Q149" s="1561"/>
      <c r="R149" s="1561"/>
      <c r="S149" s="1291"/>
      <c r="T149" s="1291"/>
      <c r="U149" s="1291"/>
      <c r="V149" s="1291"/>
      <c r="W149" s="1561"/>
      <c r="X149" s="1291"/>
      <c r="Y149" s="1291"/>
      <c r="Z149" s="479"/>
      <c r="AA149" s="1291"/>
      <c r="AB149" s="1291"/>
      <c r="AC149" s="1291"/>
      <c r="AD149" s="1291"/>
      <c r="AE149" s="1291"/>
      <c r="AF149" s="1557"/>
      <c r="AG149" s="557"/>
      <c r="AH149" s="557"/>
      <c r="AI149" s="557"/>
      <c r="AJ149" s="557"/>
      <c r="AK149" s="1566">
        <v>11</v>
      </c>
    </row>
    <row r="150" spans="1:37" s="1566" customFormat="1" ht="11.45" customHeight="1">
      <c r="A150" s="915"/>
      <c r="B150" s="915"/>
      <c r="C150" s="915"/>
      <c r="D150" s="915"/>
      <c r="E150" s="915"/>
      <c r="F150" s="1561"/>
      <c r="G150" s="1561"/>
      <c r="H150" s="286"/>
      <c r="N150" s="1291"/>
      <c r="P150" s="1291"/>
      <c r="Q150" s="1561"/>
      <c r="R150" s="1561"/>
      <c r="S150" s="1291"/>
      <c r="T150" s="1291"/>
      <c r="U150" s="1291"/>
      <c r="V150" s="1291"/>
      <c r="W150" s="1561"/>
      <c r="X150" s="1291"/>
      <c r="Y150" s="1291"/>
      <c r="Z150" s="479"/>
      <c r="AA150" s="1291"/>
      <c r="AB150" s="1291"/>
      <c r="AC150" s="1291"/>
      <c r="AD150" s="1291"/>
      <c r="AE150" s="1291"/>
      <c r="AF150" s="1557"/>
      <c r="AG150" s="557"/>
      <c r="AH150" s="557"/>
      <c r="AI150" s="557"/>
      <c r="AJ150" s="557"/>
      <c r="AK150" s="1566">
        <v>11</v>
      </c>
    </row>
    <row r="151" spans="1:37" s="1566" customFormat="1" ht="11.45" customHeight="1">
      <c r="A151" s="915"/>
      <c r="B151" s="915"/>
      <c r="C151" s="915"/>
      <c r="D151" s="915"/>
      <c r="E151" s="915"/>
      <c r="F151" s="1561"/>
      <c r="G151" s="1561"/>
      <c r="H151" s="286"/>
      <c r="N151" s="1291"/>
      <c r="P151" s="1291"/>
      <c r="Q151" s="1561"/>
      <c r="R151" s="1561"/>
      <c r="S151" s="1291"/>
      <c r="T151" s="1291"/>
      <c r="U151" s="1291"/>
      <c r="V151" s="1291"/>
      <c r="W151" s="1561"/>
      <c r="X151" s="1291"/>
      <c r="Y151" s="1291"/>
      <c r="Z151" s="479"/>
      <c r="AA151" s="1291"/>
      <c r="AB151" s="1291"/>
      <c r="AC151" s="1291"/>
      <c r="AD151" s="1291"/>
      <c r="AE151" s="1291"/>
      <c r="AF151" s="1557"/>
      <c r="AG151" s="557"/>
      <c r="AH151" s="557"/>
      <c r="AI151" s="557"/>
      <c r="AJ151" s="557"/>
      <c r="AK151" s="1566">
        <v>11</v>
      </c>
    </row>
    <row r="152" spans="1:37" s="1566" customFormat="1" ht="11.45" customHeight="1">
      <c r="A152" s="915"/>
      <c r="B152" s="915"/>
      <c r="C152" s="915"/>
      <c r="D152" s="915"/>
      <c r="E152" s="915"/>
      <c r="F152" s="1561"/>
      <c r="G152" s="1561"/>
      <c r="H152" s="286"/>
      <c r="N152" s="1291"/>
      <c r="P152" s="1291"/>
      <c r="Q152" s="1561"/>
      <c r="R152" s="1561"/>
      <c r="S152" s="1291"/>
      <c r="T152" s="1291"/>
      <c r="U152" s="1291"/>
      <c r="V152" s="1291"/>
      <c r="W152" s="1561"/>
      <c r="X152" s="1291"/>
      <c r="Y152" s="1291"/>
      <c r="Z152" s="479"/>
      <c r="AA152" s="1291"/>
      <c r="AB152" s="1291"/>
      <c r="AC152" s="1291"/>
      <c r="AD152" s="1291"/>
      <c r="AE152" s="1291"/>
      <c r="AF152" s="1557"/>
      <c r="AG152" s="557"/>
      <c r="AH152" s="557"/>
      <c r="AI152" s="557"/>
      <c r="AJ152" s="557"/>
      <c r="AK152" s="1566">
        <v>11</v>
      </c>
    </row>
    <row r="153" spans="1:37" s="1566" customFormat="1" ht="11.45" customHeight="1">
      <c r="A153" s="915"/>
      <c r="B153" s="915"/>
      <c r="C153" s="915"/>
      <c r="D153" s="915"/>
      <c r="E153" s="915"/>
      <c r="F153" s="1561"/>
      <c r="G153" s="1561"/>
      <c r="H153" s="286"/>
      <c r="N153" s="1291"/>
      <c r="P153" s="1291"/>
      <c r="Q153" s="1561"/>
      <c r="R153" s="1561"/>
      <c r="S153" s="1291"/>
      <c r="T153" s="1291"/>
      <c r="U153" s="1291"/>
      <c r="V153" s="1291"/>
      <c r="W153" s="1561"/>
      <c r="X153" s="1291"/>
      <c r="Y153" s="1291"/>
      <c r="Z153" s="479"/>
      <c r="AA153" s="1291"/>
      <c r="AB153" s="1291"/>
      <c r="AC153" s="1291"/>
      <c r="AD153" s="1291"/>
      <c r="AE153" s="1291"/>
      <c r="AF153" s="1557"/>
      <c r="AG153" s="557"/>
      <c r="AH153" s="557"/>
      <c r="AI153" s="557"/>
      <c r="AJ153" s="557"/>
      <c r="AK153" s="1566">
        <v>11</v>
      </c>
    </row>
    <row r="154" spans="1:37" s="1566" customFormat="1" ht="11.45" customHeight="1">
      <c r="A154" s="915"/>
      <c r="B154" s="915"/>
      <c r="C154" s="915"/>
      <c r="D154" s="915"/>
      <c r="E154" s="915"/>
      <c r="F154" s="1561"/>
      <c r="G154" s="1561"/>
      <c r="H154" s="286"/>
      <c r="N154" s="1291"/>
      <c r="P154" s="1291"/>
      <c r="Q154" s="1561"/>
      <c r="R154" s="1561"/>
      <c r="S154" s="1291"/>
      <c r="T154" s="1291"/>
      <c r="U154" s="1291"/>
      <c r="V154" s="1291"/>
      <c r="W154" s="1561"/>
      <c r="X154" s="1291"/>
      <c r="Y154" s="1291"/>
      <c r="Z154" s="479"/>
      <c r="AA154" s="1291"/>
      <c r="AB154" s="1291"/>
      <c r="AC154" s="1291"/>
      <c r="AD154" s="1291"/>
      <c r="AE154" s="1291"/>
      <c r="AF154" s="1557"/>
      <c r="AG154" s="557"/>
      <c r="AH154" s="557"/>
      <c r="AI154" s="557"/>
      <c r="AJ154" s="557"/>
      <c r="AK154" s="1566">
        <v>11</v>
      </c>
    </row>
    <row r="155" spans="1:37" s="1566" customFormat="1" ht="11.45" customHeight="1">
      <c r="A155" s="915"/>
      <c r="B155" s="915"/>
      <c r="C155" s="915"/>
      <c r="D155" s="915"/>
      <c r="E155" s="915"/>
      <c r="F155" s="1561"/>
      <c r="G155" s="1561"/>
      <c r="H155" s="286"/>
      <c r="N155" s="1291"/>
      <c r="P155" s="1291"/>
      <c r="Q155" s="1561"/>
      <c r="R155" s="1561"/>
      <c r="S155" s="1291"/>
      <c r="T155" s="1291"/>
      <c r="U155" s="1291"/>
      <c r="V155" s="1291"/>
      <c r="W155" s="1561"/>
      <c r="X155" s="1291"/>
      <c r="Y155" s="1291"/>
      <c r="Z155" s="479"/>
      <c r="AA155" s="1291"/>
      <c r="AB155" s="1291"/>
      <c r="AC155" s="1291"/>
      <c r="AD155" s="1291"/>
      <c r="AE155" s="1291"/>
      <c r="AF155" s="1557"/>
      <c r="AG155" s="557"/>
      <c r="AH155" s="557"/>
      <c r="AI155" s="557"/>
      <c r="AJ155" s="557"/>
      <c r="AK155" s="1566">
        <v>11</v>
      </c>
    </row>
    <row r="156" spans="1:37" s="1566" customFormat="1" ht="11.45" customHeight="1">
      <c r="A156" s="915"/>
      <c r="B156" s="915"/>
      <c r="C156" s="915"/>
      <c r="D156" s="915"/>
      <c r="E156" s="915"/>
      <c r="F156" s="1561"/>
      <c r="G156" s="1561"/>
      <c r="H156" s="286"/>
      <c r="N156" s="1291"/>
      <c r="P156" s="1291"/>
      <c r="Q156" s="1561"/>
      <c r="R156" s="1561"/>
      <c r="S156" s="1291"/>
      <c r="T156" s="1291"/>
      <c r="U156" s="1291"/>
      <c r="V156" s="1291"/>
      <c r="W156" s="1561"/>
      <c r="X156" s="1291"/>
      <c r="Y156" s="1291"/>
      <c r="Z156" s="479"/>
      <c r="AA156" s="1291"/>
      <c r="AB156" s="1291"/>
      <c r="AC156" s="1291"/>
      <c r="AD156" s="1291"/>
      <c r="AE156" s="1291"/>
      <c r="AF156" s="1557"/>
      <c r="AG156" s="557"/>
      <c r="AH156" s="557"/>
      <c r="AI156" s="557"/>
      <c r="AJ156" s="557"/>
      <c r="AK156" s="1566">
        <v>11</v>
      </c>
    </row>
    <row r="157" spans="1:37" s="1566" customFormat="1" ht="11.45" customHeight="1">
      <c r="A157" s="915"/>
      <c r="B157" s="915"/>
      <c r="C157" s="915"/>
      <c r="D157" s="915"/>
      <c r="E157" s="915"/>
      <c r="F157" s="1561"/>
      <c r="G157" s="1561"/>
      <c r="H157" s="286"/>
      <c r="N157" s="1291"/>
      <c r="P157" s="1291"/>
      <c r="Q157" s="1561"/>
      <c r="R157" s="1561"/>
      <c r="S157" s="1291"/>
      <c r="T157" s="1291"/>
      <c r="U157" s="1291"/>
      <c r="V157" s="1291"/>
      <c r="W157" s="1561"/>
      <c r="X157" s="1291"/>
      <c r="Y157" s="1291"/>
      <c r="Z157" s="479"/>
      <c r="AA157" s="1291"/>
      <c r="AB157" s="1291"/>
      <c r="AC157" s="1291"/>
      <c r="AD157" s="1291"/>
      <c r="AE157" s="1291"/>
      <c r="AF157" s="1557"/>
      <c r="AG157" s="557"/>
      <c r="AH157" s="557"/>
      <c r="AI157" s="557"/>
      <c r="AJ157" s="557"/>
      <c r="AK157" s="1566">
        <v>11</v>
      </c>
    </row>
    <row r="158" spans="1:37" s="1566" customFormat="1" ht="11.45" customHeight="1">
      <c r="A158" s="915"/>
      <c r="B158" s="915"/>
      <c r="C158" s="915"/>
      <c r="D158" s="915"/>
      <c r="E158" s="915"/>
      <c r="F158" s="1561"/>
      <c r="G158" s="1561"/>
      <c r="H158" s="286"/>
      <c r="N158" s="1291"/>
      <c r="P158" s="1291"/>
      <c r="Q158" s="1561"/>
      <c r="R158" s="1561"/>
      <c r="S158" s="1291"/>
      <c r="T158" s="1291"/>
      <c r="U158" s="1291"/>
      <c r="V158" s="1291"/>
      <c r="W158" s="1561"/>
      <c r="X158" s="1291"/>
      <c r="Y158" s="1291"/>
      <c r="Z158" s="479"/>
      <c r="AA158" s="1291"/>
      <c r="AB158" s="1291"/>
      <c r="AC158" s="1291"/>
      <c r="AD158" s="1291"/>
      <c r="AE158" s="1291"/>
      <c r="AF158" s="1557"/>
      <c r="AG158" s="557"/>
      <c r="AH158" s="557"/>
      <c r="AI158" s="557"/>
      <c r="AJ158" s="557"/>
      <c r="AK158" s="1566">
        <v>11</v>
      </c>
    </row>
    <row r="159" spans="1:37" s="1566" customFormat="1" ht="11.45" customHeight="1">
      <c r="A159" s="915"/>
      <c r="B159" s="915"/>
      <c r="C159" s="915"/>
      <c r="D159" s="915"/>
      <c r="E159" s="915"/>
      <c r="F159" s="1561"/>
      <c r="G159" s="1561"/>
      <c r="H159" s="286"/>
      <c r="N159" s="1291"/>
      <c r="P159" s="1291"/>
      <c r="Q159" s="1561"/>
      <c r="R159" s="1561"/>
      <c r="S159" s="1291"/>
      <c r="T159" s="1291"/>
      <c r="U159" s="1291"/>
      <c r="V159" s="1291"/>
      <c r="W159" s="1561"/>
      <c r="X159" s="1291"/>
      <c r="Y159" s="1291"/>
      <c r="Z159" s="479"/>
      <c r="AA159" s="1291"/>
      <c r="AB159" s="1291"/>
      <c r="AC159" s="1291"/>
      <c r="AD159" s="1291"/>
      <c r="AE159" s="1291"/>
      <c r="AF159" s="1557"/>
      <c r="AG159" s="557"/>
      <c r="AH159" s="557"/>
      <c r="AI159" s="557"/>
      <c r="AJ159" s="557"/>
      <c r="AK159" s="1566">
        <v>11</v>
      </c>
    </row>
    <row r="160" spans="1:37" s="1566" customFormat="1" ht="11.45" customHeight="1">
      <c r="A160" s="915"/>
      <c r="B160" s="915"/>
      <c r="C160" s="915"/>
      <c r="D160" s="915"/>
      <c r="E160" s="915"/>
      <c r="F160" s="1561"/>
      <c r="G160" s="1561"/>
      <c r="H160" s="286"/>
      <c r="N160" s="1291"/>
      <c r="P160" s="1291"/>
      <c r="Q160" s="1561"/>
      <c r="R160" s="1561"/>
      <c r="S160" s="1291"/>
      <c r="T160" s="1291"/>
      <c r="U160" s="1291"/>
      <c r="V160" s="1291"/>
      <c r="W160" s="1561"/>
      <c r="X160" s="1291"/>
      <c r="Y160" s="1291"/>
      <c r="Z160" s="479"/>
      <c r="AA160" s="1291"/>
      <c r="AB160" s="1291"/>
      <c r="AC160" s="1291"/>
      <c r="AD160" s="1291"/>
      <c r="AE160" s="1291"/>
      <c r="AF160" s="1557"/>
      <c r="AG160" s="557"/>
      <c r="AH160" s="557"/>
      <c r="AI160" s="557"/>
      <c r="AJ160" s="557"/>
      <c r="AK160" s="1566">
        <v>11</v>
      </c>
    </row>
    <row r="161" spans="1:37" s="1566" customFormat="1" ht="11.45" customHeight="1">
      <c r="A161" s="915"/>
      <c r="B161" s="915"/>
      <c r="C161" s="915"/>
      <c r="D161" s="915"/>
      <c r="E161" s="915"/>
      <c r="F161" s="1561"/>
      <c r="G161" s="1561"/>
      <c r="H161" s="286"/>
      <c r="N161" s="1291"/>
      <c r="P161" s="1291"/>
      <c r="Q161" s="1561"/>
      <c r="R161" s="1561"/>
      <c r="S161" s="1291"/>
      <c r="T161" s="1291"/>
      <c r="U161" s="1291"/>
      <c r="V161" s="1291"/>
      <c r="W161" s="1561"/>
      <c r="X161" s="1291"/>
      <c r="Y161" s="1291"/>
      <c r="Z161" s="479"/>
      <c r="AA161" s="1291"/>
      <c r="AB161" s="1291"/>
      <c r="AC161" s="1291"/>
      <c r="AD161" s="1291"/>
      <c r="AE161" s="1291"/>
      <c r="AF161" s="1557"/>
      <c r="AG161" s="557"/>
      <c r="AH161" s="557"/>
      <c r="AI161" s="557"/>
      <c r="AJ161" s="557"/>
      <c r="AK161" s="1566">
        <v>11</v>
      </c>
    </row>
    <row r="162" spans="1:37" s="1566" customFormat="1" ht="11.45" customHeight="1">
      <c r="A162" s="915"/>
      <c r="B162" s="915"/>
      <c r="C162" s="915"/>
      <c r="D162" s="915"/>
      <c r="E162" s="915"/>
      <c r="F162" s="1561"/>
      <c r="G162" s="1561"/>
      <c r="H162" s="286"/>
      <c r="N162" s="1291"/>
      <c r="P162" s="1291"/>
      <c r="Q162" s="1561"/>
      <c r="R162" s="1561"/>
      <c r="S162" s="1291"/>
      <c r="T162" s="1291"/>
      <c r="U162" s="1291"/>
      <c r="V162" s="1291"/>
      <c r="W162" s="1561"/>
      <c r="X162" s="1291"/>
      <c r="Y162" s="1291"/>
      <c r="Z162" s="479"/>
      <c r="AA162" s="1291"/>
      <c r="AB162" s="1291"/>
      <c r="AC162" s="1291"/>
      <c r="AD162" s="1291"/>
      <c r="AE162" s="1291"/>
      <c r="AF162" s="1557"/>
      <c r="AG162" s="557"/>
      <c r="AH162" s="557"/>
      <c r="AI162" s="557"/>
      <c r="AJ162" s="557"/>
      <c r="AK162" s="1566">
        <v>11</v>
      </c>
    </row>
    <row r="163" spans="1:37" s="1566" customFormat="1" ht="11.45" customHeight="1">
      <c r="A163" s="915"/>
      <c r="B163" s="915"/>
      <c r="C163" s="915"/>
      <c r="D163" s="915"/>
      <c r="E163" s="915"/>
      <c r="F163" s="1561"/>
      <c r="G163" s="1561"/>
      <c r="H163" s="286"/>
      <c r="N163" s="1291"/>
      <c r="P163" s="1291"/>
      <c r="Q163" s="1561"/>
      <c r="R163" s="1561"/>
      <c r="S163" s="1291"/>
      <c r="T163" s="1291"/>
      <c r="U163" s="1291"/>
      <c r="V163" s="1291"/>
      <c r="W163" s="1561"/>
      <c r="X163" s="1291"/>
      <c r="Y163" s="1291"/>
      <c r="Z163" s="479"/>
      <c r="AA163" s="1291"/>
      <c r="AB163" s="1291"/>
      <c r="AC163" s="1291"/>
      <c r="AD163" s="1291"/>
      <c r="AE163" s="1291"/>
      <c r="AF163" s="1557"/>
      <c r="AG163" s="557"/>
      <c r="AH163" s="557"/>
      <c r="AI163" s="557"/>
      <c r="AJ163" s="557"/>
      <c r="AK163" s="1566">
        <v>11</v>
      </c>
    </row>
    <row r="164" spans="1:37" s="1566" customFormat="1" ht="11.45" customHeight="1">
      <c r="A164" s="915"/>
      <c r="B164" s="915"/>
      <c r="C164" s="915"/>
      <c r="D164" s="915"/>
      <c r="E164" s="915"/>
      <c r="F164" s="1561"/>
      <c r="G164" s="1561"/>
      <c r="H164" s="286"/>
      <c r="N164" s="1291"/>
      <c r="P164" s="1291"/>
      <c r="Q164" s="1561"/>
      <c r="R164" s="1561"/>
      <c r="S164" s="1291"/>
      <c r="T164" s="1291"/>
      <c r="U164" s="1291"/>
      <c r="V164" s="1291"/>
      <c r="W164" s="1561"/>
      <c r="X164" s="1291"/>
      <c r="Y164" s="1291"/>
      <c r="Z164" s="479"/>
      <c r="AA164" s="1291"/>
      <c r="AB164" s="1291"/>
      <c r="AC164" s="1291"/>
      <c r="AD164" s="1291"/>
      <c r="AE164" s="1291"/>
      <c r="AF164" s="1557"/>
      <c r="AG164" s="557"/>
      <c r="AH164" s="557"/>
      <c r="AI164" s="557"/>
      <c r="AJ164" s="557"/>
      <c r="AK164" s="1566">
        <v>11</v>
      </c>
    </row>
    <row r="165" spans="1:37" s="1566" customFormat="1" ht="11.45" customHeight="1">
      <c r="A165" s="915"/>
      <c r="B165" s="915"/>
      <c r="C165" s="915"/>
      <c r="D165" s="915"/>
      <c r="E165" s="915"/>
      <c r="F165" s="1561"/>
      <c r="G165" s="1561"/>
      <c r="H165" s="286"/>
      <c r="N165" s="1291"/>
      <c r="P165" s="1291"/>
      <c r="Q165" s="1561"/>
      <c r="R165" s="1561"/>
      <c r="S165" s="1291"/>
      <c r="T165" s="1291"/>
      <c r="U165" s="1291"/>
      <c r="V165" s="1291"/>
      <c r="W165" s="1561"/>
      <c r="X165" s="1291"/>
      <c r="Y165" s="1291"/>
      <c r="Z165" s="479"/>
      <c r="AA165" s="1291"/>
      <c r="AB165" s="1291"/>
      <c r="AC165" s="1291"/>
      <c r="AD165" s="1291"/>
      <c r="AE165" s="1291"/>
      <c r="AF165" s="1557"/>
      <c r="AG165" s="557"/>
      <c r="AH165" s="557"/>
      <c r="AI165" s="557"/>
      <c r="AJ165" s="557"/>
      <c r="AK165" s="1566">
        <v>11</v>
      </c>
    </row>
    <row r="166" spans="1:37" s="1566" customFormat="1" ht="11.45" customHeight="1">
      <c r="A166" s="915"/>
      <c r="B166" s="915"/>
      <c r="C166" s="915"/>
      <c r="D166" s="915"/>
      <c r="E166" s="915"/>
      <c r="F166" s="1561"/>
      <c r="G166" s="1561"/>
      <c r="H166" s="286"/>
      <c r="N166" s="1291"/>
      <c r="P166" s="1291"/>
      <c r="Q166" s="1561"/>
      <c r="R166" s="1561"/>
      <c r="S166" s="1291"/>
      <c r="T166" s="1291"/>
      <c r="U166" s="1291"/>
      <c r="V166" s="1291"/>
      <c r="W166" s="1561"/>
      <c r="X166" s="1291"/>
      <c r="Y166" s="1291"/>
      <c r="Z166" s="479"/>
      <c r="AA166" s="1291"/>
      <c r="AB166" s="1291"/>
      <c r="AC166" s="1291"/>
      <c r="AD166" s="1291"/>
      <c r="AE166" s="1291"/>
      <c r="AF166" s="1557"/>
      <c r="AG166" s="557"/>
      <c r="AH166" s="557"/>
      <c r="AI166" s="557"/>
      <c r="AJ166" s="557"/>
      <c r="AK166" s="1566">
        <v>11</v>
      </c>
    </row>
    <row r="167" spans="1:37" s="1566" customFormat="1" ht="11.45" customHeight="1">
      <c r="A167" s="915"/>
      <c r="B167" s="915"/>
      <c r="C167" s="915"/>
      <c r="D167" s="915"/>
      <c r="E167" s="915"/>
      <c r="F167" s="1561"/>
      <c r="G167" s="1561"/>
      <c r="H167" s="286"/>
      <c r="N167" s="1291"/>
      <c r="P167" s="1291"/>
      <c r="Q167" s="1561"/>
      <c r="R167" s="1561"/>
      <c r="S167" s="1291"/>
      <c r="T167" s="1291"/>
      <c r="U167" s="1291"/>
      <c r="V167" s="1291"/>
      <c r="W167" s="1561"/>
      <c r="X167" s="1291"/>
      <c r="Y167" s="1291"/>
      <c r="Z167" s="479"/>
      <c r="AA167" s="1291"/>
      <c r="AB167" s="1291"/>
      <c r="AC167" s="1291"/>
      <c r="AD167" s="1291"/>
      <c r="AE167" s="1291"/>
      <c r="AF167" s="1557"/>
      <c r="AG167" s="557"/>
      <c r="AH167" s="557"/>
      <c r="AI167" s="557"/>
      <c r="AJ167" s="557"/>
      <c r="AK167" s="1566">
        <v>11</v>
      </c>
    </row>
    <row r="168" spans="1:37" s="1566" customFormat="1" ht="11.45" customHeight="1">
      <c r="A168" s="915"/>
      <c r="B168" s="915"/>
      <c r="C168" s="915"/>
      <c r="D168" s="915"/>
      <c r="E168" s="915"/>
      <c r="F168" s="1561"/>
      <c r="G168" s="1561"/>
      <c r="H168" s="286"/>
      <c r="N168" s="1291"/>
      <c r="P168" s="1291"/>
      <c r="Q168" s="1561"/>
      <c r="R168" s="1561"/>
      <c r="S168" s="1291"/>
      <c r="T168" s="1291"/>
      <c r="U168" s="1291"/>
      <c r="V168" s="1291"/>
      <c r="W168" s="1561"/>
      <c r="X168" s="1291"/>
      <c r="Y168" s="1291"/>
      <c r="Z168" s="479"/>
      <c r="AA168" s="1291"/>
      <c r="AB168" s="1291"/>
      <c r="AC168" s="1291"/>
      <c r="AD168" s="1291"/>
      <c r="AE168" s="1291"/>
      <c r="AF168" s="1557"/>
      <c r="AG168" s="557"/>
      <c r="AH168" s="557"/>
      <c r="AI168" s="557"/>
      <c r="AJ168" s="557"/>
      <c r="AK168" s="1566">
        <v>11</v>
      </c>
    </row>
    <row r="169" spans="1:37" s="1566" customFormat="1" ht="11.45" customHeight="1">
      <c r="A169" s="915"/>
      <c r="B169" s="915"/>
      <c r="C169" s="915"/>
      <c r="D169" s="915"/>
      <c r="E169" s="915"/>
      <c r="F169" s="1561"/>
      <c r="G169" s="1561"/>
      <c r="H169" s="286"/>
      <c r="N169" s="1291"/>
      <c r="P169" s="1291"/>
      <c r="Q169" s="1561"/>
      <c r="R169" s="1561"/>
      <c r="S169" s="1291"/>
      <c r="T169" s="1291"/>
      <c r="U169" s="1291"/>
      <c r="V169" s="1291"/>
      <c r="W169" s="1561"/>
      <c r="X169" s="1291"/>
      <c r="Y169" s="1291"/>
      <c r="Z169" s="479"/>
      <c r="AA169" s="1291"/>
      <c r="AB169" s="1291"/>
      <c r="AC169" s="1291"/>
      <c r="AD169" s="1291"/>
      <c r="AE169" s="1291"/>
      <c r="AF169" s="1557"/>
      <c r="AG169" s="557"/>
      <c r="AH169" s="557"/>
      <c r="AI169" s="557"/>
      <c r="AJ169" s="557"/>
      <c r="AK169" s="1566">
        <v>11</v>
      </c>
    </row>
    <row r="170" spans="1:37" s="1566" customFormat="1" ht="11.45" customHeight="1">
      <c r="A170" s="915"/>
      <c r="B170" s="915"/>
      <c r="C170" s="915"/>
      <c r="D170" s="915"/>
      <c r="E170" s="915"/>
      <c r="F170" s="1561"/>
      <c r="G170" s="1561"/>
      <c r="H170" s="286"/>
      <c r="N170" s="1291"/>
      <c r="P170" s="1291"/>
      <c r="Q170" s="1561"/>
      <c r="R170" s="1561"/>
      <c r="S170" s="1291"/>
      <c r="T170" s="1291"/>
      <c r="U170" s="1291"/>
      <c r="V170" s="1291"/>
      <c r="W170" s="1561"/>
      <c r="X170" s="1291"/>
      <c r="Y170" s="1291"/>
      <c r="Z170" s="479"/>
      <c r="AA170" s="1291"/>
      <c r="AB170" s="1291"/>
      <c r="AC170" s="1291"/>
      <c r="AD170" s="1291"/>
      <c r="AE170" s="1291"/>
      <c r="AF170" s="1557"/>
      <c r="AG170" s="557"/>
      <c r="AH170" s="557"/>
      <c r="AI170" s="557"/>
      <c r="AJ170" s="557"/>
      <c r="AK170" s="1566">
        <v>11</v>
      </c>
    </row>
    <row r="171" spans="1:37" s="1566" customFormat="1" ht="11.45" customHeight="1">
      <c r="A171" s="915"/>
      <c r="B171" s="915"/>
      <c r="C171" s="915"/>
      <c r="D171" s="915"/>
      <c r="E171" s="915"/>
      <c r="F171" s="1561"/>
      <c r="G171" s="1561"/>
      <c r="H171" s="286"/>
      <c r="N171" s="1291"/>
      <c r="P171" s="1291"/>
      <c r="Q171" s="1561"/>
      <c r="R171" s="1561"/>
      <c r="S171" s="1291"/>
      <c r="T171" s="1291"/>
      <c r="U171" s="1291"/>
      <c r="V171" s="1291"/>
      <c r="W171" s="1561"/>
      <c r="X171" s="1291"/>
      <c r="Y171" s="1291"/>
      <c r="Z171" s="479"/>
      <c r="AA171" s="1291"/>
      <c r="AB171" s="1291"/>
      <c r="AC171" s="1291"/>
      <c r="AD171" s="1291"/>
      <c r="AE171" s="1291"/>
      <c r="AF171" s="1557"/>
      <c r="AG171" s="557"/>
      <c r="AH171" s="557"/>
      <c r="AI171" s="557"/>
      <c r="AJ171" s="557"/>
      <c r="AK171" s="1566">
        <v>11</v>
      </c>
    </row>
    <row r="172" spans="1:37" s="1566" customFormat="1" ht="11.45" customHeight="1">
      <c r="A172" s="915"/>
      <c r="B172" s="915"/>
      <c r="C172" s="915"/>
      <c r="D172" s="915"/>
      <c r="E172" s="915"/>
      <c r="F172" s="1561"/>
      <c r="G172" s="1561"/>
      <c r="H172" s="286"/>
      <c r="N172" s="1291"/>
      <c r="P172" s="1291"/>
      <c r="Q172" s="1561"/>
      <c r="R172" s="1561"/>
      <c r="S172" s="1291"/>
      <c r="T172" s="1291"/>
      <c r="U172" s="1291"/>
      <c r="V172" s="1291"/>
      <c r="W172" s="1561"/>
      <c r="X172" s="1291"/>
      <c r="Y172" s="1291"/>
      <c r="Z172" s="479"/>
      <c r="AA172" s="1291"/>
      <c r="AB172" s="1291"/>
      <c r="AC172" s="1291"/>
      <c r="AD172" s="1291"/>
      <c r="AE172" s="1291"/>
      <c r="AF172" s="1557"/>
      <c r="AG172" s="557"/>
      <c r="AH172" s="557"/>
      <c r="AI172" s="557"/>
      <c r="AJ172" s="557"/>
      <c r="AK172" s="1566">
        <v>11</v>
      </c>
    </row>
    <row r="173" spans="1:37" s="1566" customFormat="1" ht="11.45" customHeight="1">
      <c r="A173" s="915"/>
      <c r="B173" s="915"/>
      <c r="C173" s="915"/>
      <c r="D173" s="915"/>
      <c r="E173" s="915"/>
      <c r="F173" s="1561"/>
      <c r="G173" s="1561"/>
      <c r="H173" s="286"/>
      <c r="N173" s="1291"/>
      <c r="P173" s="1291"/>
      <c r="Q173" s="1561"/>
      <c r="R173" s="1561"/>
      <c r="S173" s="1291"/>
      <c r="T173" s="1291"/>
      <c r="U173" s="1291"/>
      <c r="V173" s="1291"/>
      <c r="W173" s="1561"/>
      <c r="X173" s="1291"/>
      <c r="Y173" s="1291"/>
      <c r="Z173" s="479"/>
      <c r="AA173" s="1291"/>
      <c r="AB173" s="1291"/>
      <c r="AC173" s="1291"/>
      <c r="AD173" s="1291"/>
      <c r="AE173" s="1291"/>
      <c r="AF173" s="1557"/>
      <c r="AG173" s="557"/>
      <c r="AH173" s="557"/>
      <c r="AI173" s="557"/>
      <c r="AJ173" s="557"/>
      <c r="AK173" s="1566">
        <v>11</v>
      </c>
    </row>
    <row r="174" spans="1:37" s="1566" customFormat="1" ht="11.45" customHeight="1">
      <c r="A174" s="915"/>
      <c r="B174" s="915"/>
      <c r="C174" s="915"/>
      <c r="D174" s="915"/>
      <c r="E174" s="915"/>
      <c r="F174" s="1561"/>
      <c r="G174" s="1561"/>
      <c r="H174" s="286"/>
      <c r="N174" s="1291"/>
      <c r="P174" s="1291"/>
      <c r="Q174" s="1561"/>
      <c r="R174" s="1561"/>
      <c r="S174" s="1291"/>
      <c r="T174" s="1291"/>
      <c r="U174" s="1291"/>
      <c r="V174" s="1291"/>
      <c r="W174" s="1561"/>
      <c r="X174" s="1291"/>
      <c r="Y174" s="1291"/>
      <c r="Z174" s="479"/>
      <c r="AA174" s="1291"/>
      <c r="AB174" s="1291"/>
      <c r="AC174" s="1291"/>
      <c r="AD174" s="1291"/>
      <c r="AE174" s="1291"/>
      <c r="AF174" s="1557"/>
      <c r="AG174" s="557"/>
      <c r="AH174" s="557"/>
      <c r="AI174" s="557"/>
      <c r="AJ174" s="557"/>
      <c r="AK174" s="1566">
        <v>11</v>
      </c>
    </row>
    <row r="175" spans="1:37" s="1566" customFormat="1" ht="11.45" customHeight="1">
      <c r="A175" s="915"/>
      <c r="B175" s="915"/>
      <c r="C175" s="915"/>
      <c r="D175" s="915"/>
      <c r="E175" s="915"/>
      <c r="F175" s="1561"/>
      <c r="G175" s="1561"/>
      <c r="H175" s="286"/>
      <c r="N175" s="1291"/>
      <c r="P175" s="1291"/>
      <c r="Q175" s="1561"/>
      <c r="R175" s="1561"/>
      <c r="S175" s="1291"/>
      <c r="T175" s="1291"/>
      <c r="U175" s="1291"/>
      <c r="V175" s="1291"/>
      <c r="W175" s="1561"/>
      <c r="X175" s="1291"/>
      <c r="Y175" s="1291"/>
      <c r="Z175" s="479"/>
      <c r="AA175" s="1291"/>
      <c r="AB175" s="1291"/>
      <c r="AC175" s="1291"/>
      <c r="AD175" s="1291"/>
      <c r="AE175" s="1291"/>
      <c r="AF175" s="1557"/>
      <c r="AG175" s="557"/>
      <c r="AH175" s="557"/>
      <c r="AI175" s="557"/>
      <c r="AJ175" s="557"/>
      <c r="AK175" s="1566">
        <v>11</v>
      </c>
    </row>
    <row r="176" spans="1:37" s="1566" customFormat="1" ht="11.45" customHeight="1">
      <c r="A176" s="915"/>
      <c r="B176" s="915"/>
      <c r="C176" s="915"/>
      <c r="D176" s="915"/>
      <c r="E176" s="915"/>
      <c r="F176" s="1561"/>
      <c r="G176" s="1561"/>
      <c r="H176" s="286"/>
      <c r="N176" s="1291"/>
      <c r="P176" s="1291"/>
      <c r="Q176" s="1561"/>
      <c r="R176" s="1561"/>
      <c r="S176" s="1291"/>
      <c r="T176" s="1291"/>
      <c r="U176" s="1291"/>
      <c r="V176" s="1291"/>
      <c r="W176" s="1561"/>
      <c r="X176" s="1291"/>
      <c r="Y176" s="1291"/>
      <c r="Z176" s="479"/>
      <c r="AA176" s="1291"/>
      <c r="AB176" s="1291"/>
      <c r="AC176" s="1291"/>
      <c r="AD176" s="1291"/>
      <c r="AE176" s="1291"/>
      <c r="AF176" s="1557"/>
      <c r="AG176" s="557"/>
      <c r="AH176" s="557"/>
      <c r="AI176" s="557"/>
      <c r="AJ176" s="557"/>
      <c r="AK176" s="1566">
        <v>11</v>
      </c>
    </row>
    <row r="177" spans="1:37" s="1566" customFormat="1" ht="11.45" customHeight="1">
      <c r="A177" s="915"/>
      <c r="B177" s="915"/>
      <c r="C177" s="915"/>
      <c r="D177" s="915"/>
      <c r="E177" s="915"/>
      <c r="F177" s="1561"/>
      <c r="G177" s="1561"/>
      <c r="H177" s="286"/>
      <c r="N177" s="1291"/>
      <c r="P177" s="1291"/>
      <c r="Q177" s="1561"/>
      <c r="R177" s="1561"/>
      <c r="S177" s="1291"/>
      <c r="T177" s="1291"/>
      <c r="U177" s="1291"/>
      <c r="V177" s="1291"/>
      <c r="W177" s="1561"/>
      <c r="X177" s="1291"/>
      <c r="Y177" s="1291"/>
      <c r="Z177" s="479"/>
      <c r="AA177" s="1291"/>
      <c r="AB177" s="1291"/>
      <c r="AC177" s="1291"/>
      <c r="AD177" s="1291"/>
      <c r="AE177" s="1291"/>
      <c r="AF177" s="1557"/>
      <c r="AG177" s="557"/>
      <c r="AH177" s="557"/>
      <c r="AI177" s="557"/>
      <c r="AJ177" s="557"/>
      <c r="AK177" s="1566">
        <v>11</v>
      </c>
    </row>
    <row r="178" spans="1:37" s="1566" customFormat="1" ht="11.45" customHeight="1">
      <c r="A178" s="915"/>
      <c r="B178" s="915"/>
      <c r="C178" s="915"/>
      <c r="D178" s="915"/>
      <c r="E178" s="915"/>
      <c r="F178" s="1561"/>
      <c r="G178" s="1561"/>
      <c r="H178" s="286"/>
      <c r="N178" s="1291"/>
      <c r="P178" s="1291"/>
      <c r="Q178" s="1561"/>
      <c r="R178" s="1561"/>
      <c r="S178" s="1291"/>
      <c r="T178" s="1291"/>
      <c r="U178" s="1291"/>
      <c r="V178" s="1291"/>
      <c r="W178" s="1561"/>
      <c r="X178" s="1291"/>
      <c r="Y178" s="1291"/>
      <c r="Z178" s="479"/>
      <c r="AA178" s="1291"/>
      <c r="AB178" s="1291"/>
      <c r="AC178" s="1291"/>
      <c r="AD178" s="1291"/>
      <c r="AE178" s="1291"/>
      <c r="AF178" s="1557"/>
      <c r="AG178" s="557"/>
      <c r="AH178" s="557"/>
      <c r="AI178" s="557"/>
      <c r="AJ178" s="557"/>
      <c r="AK178" s="1566">
        <v>11</v>
      </c>
    </row>
    <row r="179" spans="1:37" s="1566" customFormat="1" ht="11.45" customHeight="1">
      <c r="A179" s="915"/>
      <c r="B179" s="915"/>
      <c r="C179" s="915"/>
      <c r="D179" s="915"/>
      <c r="E179" s="915"/>
      <c r="F179" s="1561"/>
      <c r="G179" s="1561"/>
      <c r="H179" s="286"/>
      <c r="N179" s="1291"/>
      <c r="P179" s="1291"/>
      <c r="Q179" s="1561"/>
      <c r="R179" s="1561"/>
      <c r="S179" s="1291"/>
      <c r="T179" s="1291"/>
      <c r="U179" s="1291"/>
      <c r="V179" s="1291"/>
      <c r="W179" s="1561"/>
      <c r="X179" s="1291"/>
      <c r="Y179" s="1291"/>
      <c r="Z179" s="479"/>
      <c r="AA179" s="1291"/>
      <c r="AB179" s="1291"/>
      <c r="AC179" s="1291"/>
      <c r="AD179" s="1291"/>
      <c r="AE179" s="1291"/>
      <c r="AF179" s="1557"/>
      <c r="AG179" s="557"/>
      <c r="AH179" s="557"/>
      <c r="AI179" s="557"/>
      <c r="AJ179" s="557"/>
      <c r="AK179" s="1566">
        <v>11</v>
      </c>
    </row>
    <row r="180" spans="1:37" s="1566" customFormat="1" ht="11.45" customHeight="1">
      <c r="A180" s="915"/>
      <c r="B180" s="915"/>
      <c r="C180" s="915"/>
      <c r="D180" s="915"/>
      <c r="E180" s="915"/>
      <c r="F180" s="1561"/>
      <c r="G180" s="1561"/>
      <c r="H180" s="286"/>
      <c r="N180" s="1291"/>
      <c r="P180" s="1291"/>
      <c r="Q180" s="1561"/>
      <c r="R180" s="1561"/>
      <c r="S180" s="1291"/>
      <c r="T180" s="1291"/>
      <c r="U180" s="1291"/>
      <c r="V180" s="1291"/>
      <c r="W180" s="1561"/>
      <c r="X180" s="1291"/>
      <c r="Y180" s="1291"/>
      <c r="Z180" s="479"/>
      <c r="AA180" s="1291"/>
      <c r="AB180" s="1291"/>
      <c r="AC180" s="1291"/>
      <c r="AD180" s="1291"/>
      <c r="AE180" s="1291"/>
      <c r="AF180" s="1557"/>
      <c r="AG180" s="557"/>
      <c r="AH180" s="557"/>
      <c r="AI180" s="557"/>
      <c r="AJ180" s="557"/>
      <c r="AK180" s="1566">
        <v>11</v>
      </c>
    </row>
    <row r="181" spans="1:37" s="1566" customFormat="1" ht="11.45" customHeight="1">
      <c r="A181" s="915"/>
      <c r="B181" s="915"/>
      <c r="C181" s="915"/>
      <c r="D181" s="915"/>
      <c r="E181" s="915"/>
      <c r="F181" s="1561"/>
      <c r="G181" s="1561"/>
      <c r="H181" s="286"/>
      <c r="N181" s="1291"/>
      <c r="P181" s="1291"/>
      <c r="Q181" s="1561"/>
      <c r="R181" s="1561"/>
      <c r="S181" s="1291"/>
      <c r="T181" s="1291"/>
      <c r="U181" s="1291"/>
      <c r="V181" s="1291"/>
      <c r="W181" s="1561"/>
      <c r="X181" s="1291"/>
      <c r="Y181" s="1291"/>
      <c r="Z181" s="479"/>
      <c r="AA181" s="1291"/>
      <c r="AB181" s="1291"/>
      <c r="AC181" s="1291"/>
      <c r="AD181" s="1291"/>
      <c r="AE181" s="1291"/>
      <c r="AF181" s="1557"/>
      <c r="AG181" s="557"/>
      <c r="AH181" s="557"/>
      <c r="AI181" s="557"/>
      <c r="AJ181" s="557"/>
      <c r="AK181" s="1566">
        <v>11</v>
      </c>
    </row>
    <row r="182" spans="1:37" s="1566" customFormat="1" ht="11.45" customHeight="1">
      <c r="A182" s="915"/>
      <c r="B182" s="915"/>
      <c r="C182" s="915"/>
      <c r="D182" s="915"/>
      <c r="E182" s="915"/>
      <c r="F182" s="1561"/>
      <c r="G182" s="1561"/>
      <c r="H182" s="286"/>
      <c r="N182" s="1291"/>
      <c r="P182" s="1291"/>
      <c r="Q182" s="1561"/>
      <c r="R182" s="1561"/>
      <c r="S182" s="1291"/>
      <c r="T182" s="1291"/>
      <c r="U182" s="1291"/>
      <c r="V182" s="1291"/>
      <c r="W182" s="1561"/>
      <c r="X182" s="1291"/>
      <c r="Y182" s="1291"/>
      <c r="Z182" s="479"/>
      <c r="AA182" s="1291"/>
      <c r="AB182" s="1291"/>
      <c r="AC182" s="1291"/>
      <c r="AD182" s="1291"/>
      <c r="AE182" s="1291"/>
      <c r="AF182" s="1557"/>
      <c r="AG182" s="557"/>
      <c r="AH182" s="557"/>
      <c r="AI182" s="557"/>
      <c r="AJ182" s="557"/>
      <c r="AK182" s="1566">
        <v>11</v>
      </c>
    </row>
    <row r="183" spans="1:37" s="1566" customFormat="1" ht="11.45" customHeight="1">
      <c r="A183" s="915"/>
      <c r="B183" s="915"/>
      <c r="C183" s="915"/>
      <c r="D183" s="915"/>
      <c r="E183" s="915"/>
      <c r="F183" s="1561"/>
      <c r="G183" s="1561"/>
      <c r="H183" s="286"/>
      <c r="N183" s="1291"/>
      <c r="P183" s="1291"/>
      <c r="Q183" s="1561"/>
      <c r="R183" s="1561"/>
      <c r="S183" s="1291"/>
      <c r="T183" s="1291"/>
      <c r="U183" s="1291"/>
      <c r="V183" s="1291"/>
      <c r="W183" s="1561"/>
      <c r="X183" s="1291"/>
      <c r="Y183" s="1291"/>
      <c r="Z183" s="479"/>
      <c r="AA183" s="1291"/>
      <c r="AB183" s="1291"/>
      <c r="AC183" s="1291"/>
      <c r="AD183" s="1291"/>
      <c r="AE183" s="1291"/>
      <c r="AF183" s="1557"/>
      <c r="AG183" s="557"/>
      <c r="AH183" s="557"/>
      <c r="AI183" s="557"/>
      <c r="AJ183" s="557"/>
      <c r="AK183" s="1566">
        <v>11</v>
      </c>
    </row>
    <row r="184" spans="1:37" s="1566" customFormat="1" ht="11.45" customHeight="1">
      <c r="A184" s="915"/>
      <c r="B184" s="915"/>
      <c r="C184" s="915"/>
      <c r="D184" s="915"/>
      <c r="E184" s="915"/>
      <c r="F184" s="1561"/>
      <c r="G184" s="1561"/>
      <c r="H184" s="286"/>
      <c r="N184" s="1291"/>
      <c r="P184" s="1291"/>
      <c r="Q184" s="1561"/>
      <c r="R184" s="1561"/>
      <c r="S184" s="1291"/>
      <c r="T184" s="1291"/>
      <c r="U184" s="1291"/>
      <c r="V184" s="1291"/>
      <c r="W184" s="1561"/>
      <c r="X184" s="1291"/>
      <c r="Y184" s="1291"/>
      <c r="Z184" s="479"/>
      <c r="AA184" s="1291"/>
      <c r="AB184" s="1291"/>
      <c r="AC184" s="1291"/>
      <c r="AD184" s="1291"/>
      <c r="AE184" s="1291"/>
      <c r="AF184" s="1557"/>
      <c r="AG184" s="557"/>
      <c r="AH184" s="557"/>
      <c r="AI184" s="557"/>
      <c r="AJ184" s="557"/>
      <c r="AK184" s="1566">
        <v>11</v>
      </c>
    </row>
    <row r="185" spans="1:37" s="1566" customFormat="1" ht="11.45" customHeight="1">
      <c r="A185" s="915"/>
      <c r="B185" s="915"/>
      <c r="C185" s="915"/>
      <c r="D185" s="915"/>
      <c r="E185" s="915"/>
      <c r="F185" s="1561"/>
      <c r="G185" s="1561"/>
      <c r="H185" s="286"/>
      <c r="N185" s="1291"/>
      <c r="P185" s="1291"/>
      <c r="Q185" s="1561"/>
      <c r="R185" s="1561"/>
      <c r="S185" s="1291"/>
      <c r="T185" s="1291"/>
      <c r="U185" s="1291"/>
      <c r="V185" s="1291"/>
      <c r="W185" s="1561"/>
      <c r="X185" s="1291"/>
      <c r="Y185" s="1291"/>
      <c r="Z185" s="479"/>
      <c r="AA185" s="1291"/>
      <c r="AB185" s="1291"/>
      <c r="AC185" s="1291"/>
      <c r="AD185" s="1291"/>
      <c r="AE185" s="1291"/>
      <c r="AF185" s="1557"/>
      <c r="AG185" s="557"/>
      <c r="AH185" s="557"/>
      <c r="AI185" s="557"/>
      <c r="AJ185" s="557"/>
      <c r="AK185" s="1566">
        <v>11</v>
      </c>
    </row>
    <row r="186" spans="1:37" s="1566" customFormat="1" ht="11.45" customHeight="1">
      <c r="A186" s="915"/>
      <c r="B186" s="915"/>
      <c r="C186" s="915"/>
      <c r="D186" s="915"/>
      <c r="E186" s="915"/>
      <c r="F186" s="1561"/>
      <c r="G186" s="1561"/>
      <c r="H186" s="286"/>
      <c r="N186" s="1291"/>
      <c r="P186" s="1291"/>
      <c r="Q186" s="1561"/>
      <c r="R186" s="1561"/>
      <c r="S186" s="1291"/>
      <c r="T186" s="1291"/>
      <c r="U186" s="1291"/>
      <c r="V186" s="1291"/>
      <c r="W186" s="1561"/>
      <c r="X186" s="1291"/>
      <c r="Y186" s="1291"/>
      <c r="Z186" s="479"/>
      <c r="AA186" s="1291"/>
      <c r="AB186" s="1291"/>
      <c r="AC186" s="1291"/>
      <c r="AD186" s="1291"/>
      <c r="AE186" s="1291"/>
      <c r="AF186" s="1557"/>
      <c r="AG186" s="557"/>
      <c r="AH186" s="557"/>
      <c r="AI186" s="557"/>
      <c r="AJ186" s="557"/>
      <c r="AK186" s="1566">
        <v>11</v>
      </c>
    </row>
    <row r="187" spans="1:37" s="1566" customFormat="1" ht="11.45" customHeight="1">
      <c r="A187" s="915"/>
      <c r="B187" s="915"/>
      <c r="C187" s="915"/>
      <c r="D187" s="915"/>
      <c r="E187" s="915"/>
      <c r="F187" s="1561"/>
      <c r="G187" s="1561"/>
      <c r="H187" s="286"/>
      <c r="N187" s="1291"/>
      <c r="P187" s="1291"/>
      <c r="Q187" s="1561"/>
      <c r="R187" s="1561"/>
      <c r="S187" s="1291"/>
      <c r="T187" s="1291"/>
      <c r="U187" s="1291"/>
      <c r="V187" s="1291"/>
      <c r="W187" s="1561"/>
      <c r="X187" s="1291"/>
      <c r="Y187" s="1291"/>
      <c r="Z187" s="479"/>
      <c r="AA187" s="1291"/>
      <c r="AB187" s="1291"/>
      <c r="AC187" s="1291"/>
      <c r="AD187" s="1291"/>
      <c r="AE187" s="1291"/>
      <c r="AF187" s="1557"/>
      <c r="AG187" s="557"/>
      <c r="AH187" s="557"/>
      <c r="AI187" s="557"/>
      <c r="AJ187" s="557"/>
      <c r="AK187" s="1566">
        <v>11</v>
      </c>
    </row>
    <row r="188" spans="1:37" s="1566" customFormat="1" ht="11.45" customHeight="1">
      <c r="A188" s="915"/>
      <c r="B188" s="915"/>
      <c r="C188" s="915"/>
      <c r="D188" s="915"/>
      <c r="E188" s="915"/>
      <c r="F188" s="1561"/>
      <c r="G188" s="1561"/>
      <c r="H188" s="286"/>
      <c r="N188" s="1291"/>
      <c r="P188" s="1291"/>
      <c r="Q188" s="1561"/>
      <c r="R188" s="1561"/>
      <c r="S188" s="1291"/>
      <c r="T188" s="1291"/>
      <c r="U188" s="1291"/>
      <c r="V188" s="1291"/>
      <c r="W188" s="1561"/>
      <c r="X188" s="1291"/>
      <c r="Y188" s="1291"/>
      <c r="Z188" s="479"/>
      <c r="AA188" s="1291"/>
      <c r="AB188" s="1291"/>
      <c r="AC188" s="1291"/>
      <c r="AD188" s="1291"/>
      <c r="AE188" s="1291"/>
      <c r="AF188" s="1557"/>
      <c r="AG188" s="557"/>
      <c r="AH188" s="557"/>
      <c r="AI188" s="557"/>
      <c r="AJ188" s="557"/>
      <c r="AK188" s="1566">
        <v>11</v>
      </c>
    </row>
    <row r="189" spans="1:37" s="1566" customFormat="1" ht="11.45" customHeight="1">
      <c r="A189" s="915"/>
      <c r="B189" s="915"/>
      <c r="C189" s="915"/>
      <c r="D189" s="915"/>
      <c r="E189" s="915"/>
      <c r="F189" s="1561"/>
      <c r="G189" s="1561"/>
      <c r="H189" s="286"/>
      <c r="N189" s="1291"/>
      <c r="P189" s="1291"/>
      <c r="Q189" s="1561"/>
      <c r="R189" s="1561"/>
      <c r="S189" s="1291"/>
      <c r="T189" s="1291"/>
      <c r="U189" s="1291"/>
      <c r="V189" s="1291"/>
      <c r="W189" s="1561"/>
      <c r="X189" s="1291"/>
      <c r="Y189" s="1291"/>
      <c r="Z189" s="479"/>
      <c r="AA189" s="1291"/>
      <c r="AB189" s="1291"/>
      <c r="AC189" s="1291"/>
      <c r="AD189" s="1291"/>
      <c r="AE189" s="1291"/>
      <c r="AF189" s="1557"/>
      <c r="AG189" s="557"/>
      <c r="AH189" s="557"/>
      <c r="AI189" s="557"/>
      <c r="AJ189" s="557"/>
      <c r="AK189" s="1566">
        <v>11</v>
      </c>
    </row>
    <row r="190" spans="1:37" ht="11.45" customHeight="1">
      <c r="AK190" s="1556">
        <v>11</v>
      </c>
    </row>
    <row r="191" spans="1:37" ht="11.45" customHeight="1">
      <c r="AK191" s="1556">
        <v>11</v>
      </c>
    </row>
    <row r="192" spans="1:37" ht="11.45" customHeight="1">
      <c r="AK192" s="1556">
        <v>11</v>
      </c>
    </row>
    <row r="193" spans="1:37" ht="11.45" customHeight="1">
      <c r="A193" s="918"/>
      <c r="B193" s="918"/>
      <c r="C193" s="918"/>
      <c r="D193" s="918"/>
      <c r="E193" s="918"/>
      <c r="F193" s="1556"/>
      <c r="H193" s="1556"/>
      <c r="N193" s="1556"/>
      <c r="P193" s="1556"/>
      <c r="S193" s="1556"/>
      <c r="T193" s="1556"/>
      <c r="U193" s="1556"/>
      <c r="V193" s="1556"/>
      <c r="X193" s="1556"/>
      <c r="Y193" s="1556"/>
      <c r="Z193" s="1556"/>
      <c r="AA193" s="1556"/>
      <c r="AB193" s="1556"/>
      <c r="AC193" s="1556"/>
      <c r="AD193" s="1556"/>
      <c r="AE193" s="1556"/>
      <c r="AF193" s="1556"/>
      <c r="AG193" s="1556"/>
      <c r="AH193" s="1556"/>
      <c r="AI193" s="1556"/>
      <c r="AJ193" s="1556"/>
      <c r="AK193" s="1556">
        <v>11</v>
      </c>
    </row>
    <row r="194" spans="1:37" ht="11.45" customHeight="1">
      <c r="A194" s="918"/>
      <c r="B194" s="918"/>
      <c r="C194" s="918"/>
      <c r="D194" s="918"/>
      <c r="E194" s="918"/>
      <c r="F194" s="1556"/>
      <c r="H194" s="1556"/>
      <c r="N194" s="1556"/>
      <c r="P194" s="1556"/>
      <c r="S194" s="1556"/>
      <c r="T194" s="1556"/>
      <c r="U194" s="1556"/>
      <c r="V194" s="1556"/>
      <c r="X194" s="1556"/>
      <c r="Y194" s="1556"/>
      <c r="Z194" s="1556"/>
      <c r="AA194" s="1556"/>
      <c r="AB194" s="1556"/>
      <c r="AC194" s="1556"/>
      <c r="AD194" s="1556"/>
      <c r="AE194" s="1556"/>
      <c r="AF194" s="1556"/>
      <c r="AG194" s="1556"/>
      <c r="AH194" s="1556"/>
      <c r="AI194" s="1556"/>
      <c r="AJ194" s="1556"/>
      <c r="AK194" s="1556">
        <v>11</v>
      </c>
    </row>
    <row r="195" spans="1:37" ht="11.45" customHeight="1">
      <c r="A195" s="918"/>
      <c r="B195" s="918"/>
      <c r="C195" s="918"/>
      <c r="D195" s="918"/>
      <c r="E195" s="918"/>
      <c r="F195" s="1556"/>
      <c r="H195" s="1556"/>
      <c r="N195" s="1556"/>
      <c r="P195" s="1556"/>
      <c r="S195" s="1556"/>
      <c r="T195" s="1556"/>
      <c r="U195" s="1556"/>
      <c r="V195" s="1556"/>
      <c r="X195" s="1556"/>
      <c r="Y195" s="1556"/>
      <c r="Z195" s="1556"/>
      <c r="AA195" s="1556"/>
      <c r="AB195" s="1556"/>
      <c r="AC195" s="1556"/>
      <c r="AD195" s="1556"/>
      <c r="AE195" s="1556"/>
      <c r="AF195" s="1556"/>
      <c r="AG195" s="1556"/>
      <c r="AH195" s="1556"/>
      <c r="AI195" s="1556"/>
      <c r="AJ195" s="1556"/>
      <c r="AK195" s="1556">
        <v>11</v>
      </c>
    </row>
    <row r="196" spans="1:37" ht="11.45" customHeight="1">
      <c r="A196" s="918"/>
      <c r="B196" s="918"/>
      <c r="C196" s="918"/>
      <c r="D196" s="918"/>
      <c r="E196" s="918"/>
      <c r="F196" s="1556"/>
      <c r="H196" s="1556"/>
      <c r="N196" s="1556"/>
      <c r="P196" s="1556"/>
      <c r="S196" s="1556"/>
      <c r="T196" s="1556"/>
      <c r="U196" s="1556"/>
      <c r="V196" s="1556"/>
      <c r="X196" s="1556"/>
      <c r="Y196" s="1556"/>
      <c r="Z196" s="1556"/>
      <c r="AA196" s="1556"/>
      <c r="AB196" s="1556"/>
      <c r="AC196" s="1556"/>
      <c r="AD196" s="1556"/>
      <c r="AE196" s="1556"/>
      <c r="AF196" s="1556"/>
      <c r="AG196" s="1556"/>
      <c r="AH196" s="1556"/>
      <c r="AI196" s="1556"/>
      <c r="AJ196" s="1556"/>
      <c r="AK196" s="1556">
        <v>11</v>
      </c>
    </row>
    <row r="197" spans="1:37" ht="11.45" customHeight="1">
      <c r="A197" s="918"/>
      <c r="B197" s="918"/>
      <c r="C197" s="918"/>
      <c r="D197" s="918"/>
      <c r="E197" s="918"/>
      <c r="F197" s="1556"/>
      <c r="H197" s="1556"/>
      <c r="N197" s="1556"/>
      <c r="P197" s="1556"/>
      <c r="S197" s="1556"/>
      <c r="T197" s="1556"/>
      <c r="U197" s="1556"/>
      <c r="V197" s="1556"/>
      <c r="X197" s="1556"/>
      <c r="Y197" s="1556"/>
      <c r="Z197" s="1556"/>
      <c r="AA197" s="1556"/>
      <c r="AB197" s="1556"/>
      <c r="AC197" s="1556"/>
      <c r="AD197" s="1556"/>
      <c r="AE197" s="1556"/>
      <c r="AF197" s="1556"/>
      <c r="AG197" s="1556"/>
      <c r="AH197" s="1556"/>
      <c r="AI197" s="1556"/>
      <c r="AJ197" s="1556"/>
      <c r="AK197" s="1556">
        <v>11</v>
      </c>
    </row>
    <row r="198" spans="1:37" ht="11.45" customHeight="1">
      <c r="A198" s="918"/>
      <c r="B198" s="918"/>
      <c r="C198" s="918"/>
      <c r="D198" s="918"/>
      <c r="E198" s="918"/>
      <c r="F198" s="1556"/>
      <c r="H198" s="1556"/>
      <c r="N198" s="1556"/>
      <c r="P198" s="1556"/>
      <c r="S198" s="1556"/>
      <c r="T198" s="1556"/>
      <c r="U198" s="1556"/>
      <c r="V198" s="1556"/>
      <c r="X198" s="1556"/>
      <c r="Y198" s="1556"/>
      <c r="Z198" s="1556"/>
      <c r="AA198" s="1556"/>
      <c r="AB198" s="1556"/>
      <c r="AC198" s="1556"/>
      <c r="AD198" s="1556"/>
      <c r="AE198" s="1556"/>
      <c r="AF198" s="1556"/>
      <c r="AG198" s="1556"/>
      <c r="AH198" s="1556"/>
      <c r="AI198" s="1556"/>
      <c r="AJ198" s="1556"/>
      <c r="AK198" s="1556">
        <v>11</v>
      </c>
    </row>
    <row r="199" spans="1:37" ht="11.45" customHeight="1">
      <c r="A199" s="918"/>
      <c r="B199" s="918"/>
      <c r="C199" s="918"/>
      <c r="D199" s="918"/>
      <c r="E199" s="918"/>
      <c r="F199" s="1556"/>
      <c r="H199" s="1556"/>
      <c r="N199" s="1556"/>
      <c r="P199" s="1556"/>
      <c r="S199" s="1556"/>
      <c r="T199" s="1556"/>
      <c r="U199" s="1556"/>
      <c r="V199" s="1556"/>
      <c r="X199" s="1556"/>
      <c r="Y199" s="1556"/>
      <c r="Z199" s="1556"/>
      <c r="AA199" s="1556"/>
      <c r="AB199" s="1556"/>
      <c r="AC199" s="1556"/>
      <c r="AD199" s="1556"/>
      <c r="AE199" s="1556"/>
      <c r="AF199" s="1556"/>
      <c r="AG199" s="1556"/>
      <c r="AH199" s="1556"/>
      <c r="AI199" s="1556"/>
      <c r="AJ199" s="1556"/>
      <c r="AK199" s="1556">
        <v>11</v>
      </c>
    </row>
    <row r="200" spans="1:37" ht="11.45" customHeight="1">
      <c r="A200" s="918"/>
      <c r="B200" s="918"/>
      <c r="C200" s="918"/>
      <c r="D200" s="918"/>
      <c r="E200" s="918"/>
      <c r="F200" s="1556"/>
      <c r="H200" s="1556"/>
      <c r="N200" s="1556"/>
      <c r="P200" s="1556"/>
      <c r="S200" s="1556"/>
      <c r="T200" s="1556"/>
      <c r="U200" s="1556"/>
      <c r="V200" s="1556"/>
      <c r="X200" s="1556"/>
      <c r="Y200" s="1556"/>
      <c r="Z200" s="1556"/>
      <c r="AA200" s="1556"/>
      <c r="AB200" s="1556"/>
      <c r="AC200" s="1556"/>
      <c r="AD200" s="1556"/>
      <c r="AE200" s="1556"/>
      <c r="AF200" s="1556"/>
      <c r="AG200" s="1556"/>
      <c r="AH200" s="1556"/>
      <c r="AI200" s="1556"/>
      <c r="AJ200" s="1556"/>
      <c r="AK200" s="1556">
        <v>11</v>
      </c>
    </row>
    <row r="201" spans="1:37" ht="11.45" customHeight="1">
      <c r="A201" s="918"/>
      <c r="B201" s="918"/>
      <c r="C201" s="918"/>
      <c r="D201" s="918"/>
      <c r="E201" s="918"/>
      <c r="F201" s="1556"/>
      <c r="H201" s="1556"/>
      <c r="N201" s="1556"/>
      <c r="P201" s="1556"/>
      <c r="S201" s="1556"/>
      <c r="T201" s="1556"/>
      <c r="U201" s="1556"/>
      <c r="V201" s="1556"/>
      <c r="X201" s="1556"/>
      <c r="Y201" s="1556"/>
      <c r="Z201" s="1556"/>
      <c r="AA201" s="1556"/>
      <c r="AB201" s="1556"/>
      <c r="AC201" s="1556"/>
      <c r="AD201" s="1556"/>
      <c r="AE201" s="1556"/>
      <c r="AF201" s="1556"/>
      <c r="AG201" s="1556"/>
      <c r="AH201" s="1556"/>
      <c r="AI201" s="1556"/>
      <c r="AJ201" s="1556"/>
      <c r="AK201" s="1556">
        <v>11</v>
      </c>
    </row>
    <row r="202" spans="1:37" ht="11.45" customHeight="1">
      <c r="A202" s="918"/>
      <c r="B202" s="918"/>
      <c r="C202" s="918"/>
      <c r="D202" s="918"/>
      <c r="E202" s="918"/>
      <c r="F202" s="1556"/>
      <c r="H202" s="1556"/>
      <c r="N202" s="1556"/>
      <c r="P202" s="1556"/>
      <c r="S202" s="1556"/>
      <c r="T202" s="1556"/>
      <c r="U202" s="1556"/>
      <c r="V202" s="1556"/>
      <c r="X202" s="1556"/>
      <c r="Y202" s="1556"/>
      <c r="Z202" s="1556"/>
      <c r="AA202" s="1556"/>
      <c r="AB202" s="1556"/>
      <c r="AC202" s="1556"/>
      <c r="AD202" s="1556"/>
      <c r="AE202" s="1556"/>
      <c r="AF202" s="1556"/>
      <c r="AG202" s="1556"/>
      <c r="AH202" s="1556"/>
      <c r="AI202" s="1556"/>
      <c r="AJ202" s="1556"/>
      <c r="AK202" s="1556">
        <v>11</v>
      </c>
    </row>
    <row r="203" spans="1:37" ht="11.45" customHeight="1">
      <c r="A203" s="918"/>
      <c r="B203" s="918"/>
      <c r="C203" s="918"/>
      <c r="D203" s="918"/>
      <c r="E203" s="918"/>
      <c r="F203" s="1556"/>
      <c r="H203" s="1556"/>
      <c r="N203" s="1556"/>
      <c r="P203" s="1556"/>
      <c r="S203" s="1556"/>
      <c r="T203" s="1556"/>
      <c r="U203" s="1556"/>
      <c r="V203" s="1556"/>
      <c r="X203" s="1556"/>
      <c r="Y203" s="1556"/>
      <c r="Z203" s="1556"/>
      <c r="AA203" s="1556"/>
      <c r="AB203" s="1556"/>
      <c r="AC203" s="1556"/>
      <c r="AD203" s="1556"/>
      <c r="AE203" s="1556"/>
      <c r="AF203" s="1556"/>
      <c r="AG203" s="1556"/>
      <c r="AH203" s="1556"/>
      <c r="AI203" s="1556"/>
      <c r="AJ203" s="1556"/>
      <c r="AK203" s="1556">
        <v>11</v>
      </c>
    </row>
    <row r="204" spans="1:37" ht="12.75" hidden="1" customHeight="1">
      <c r="A204" s="915" t="s">
        <v>82</v>
      </c>
      <c r="B204" s="915" t="s">
        <v>150</v>
      </c>
      <c r="C204" s="915" t="s">
        <v>150</v>
      </c>
      <c r="D204" s="915" t="s">
        <v>150</v>
      </c>
      <c r="E204" s="915" t="s">
        <v>150</v>
      </c>
      <c r="F204" s="1560">
        <v>16</v>
      </c>
      <c r="G204" s="1561">
        <v>0</v>
      </c>
      <c r="H204" s="1560">
        <v>3</v>
      </c>
      <c r="I204" s="1556">
        <v>7</v>
      </c>
      <c r="J204" s="1556">
        <v>56</v>
      </c>
      <c r="K204" s="1556">
        <v>10</v>
      </c>
      <c r="L204" s="1556">
        <v>40</v>
      </c>
      <c r="M204" s="1556">
        <v>40</v>
      </c>
      <c r="N204" s="1291">
        <v>9</v>
      </c>
      <c r="O204" s="1556">
        <v>102</v>
      </c>
      <c r="P204" s="1291">
        <v>9</v>
      </c>
      <c r="Q204" s="1561">
        <v>5</v>
      </c>
      <c r="R204" s="1561">
        <v>3</v>
      </c>
      <c r="S204" s="1291">
        <v>3</v>
      </c>
      <c r="T204" s="1291">
        <v>3</v>
      </c>
      <c r="U204" s="1291">
        <v>3</v>
      </c>
      <c r="V204" s="1291">
        <v>3</v>
      </c>
      <c r="W204" s="1561">
        <v>10</v>
      </c>
      <c r="X204" s="1291">
        <v>34</v>
      </c>
      <c r="Y204" s="1291">
        <v>9</v>
      </c>
      <c r="Z204" s="479">
        <v>8</v>
      </c>
      <c r="AA204" s="1291">
        <v>8</v>
      </c>
      <c r="AB204" s="1291">
        <v>8</v>
      </c>
      <c r="AC204" s="1291">
        <v>8</v>
      </c>
      <c r="AD204" s="1291">
        <v>8</v>
      </c>
      <c r="AE204" s="1291">
        <v>8</v>
      </c>
      <c r="AF204" s="1557">
        <v>8</v>
      </c>
      <c r="AG204" s="1557">
        <v>8</v>
      </c>
      <c r="AH204" s="1557">
        <v>8</v>
      </c>
      <c r="AI204" s="1557">
        <v>8</v>
      </c>
      <c r="AJ204" s="1557">
        <v>8</v>
      </c>
      <c r="AK204" s="1556">
        <v>11</v>
      </c>
    </row>
  </sheetData>
  <sheetProtection insertRows="0" deleteColumns="0" deleteRows="0" sort="0" autoFilter="0"/>
  <mergeCells count="7">
    <mergeCell ref="I6:M6"/>
    <mergeCell ref="I7:M7"/>
    <mergeCell ref="J10:K10"/>
    <mergeCell ref="O10:O14"/>
    <mergeCell ref="J11:K11"/>
    <mergeCell ref="J12:K12"/>
    <mergeCell ref="I13:K13"/>
  </mergeCells>
  <dataValidations count="4">
    <dataValidation type="decimal" allowBlank="1" showErrorMessage="1" errorTitle="Ошибка" error="Допускается ввод только неотрицательных чисел!" sqref="L32:M33 L19:M29 L16:M16 L2:M2">
      <formula1>0</formula1>
      <formula2>9.99999999999999E+23</formula2>
    </dataValidation>
    <dataValidation type="textLength" operator="lessThanOrEqual" allowBlank="1" showInputMessage="1" showErrorMessage="1" errorTitle="Ошибка" error="Допускается ввод не более 900 символов!" prompt="Введите наименование прочих расходов" sqref="L17:M17">
      <formula1>900</formula1>
    </dataValidation>
    <dataValidation type="whole" allowBlank="1" showErrorMessage="1" errorTitle="Ошибка" error="Допускается ввод только неотрицательных целых чисел!" sqref="L30:M31">
      <formula1>0</formula1>
      <formula2>9.99999999999999E+23</formula2>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L15:M15 L34:M34">
      <formula1>900</formula1>
    </dataValidation>
  </dataValidations>
  <pageMargins left="0.7" right="0.7" top="0.75" bottom="0.75" header="0.3" footer="0.3"/>
  <pageSetup paperSize="9" orientation="portrait"/>
  <headerFooter>
    <oddHeader>&amp;L&amp;C&amp;R</oddHeader>
    <oddFooter>&amp;L&amp;C&amp;R</oddFooter>
    <evenHeader>&amp;L&amp;C&amp;R</evenHeader>
    <evenFooter>&amp;L&amp;C&amp;R</evenFooter>
  </headerFooter>
  <drawing r:id="rId1"/>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9" tint="-0.249977111117893"/>
  </sheetPr>
  <dimension ref="A1:W16"/>
  <sheetViews>
    <sheetView showGridLines="0" zoomScale="90" workbookViewId="0">
      <pane xSplit="11" ySplit="9" topLeftCell="L10" activePane="bottomRight" state="frozen"/>
      <selection pane="topRight" activeCell="L1" sqref="L1"/>
      <selection pane="bottomLeft" activeCell="A10" sqref="A10"/>
      <selection pane="bottomRight"/>
    </sheetView>
  </sheetViews>
  <sheetFormatPr defaultColWidth="10.5703125" defaultRowHeight="14.25" customHeight="1"/>
  <cols>
    <col min="1" max="4" width="10.5703125" style="1560" hidden="1"/>
    <col min="5" max="5" width="9.140625" style="2000" hidden="1" customWidth="1"/>
    <col min="6" max="7" width="9.140625" style="1291" hidden="1" customWidth="1"/>
    <col min="8" max="8" width="3" style="280" customWidth="1"/>
    <col min="9" max="9" width="6" style="1560" customWidth="1"/>
    <col min="10" max="10" width="63" style="1560" customWidth="1"/>
    <col min="11" max="11" width="9" style="1560" customWidth="1"/>
    <col min="12" max="12" width="39" style="1560" customWidth="1"/>
    <col min="13" max="13" width="89" style="1560" customWidth="1"/>
    <col min="14" max="14" width="10" style="1560" customWidth="1"/>
    <col min="15" max="16" width="10" style="1549" customWidth="1"/>
    <col min="17" max="22" width="10" style="1560" customWidth="1"/>
    <col min="23" max="23" width="10.5703125" style="1560" hidden="1"/>
  </cols>
  <sheetData>
    <row r="1" spans="1:23" ht="22.5" hidden="1" customHeight="1">
      <c r="S1" s="191"/>
      <c r="T1" s="191"/>
      <c r="V1" s="191"/>
      <c r="W1" s="1556" t="s">
        <v>14</v>
      </c>
    </row>
    <row r="2" spans="1:23" ht="22.5" hidden="1" customHeight="1">
      <c r="B2" s="1974" t="s">
        <v>686</v>
      </c>
      <c r="C2" s="1974" t="s">
        <v>687</v>
      </c>
      <c r="D2" s="1973" t="s">
        <v>626</v>
      </c>
      <c r="E2" s="1979">
        <f>I2-3</f>
        <v>-3</v>
      </c>
      <c r="F2" s="1979">
        <f>J2</f>
        <v>0</v>
      </c>
      <c r="H2" s="1655" t="s">
        <v>688</v>
      </c>
      <c r="I2" s="1945"/>
      <c r="J2" s="1607"/>
      <c r="K2" s="1939" t="s">
        <v>305</v>
      </c>
      <c r="L2" s="1089"/>
      <c r="M2" s="233"/>
      <c r="N2" s="1549"/>
      <c r="P2" s="1556"/>
      <c r="W2" s="1556">
        <v>0</v>
      </c>
    </row>
    <row r="3" spans="1:23" ht="14.25" hidden="1" customHeight="1">
      <c r="W3" s="1556">
        <v>0</v>
      </c>
    </row>
    <row r="4" spans="1:23" ht="6.4" customHeight="1">
      <c r="H4" s="311"/>
      <c r="I4" s="392"/>
      <c r="J4" s="392"/>
      <c r="K4" s="392"/>
      <c r="L4" s="23"/>
      <c r="M4" s="23"/>
      <c r="W4" s="1556">
        <v>6</v>
      </c>
    </row>
    <row r="5" spans="1:23" ht="50.25" customHeight="1">
      <c r="H5" s="311"/>
      <c r="I5" s="2170" t="s">
        <v>689</v>
      </c>
      <c r="J5" s="2170"/>
      <c r="K5" s="2170"/>
      <c r="L5" s="2170"/>
      <c r="M5" s="202"/>
      <c r="W5" s="1556">
        <v>48</v>
      </c>
    </row>
    <row r="6" spans="1:23" ht="18" customHeight="1">
      <c r="H6" s="311"/>
      <c r="I6" s="2115" t="str">
        <f>IF(org=0,"Не определено",org)</f>
        <v>ООО "ЗЕНИТ ЭНЕРГО"</v>
      </c>
      <c r="J6" s="2115"/>
      <c r="K6" s="2115"/>
      <c r="L6" s="2115"/>
      <c r="M6" s="202"/>
      <c r="W6" s="1556">
        <v>17</v>
      </c>
    </row>
    <row r="7" spans="1:23" ht="14.65" customHeight="1">
      <c r="H7" s="311"/>
      <c r="I7" s="392"/>
      <c r="J7" s="398"/>
      <c r="K7" s="398"/>
      <c r="L7" s="687"/>
      <c r="M7" s="129"/>
      <c r="W7" s="1556">
        <v>14</v>
      </c>
    </row>
    <row r="8" spans="1:23" ht="14.65" customHeight="1">
      <c r="H8" s="311"/>
      <c r="I8" s="2285" t="s">
        <v>299</v>
      </c>
      <c r="J8" s="2286"/>
      <c r="K8" s="2286"/>
      <c r="L8" s="2287"/>
      <c r="M8" s="2288" t="s">
        <v>300</v>
      </c>
      <c r="W8" s="1556">
        <v>14</v>
      </c>
    </row>
    <row r="9" spans="1:23" ht="35.65" customHeight="1">
      <c r="E9" s="1972" t="s">
        <v>617</v>
      </c>
      <c r="F9" s="1972" t="s">
        <v>623</v>
      </c>
      <c r="H9" s="311"/>
      <c r="I9" s="1946" t="s">
        <v>88</v>
      </c>
      <c r="J9" s="1947" t="s">
        <v>301</v>
      </c>
      <c r="K9" s="1985" t="s">
        <v>565</v>
      </c>
      <c r="L9" s="1986" t="s">
        <v>302</v>
      </c>
      <c r="M9" s="2288"/>
      <c r="W9" s="1556">
        <v>34</v>
      </c>
    </row>
    <row r="10" spans="1:23" ht="35.65" customHeight="1">
      <c r="B10" s="1974" t="s">
        <v>690</v>
      </c>
      <c r="C10" s="1974" t="s">
        <v>691</v>
      </c>
      <c r="D10" s="1973" t="s">
        <v>626</v>
      </c>
      <c r="E10" s="1977" t="s">
        <v>627</v>
      </c>
      <c r="F10" s="1977" t="s">
        <v>627</v>
      </c>
      <c r="H10" s="311"/>
      <c r="I10" s="1945" t="s">
        <v>109</v>
      </c>
      <c r="J10" s="1810" t="s">
        <v>692</v>
      </c>
      <c r="K10" s="1939" t="s">
        <v>305</v>
      </c>
      <c r="L10" s="747"/>
      <c r="M10" s="233" t="s">
        <v>693</v>
      </c>
      <c r="W10" s="1556">
        <v>34</v>
      </c>
    </row>
    <row r="11" spans="1:23" ht="50.25" customHeight="1">
      <c r="B11" s="1974" t="s">
        <v>694</v>
      </c>
      <c r="C11" s="1974" t="s">
        <v>695</v>
      </c>
      <c r="D11" s="1973" t="s">
        <v>626</v>
      </c>
      <c r="E11" s="1977" t="s">
        <v>627</v>
      </c>
      <c r="F11" s="1977" t="s">
        <v>627</v>
      </c>
      <c r="H11" s="311"/>
      <c r="I11" s="1945" t="s">
        <v>110</v>
      </c>
      <c r="J11" s="1810" t="s">
        <v>696</v>
      </c>
      <c r="K11" s="1939" t="s">
        <v>305</v>
      </c>
      <c r="L11" s="747"/>
      <c r="M11" s="233" t="s">
        <v>693</v>
      </c>
      <c r="W11" s="1556">
        <v>48</v>
      </c>
    </row>
    <row r="12" spans="1:23" ht="48.2" customHeight="1">
      <c r="B12" s="1974" t="s">
        <v>697</v>
      </c>
      <c r="C12" s="1974" t="s">
        <v>698</v>
      </c>
      <c r="D12" s="1973" t="s">
        <v>626</v>
      </c>
      <c r="E12" s="1977" t="s">
        <v>627</v>
      </c>
      <c r="F12" s="1977" t="s">
        <v>627</v>
      </c>
      <c r="H12" s="1613"/>
      <c r="I12" s="1945" t="s">
        <v>90</v>
      </c>
      <c r="J12" s="1952" t="s">
        <v>699</v>
      </c>
      <c r="K12" s="1939" t="s">
        <v>305</v>
      </c>
      <c r="L12" s="747"/>
      <c r="M12" s="233" t="s">
        <v>700</v>
      </c>
      <c r="N12" s="1549"/>
      <c r="P12" s="1556"/>
      <c r="W12" s="1556">
        <v>46</v>
      </c>
    </row>
    <row r="13" spans="1:23" ht="14.65" customHeight="1">
      <c r="E13" s="279"/>
      <c r="H13" s="311"/>
      <c r="I13" s="283"/>
      <c r="J13" s="586" t="s">
        <v>701</v>
      </c>
      <c r="K13" s="506"/>
      <c r="L13" s="150"/>
      <c r="M13" s="233"/>
      <c r="W13" s="1556">
        <v>14</v>
      </c>
    </row>
    <row r="14" spans="1:23" ht="14.65" customHeight="1">
      <c r="E14" s="279"/>
      <c r="H14" s="311"/>
      <c r="I14" s="985"/>
      <c r="J14" s="1602"/>
      <c r="K14" s="1603"/>
      <c r="L14" s="1604"/>
      <c r="M14" s="1949"/>
      <c r="W14" s="1556">
        <v>14</v>
      </c>
    </row>
    <row r="15" spans="1:23" ht="14.65" customHeight="1">
      <c r="I15" s="1606"/>
      <c r="J15" s="2206"/>
      <c r="K15" s="2206"/>
      <c r="L15" s="2206"/>
      <c r="M15" s="2206"/>
      <c r="W15" s="1556">
        <v>14</v>
      </c>
    </row>
    <row r="16" spans="1:23" ht="21" hidden="1" customHeight="1">
      <c r="A16" s="1951" t="s">
        <v>82</v>
      </c>
      <c r="B16" s="1556">
        <v>9</v>
      </c>
      <c r="C16" s="1556">
        <v>9</v>
      </c>
      <c r="D16" s="1556">
        <v>9</v>
      </c>
      <c r="E16" s="1951" t="s">
        <v>149</v>
      </c>
      <c r="F16" s="1976" t="s">
        <v>149</v>
      </c>
      <c r="G16" s="1978"/>
      <c r="H16" s="280">
        <v>3</v>
      </c>
      <c r="I16" s="1556">
        <v>6</v>
      </c>
      <c r="J16" s="1556">
        <v>63</v>
      </c>
      <c r="K16" s="1556">
        <v>9</v>
      </c>
      <c r="L16" s="1556">
        <v>39</v>
      </c>
      <c r="M16" s="1556">
        <v>89</v>
      </c>
      <c r="N16" s="1556">
        <v>10</v>
      </c>
      <c r="O16" s="1549">
        <v>10</v>
      </c>
      <c r="P16" s="1549">
        <v>10</v>
      </c>
      <c r="Q16" s="1556">
        <v>10</v>
      </c>
      <c r="R16" s="1556">
        <v>10</v>
      </c>
      <c r="S16" s="1556">
        <v>10</v>
      </c>
      <c r="T16" s="1556">
        <v>10</v>
      </c>
      <c r="U16" s="1556">
        <v>10</v>
      </c>
      <c r="V16" s="1556">
        <v>10</v>
      </c>
      <c r="W16" s="1556">
        <v>23</v>
      </c>
    </row>
  </sheetData>
  <sheetProtection formatColumns="0" formatRows="0" insertRows="0" deleteColumns="0" deleteRows="0" sort="0" autoFilter="0"/>
  <mergeCells count="5">
    <mergeCell ref="J15:M15"/>
    <mergeCell ref="I5:L5"/>
    <mergeCell ref="I6:L6"/>
    <mergeCell ref="I8:L8"/>
    <mergeCell ref="M8:M9"/>
  </mergeCells>
  <dataValidations count="2">
    <dataValidation type="textLength" operator="lessThanOrEqual" allowBlank="1" showInputMessage="1" showErrorMessage="1" errorTitle="Ошибка" error="Допускается ввод не более 900 символов!" sqref="M10 J2">
      <formula1>900</formula1>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либо ссылку на официальный сайт в сети «Интернет», на котором размещена информация" sqref="L2 L10:L12">
      <formula1>900</formula1>
    </dataValidation>
  </dataValidations>
  <pageMargins left="0.7" right="0.7" top="0.75" bottom="0.75" header="0.3" footer="0.3"/>
  <pageSetup orientation="portrait"/>
  <headerFooter>
    <oddHeader>&amp;L&amp;C&amp;R</oddHeader>
    <oddFooter>&amp;L&amp;C&amp;R</oddFooter>
    <evenHeader>&amp;L&amp;C&amp;R</evenHeader>
    <evenFooter>&amp;L&amp;C&amp;R</evenFooter>
  </headerFooter>
  <drawing r:id="rId1"/>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9" tint="-0.249977111117893"/>
  </sheetPr>
  <dimension ref="A1:AF217"/>
  <sheetViews>
    <sheetView showGridLines="0" zoomScale="90" workbookViewId="0">
      <pane xSplit="8" ySplit="14" topLeftCell="I15" activePane="bottomRight" state="frozen"/>
      <selection pane="topRight" activeCell="I1" sqref="I1"/>
      <selection pane="bottomLeft" activeCell="A15" sqref="A15"/>
      <selection pane="bottomRight"/>
    </sheetView>
  </sheetViews>
  <sheetFormatPr defaultColWidth="9.140625" defaultRowHeight="11.25" customHeight="1"/>
  <cols>
    <col min="1" max="1" width="10.7109375" style="915" hidden="1" customWidth="1"/>
    <col min="2" max="2" width="16.85546875" style="1291" hidden="1" customWidth="1"/>
    <col min="3" max="3" width="5.5703125" style="1567" hidden="1" customWidth="1"/>
    <col min="4" max="4" width="3" style="1560" customWidth="1"/>
    <col min="5" max="5" width="7" style="1560" customWidth="1"/>
    <col min="6" max="6" width="56" style="1560" customWidth="1"/>
    <col min="7" max="7" width="10" style="1560" customWidth="1"/>
    <col min="8" max="8" width="40.7109375" style="1560" hidden="1" customWidth="1"/>
    <col min="9" max="9" width="40" style="1560" customWidth="1"/>
    <col min="10" max="10" width="102" style="1560" customWidth="1"/>
    <col min="11" max="11" width="9" style="1291" customWidth="1"/>
    <col min="12" max="12" width="5" style="1567" customWidth="1"/>
    <col min="13" max="13" width="3" style="1567" customWidth="1"/>
    <col min="14" max="17" width="3" style="1291" customWidth="1"/>
    <col min="18" max="18" width="10" style="1567" customWidth="1"/>
    <col min="19" max="19" width="34" style="1291" customWidth="1"/>
    <col min="20" max="20" width="9" style="1291" customWidth="1"/>
    <col min="21" max="21" width="8" style="671" customWidth="1"/>
    <col min="22" max="26" width="8" style="1291" customWidth="1"/>
    <col min="27" max="31" width="8" style="1557" customWidth="1"/>
    <col min="32" max="32" width="10.42578125" style="1560" hidden="1" customWidth="1"/>
  </cols>
  <sheetData>
    <row r="1" spans="1:32" s="1291" customFormat="1" ht="22.5" hidden="1" customHeight="1">
      <c r="A1" s="915"/>
      <c r="C1" s="1561"/>
      <c r="D1" s="472"/>
      <c r="H1" s="1085">
        <v>4</v>
      </c>
      <c r="I1" s="1085">
        <v>4</v>
      </c>
      <c r="L1" s="1561"/>
      <c r="M1" s="1561"/>
      <c r="R1" s="1561"/>
      <c r="AF1" s="1085" t="s">
        <v>14</v>
      </c>
    </row>
    <row r="2" spans="1:32" s="1291" customFormat="1" ht="22.5" hidden="1" customHeight="1">
      <c r="A2" s="915"/>
      <c r="C2" s="1561"/>
      <c r="D2" s="473"/>
      <c r="E2" s="1562"/>
      <c r="F2" s="475"/>
      <c r="G2" s="1564" t="s">
        <v>551</v>
      </c>
      <c r="H2" s="476"/>
      <c r="I2" s="476"/>
      <c r="J2" s="477" t="s">
        <v>702</v>
      </c>
      <c r="K2" s="478"/>
      <c r="L2" s="1561"/>
      <c r="M2" s="1561"/>
      <c r="R2" s="1561"/>
      <c r="U2" s="479"/>
      <c r="AA2" s="1557"/>
      <c r="AB2" s="1557"/>
      <c r="AC2" s="1557"/>
      <c r="AD2" s="1557"/>
      <c r="AE2" s="1557"/>
      <c r="AF2" s="1085">
        <v>0</v>
      </c>
    </row>
    <row r="3" spans="1:32" ht="11.25" hidden="1" customHeight="1">
      <c r="AF3" s="1556">
        <v>0</v>
      </c>
    </row>
    <row r="4" spans="1:32" s="1557" customFormat="1" ht="11.25" hidden="1" customHeight="1">
      <c r="A4" s="915"/>
      <c r="B4" s="1085"/>
      <c r="C4" s="1561"/>
      <c r="D4" s="297"/>
      <c r="J4" s="1557">
        <v>4</v>
      </c>
      <c r="K4" s="1085"/>
      <c r="L4" s="1561"/>
      <c r="M4" s="1561"/>
      <c r="N4" s="1085"/>
      <c r="O4" s="1085"/>
      <c r="P4" s="1085"/>
      <c r="Q4" s="1085"/>
      <c r="R4" s="1561"/>
      <c r="S4" s="1085"/>
      <c r="T4" s="1085"/>
      <c r="U4" s="479"/>
      <c r="V4" s="1085"/>
      <c r="W4" s="1085"/>
      <c r="X4" s="1085"/>
      <c r="Y4" s="1085"/>
      <c r="Z4" s="1085"/>
      <c r="AF4" s="1557">
        <v>0</v>
      </c>
    </row>
    <row r="5" spans="1:32" ht="11.45" customHeight="1">
      <c r="AF5" s="1556">
        <v>11</v>
      </c>
    </row>
    <row r="6" spans="1:32" ht="31.5" customHeight="1">
      <c r="E6" s="2130" t="s">
        <v>703</v>
      </c>
      <c r="F6" s="2130"/>
      <c r="G6" s="2130"/>
      <c r="H6" s="2130"/>
      <c r="I6" s="2130"/>
      <c r="J6" s="491"/>
      <c r="AF6" s="1556">
        <v>30</v>
      </c>
    </row>
    <row r="7" spans="1:32" ht="11.45" customHeight="1">
      <c r="E7" s="2115" t="str">
        <f>IF(org=0,"Не определено",org)</f>
        <v>ООО "ЗЕНИТ ЭНЕРГО"</v>
      </c>
      <c r="F7" s="2115"/>
      <c r="G7" s="2115"/>
      <c r="H7" s="2115"/>
      <c r="I7" s="2115"/>
      <c r="AF7" s="1556">
        <v>11</v>
      </c>
    </row>
    <row r="8" spans="1:32" ht="11.45" customHeight="1">
      <c r="E8" s="1060"/>
      <c r="F8" s="1060"/>
      <c r="G8" s="1060"/>
      <c r="H8" s="1060"/>
      <c r="I8" s="1060"/>
      <c r="AF8" s="1556">
        <v>11</v>
      </c>
    </row>
    <row r="9" spans="1:32" s="1567" customFormat="1" ht="4.1500000000000004" customHeight="1">
      <c r="A9" s="1092"/>
      <c r="H9" s="817"/>
      <c r="I9" s="817" t="s">
        <v>117</v>
      </c>
      <c r="AF9" s="1561">
        <v>4</v>
      </c>
    </row>
    <row r="10" spans="1:32" ht="11.45" customHeight="1">
      <c r="E10" s="646"/>
      <c r="F10" s="2269" t="s">
        <v>105</v>
      </c>
      <c r="G10" s="2270"/>
      <c r="H10" s="1477" t="str">
        <f>IF(H9="","",INDEX(DIFFERENTIATION_UNMERGE_VD,MATCH(H9,DIFFERENTIATION_ID_DIFF,0)))</f>
        <v/>
      </c>
      <c r="I10" s="1477" t="str">
        <f>IF(I9="","",INDEX(DIFFERENTIATION_UNMERGE_VD,MATCH(I9,DIFFERENTIATION_ID_DIFF,0)))</f>
        <v>Производство тепловой энергии. Некомбинированная выработка; Передача. Тепловая энергия; Сбыт. Тепловая энергия</v>
      </c>
      <c r="J10" s="2066"/>
      <c r="AF10" s="1556">
        <v>11</v>
      </c>
    </row>
    <row r="11" spans="1:32" ht="11.45" customHeight="1">
      <c r="E11" s="646"/>
      <c r="F11" s="2269" t="s">
        <v>563</v>
      </c>
      <c r="G11" s="2270"/>
      <c r="H11" s="1477" t="str">
        <f>IF(H9="","",INDEX(DIFFERENTIATION_UNMERGE_AREA,MATCH(H9,DIFFERENTIATION_ID_DIFF,0)))</f>
        <v/>
      </c>
      <c r="I11" s="1477" t="str">
        <f>IF(I9="","",INDEX(DIFFERENTIATION_UNMERGE_AREA,MATCH(I9,DIFFERENTIATION_ID_DIFF,0)))</f>
        <v>Территория 1</v>
      </c>
      <c r="J11" s="2066"/>
      <c r="AF11" s="1556">
        <v>11</v>
      </c>
    </row>
    <row r="12" spans="1:32" ht="1.1499999999999999" customHeight="1">
      <c r="E12" s="1587"/>
      <c r="F12" s="2289" t="s">
        <v>564</v>
      </c>
      <c r="G12" s="2290"/>
      <c r="H12" s="1588" t="str">
        <f>IF(H9="","",INDEX(DIFFERENTIATION_UNMERGE_SYSTEM,MATCH(H9,DIFFERENTIATION_ID_DIFF,0)))</f>
        <v/>
      </c>
      <c r="I12" s="1588" t="str">
        <f>IF(I9="","",INDEX(DIFFERENTIATION_UNMERGE_SYSTEM,MATCH(I9,DIFFERENTIATION_ID_DIFF,0)))</f>
        <v>без дифференциации</v>
      </c>
      <c r="J12" s="2066"/>
      <c r="AF12" s="1556">
        <v>1</v>
      </c>
    </row>
    <row r="13" spans="1:32" ht="11.45" customHeight="1">
      <c r="E13" s="2271" t="s">
        <v>299</v>
      </c>
      <c r="F13" s="2272"/>
      <c r="G13" s="2272"/>
      <c r="H13" s="1476"/>
      <c r="I13" s="1476"/>
      <c r="J13" s="2066"/>
      <c r="AF13" s="1556">
        <v>11</v>
      </c>
    </row>
    <row r="14" spans="1:32" ht="24" customHeight="1">
      <c r="E14" s="1564" t="s">
        <v>88</v>
      </c>
      <c r="F14" s="1559" t="s">
        <v>301</v>
      </c>
      <c r="G14" s="1559" t="s">
        <v>565</v>
      </c>
      <c r="H14" s="1559" t="s">
        <v>302</v>
      </c>
      <c r="I14" s="1559" t="s">
        <v>302</v>
      </c>
      <c r="J14" s="2066"/>
      <c r="AF14" s="1556">
        <v>23</v>
      </c>
    </row>
    <row r="15" spans="1:32" ht="19.899999999999999" customHeight="1">
      <c r="D15" s="1563"/>
      <c r="E15" s="1555" t="s">
        <v>109</v>
      </c>
      <c r="F15" s="642" t="s">
        <v>704</v>
      </c>
      <c r="G15" s="1571" t="s">
        <v>551</v>
      </c>
      <c r="H15" s="492"/>
      <c r="I15" s="492"/>
      <c r="J15" s="225" t="s">
        <v>705</v>
      </c>
      <c r="K15" s="478" t="s">
        <v>629</v>
      </c>
      <c r="AF15" s="1556">
        <v>19</v>
      </c>
    </row>
    <row r="16" spans="1:32" ht="35.65" customHeight="1">
      <c r="D16" s="1563"/>
      <c r="E16" s="1555" t="s">
        <v>110</v>
      </c>
      <c r="F16" s="642" t="s">
        <v>706</v>
      </c>
      <c r="G16" s="1571" t="s">
        <v>551</v>
      </c>
      <c r="H16" s="493">
        <f>SUM(H17,H20:H32)</f>
        <v>0</v>
      </c>
      <c r="I16" s="493">
        <f>SUM(I17,I20,I23,I26,I29:I32)</f>
        <v>0</v>
      </c>
      <c r="J16" s="225" t="s">
        <v>707</v>
      </c>
      <c r="K16" s="478" t="s">
        <v>629</v>
      </c>
      <c r="AF16" s="1556">
        <v>34</v>
      </c>
    </row>
    <row r="17" spans="1:32" ht="19.899999999999999" customHeight="1">
      <c r="D17" s="1563"/>
      <c r="E17" s="1589" t="s">
        <v>708</v>
      </c>
      <c r="F17" s="882" t="s">
        <v>709</v>
      </c>
      <c r="G17" s="1568" t="s">
        <v>551</v>
      </c>
      <c r="H17" s="492"/>
      <c r="I17" s="492"/>
      <c r="J17" s="225" t="s">
        <v>710</v>
      </c>
      <c r="K17" s="478"/>
      <c r="AF17" s="1556">
        <v>19</v>
      </c>
    </row>
    <row r="18" spans="1:32" ht="24" customHeight="1">
      <c r="D18" s="1563"/>
      <c r="E18" s="1589" t="s">
        <v>711</v>
      </c>
      <c r="F18" s="1575" t="s">
        <v>712</v>
      </c>
      <c r="G18" s="1568" t="s">
        <v>551</v>
      </c>
      <c r="H18" s="492"/>
      <c r="I18" s="492"/>
      <c r="J18" s="225" t="s">
        <v>713</v>
      </c>
      <c r="K18" s="478"/>
      <c r="AF18" s="1556">
        <v>23</v>
      </c>
    </row>
    <row r="19" spans="1:32" ht="35.65" customHeight="1">
      <c r="D19" s="1563"/>
      <c r="E19" s="1589" t="s">
        <v>714</v>
      </c>
      <c r="F19" s="1575" t="s">
        <v>715</v>
      </c>
      <c r="G19" s="1568" t="s">
        <v>551</v>
      </c>
      <c r="H19" s="492"/>
      <c r="I19" s="492"/>
      <c r="J19" s="225"/>
      <c r="K19" s="478"/>
      <c r="AF19" s="1556">
        <v>34</v>
      </c>
    </row>
    <row r="20" spans="1:32" ht="19.899999999999999" customHeight="1">
      <c r="D20" s="1563"/>
      <c r="E20" s="1589" t="s">
        <v>306</v>
      </c>
      <c r="F20" s="882" t="s">
        <v>716</v>
      </c>
      <c r="G20" s="1568" t="s">
        <v>551</v>
      </c>
      <c r="H20" s="492"/>
      <c r="I20" s="492"/>
      <c r="J20" s="225" t="s">
        <v>717</v>
      </c>
      <c r="K20" s="478"/>
      <c r="AF20" s="1556">
        <v>19</v>
      </c>
    </row>
    <row r="21" spans="1:32" ht="19.899999999999999" customHeight="1">
      <c r="D21" s="1563"/>
      <c r="E21" s="1589" t="s">
        <v>718</v>
      </c>
      <c r="F21" s="1575" t="s">
        <v>719</v>
      </c>
      <c r="G21" s="1568" t="s">
        <v>551</v>
      </c>
      <c r="H21" s="492"/>
      <c r="I21" s="492"/>
      <c r="J21" s="225"/>
      <c r="K21" s="478"/>
      <c r="AF21" s="1556">
        <v>19</v>
      </c>
    </row>
    <row r="22" spans="1:32" ht="19.899999999999999" customHeight="1">
      <c r="D22" s="1563"/>
      <c r="E22" s="1589" t="s">
        <v>720</v>
      </c>
      <c r="F22" s="1575" t="s">
        <v>721</v>
      </c>
      <c r="G22" s="1568" t="s">
        <v>551</v>
      </c>
      <c r="H22" s="492"/>
      <c r="I22" s="492"/>
      <c r="J22" s="225"/>
      <c r="K22" s="478"/>
      <c r="AF22" s="1556">
        <v>19</v>
      </c>
    </row>
    <row r="23" spans="1:32" ht="24" customHeight="1">
      <c r="D23" s="1563"/>
      <c r="E23" s="1589" t="s">
        <v>309</v>
      </c>
      <c r="F23" s="882" t="s">
        <v>722</v>
      </c>
      <c r="G23" s="1568" t="s">
        <v>551</v>
      </c>
      <c r="H23" s="492"/>
      <c r="I23" s="492"/>
      <c r="J23" s="225" t="s">
        <v>723</v>
      </c>
      <c r="K23" s="478"/>
      <c r="AF23" s="1556">
        <v>23</v>
      </c>
    </row>
    <row r="24" spans="1:32" ht="19.899999999999999" customHeight="1">
      <c r="D24" s="1563"/>
      <c r="E24" s="1589" t="s">
        <v>724</v>
      </c>
      <c r="F24" s="1575" t="s">
        <v>725</v>
      </c>
      <c r="G24" s="1568" t="s">
        <v>551</v>
      </c>
      <c r="H24" s="492"/>
      <c r="I24" s="492"/>
      <c r="J24" s="225"/>
      <c r="K24" s="478"/>
      <c r="AF24" s="1556">
        <v>19</v>
      </c>
    </row>
    <row r="25" spans="1:32" ht="35.65" customHeight="1">
      <c r="D25" s="1563"/>
      <c r="E25" s="1589" t="s">
        <v>726</v>
      </c>
      <c r="F25" s="1575" t="s">
        <v>727</v>
      </c>
      <c r="G25" s="1568" t="s">
        <v>551</v>
      </c>
      <c r="H25" s="492"/>
      <c r="I25" s="492"/>
      <c r="J25" s="225"/>
      <c r="K25" s="478"/>
      <c r="AF25" s="1556">
        <v>34</v>
      </c>
    </row>
    <row r="26" spans="1:32" ht="24" customHeight="1">
      <c r="D26" s="1563"/>
      <c r="E26" s="1589" t="s">
        <v>728</v>
      </c>
      <c r="F26" s="882" t="s">
        <v>729</v>
      </c>
      <c r="G26" s="1568" t="s">
        <v>551</v>
      </c>
      <c r="H26" s="492"/>
      <c r="I26" s="492"/>
      <c r="J26" s="225" t="s">
        <v>730</v>
      </c>
      <c r="K26" s="478"/>
      <c r="AF26" s="1556">
        <v>23</v>
      </c>
    </row>
    <row r="27" spans="1:32" ht="19.899999999999999" customHeight="1">
      <c r="D27" s="1563"/>
      <c r="E27" s="1600" t="s">
        <v>731</v>
      </c>
      <c r="F27" s="1575" t="s">
        <v>732</v>
      </c>
      <c r="G27" s="1579" t="s">
        <v>551</v>
      </c>
      <c r="H27" s="1601"/>
      <c r="I27" s="1601"/>
      <c r="J27" s="225"/>
      <c r="K27" s="478"/>
      <c r="AF27" s="1556">
        <v>19</v>
      </c>
    </row>
    <row r="28" spans="1:32" ht="19.899999999999999" customHeight="1">
      <c r="D28" s="1563"/>
      <c r="E28" s="1600" t="s">
        <v>733</v>
      </c>
      <c r="F28" s="1575" t="s">
        <v>734</v>
      </c>
      <c r="G28" s="1579" t="s">
        <v>551</v>
      </c>
      <c r="H28" s="1601"/>
      <c r="I28" s="1601"/>
      <c r="J28" s="225"/>
      <c r="K28" s="478"/>
      <c r="AF28" s="1556">
        <v>19</v>
      </c>
    </row>
    <row r="29" spans="1:32" ht="19.899999999999999" customHeight="1">
      <c r="D29" s="1563"/>
      <c r="E29" s="1600" t="s">
        <v>735</v>
      </c>
      <c r="F29" s="882" t="s">
        <v>736</v>
      </c>
      <c r="G29" s="1579" t="s">
        <v>551</v>
      </c>
      <c r="H29" s="1601"/>
      <c r="I29" s="1601"/>
      <c r="J29" s="225"/>
      <c r="K29" s="478"/>
      <c r="AF29" s="1556">
        <v>19</v>
      </c>
    </row>
    <row r="30" spans="1:32" ht="19.899999999999999" customHeight="1">
      <c r="D30" s="1563"/>
      <c r="E30" s="1600" t="s">
        <v>737</v>
      </c>
      <c r="F30" s="882" t="s">
        <v>738</v>
      </c>
      <c r="G30" s="1579" t="s">
        <v>551</v>
      </c>
      <c r="H30" s="1601"/>
      <c r="I30" s="1601"/>
      <c r="J30" s="225"/>
      <c r="K30" s="478"/>
      <c r="AF30" s="1556">
        <v>19</v>
      </c>
    </row>
    <row r="31" spans="1:32" ht="19.899999999999999" customHeight="1">
      <c r="D31" s="1563"/>
      <c r="E31" s="1600" t="s">
        <v>739</v>
      </c>
      <c r="F31" s="882" t="s">
        <v>740</v>
      </c>
      <c r="G31" s="1579" t="s">
        <v>551</v>
      </c>
      <c r="H31" s="1601"/>
      <c r="I31" s="1601"/>
      <c r="J31" s="225"/>
      <c r="K31" s="478"/>
      <c r="AF31" s="1556">
        <v>19</v>
      </c>
    </row>
    <row r="32" spans="1:32" s="1291" customFormat="1" ht="35.65" customHeight="1">
      <c r="A32" s="915"/>
      <c r="C32" s="1561"/>
      <c r="D32" s="1563"/>
      <c r="E32" s="1600" t="s">
        <v>741</v>
      </c>
      <c r="F32" s="882" t="s">
        <v>742</v>
      </c>
      <c r="G32" s="1569" t="s">
        <v>551</v>
      </c>
      <c r="H32" s="514">
        <f>SUM(H33:H34)</f>
        <v>0</v>
      </c>
      <c r="I32" s="514">
        <f>SUM(I33:I34)</f>
        <v>0</v>
      </c>
      <c r="J32" s="225" t="s">
        <v>743</v>
      </c>
      <c r="K32" s="478"/>
      <c r="L32" s="1561"/>
      <c r="M32" s="1561"/>
      <c r="R32" s="1561"/>
      <c r="U32" s="479"/>
      <c r="AA32" s="1557"/>
      <c r="AB32" s="1557"/>
      <c r="AC32" s="1557"/>
      <c r="AD32" s="1557"/>
      <c r="AE32" s="1557"/>
      <c r="AF32" s="1085">
        <v>34</v>
      </c>
    </row>
    <row r="33" spans="1:32" s="1567" customFormat="1" ht="1.1499999999999999" customHeight="1">
      <c r="A33" s="1092"/>
      <c r="D33" s="483"/>
      <c r="E33" s="731" t="str">
        <f>E32&amp;".0"</f>
        <v>2.8.0</v>
      </c>
      <c r="F33" s="919"/>
      <c r="G33" s="486"/>
      <c r="H33" s="920"/>
      <c r="I33" s="920"/>
      <c r="J33" s="921"/>
      <c r="AF33" s="1561">
        <v>1</v>
      </c>
    </row>
    <row r="34" spans="1:32" s="1291" customFormat="1" ht="19.899999999999999" customHeight="1">
      <c r="A34" s="915"/>
      <c r="C34" s="1561"/>
      <c r="D34" s="1558"/>
      <c r="E34" s="505"/>
      <c r="F34" s="1591" t="s">
        <v>576</v>
      </c>
      <c r="G34" s="507"/>
      <c r="H34" s="508"/>
      <c r="I34" s="508"/>
      <c r="J34" s="237" t="s">
        <v>744</v>
      </c>
      <c r="K34" s="478"/>
      <c r="L34" s="1561"/>
      <c r="M34" s="1561"/>
      <c r="R34" s="1561"/>
      <c r="U34" s="479"/>
      <c r="AA34" s="1557"/>
      <c r="AB34" s="1557"/>
      <c r="AC34" s="1557"/>
      <c r="AD34" s="1557"/>
      <c r="AE34" s="1557"/>
      <c r="AF34" s="1085">
        <v>19</v>
      </c>
    </row>
    <row r="35" spans="1:32" ht="60" customHeight="1">
      <c r="D35" s="1563"/>
      <c r="E35" s="1600" t="s">
        <v>745</v>
      </c>
      <c r="F35" s="882" t="s">
        <v>746</v>
      </c>
      <c r="G35" s="1579" t="s">
        <v>551</v>
      </c>
      <c r="H35" s="1601"/>
      <c r="I35" s="1601"/>
      <c r="J35" s="225" t="s">
        <v>747</v>
      </c>
      <c r="K35" s="478"/>
      <c r="AF35" s="1556">
        <v>57</v>
      </c>
    </row>
    <row r="36" spans="1:32" s="1291" customFormat="1" ht="24" customHeight="1">
      <c r="A36" s="917" t="s">
        <v>577</v>
      </c>
      <c r="C36" s="1561"/>
      <c r="D36" s="1563"/>
      <c r="E36" s="1589" t="s">
        <v>90</v>
      </c>
      <c r="F36" s="642" t="s">
        <v>748</v>
      </c>
      <c r="G36" s="1568" t="s">
        <v>551</v>
      </c>
      <c r="H36" s="492"/>
      <c r="I36" s="492"/>
      <c r="J36" s="225" t="s">
        <v>749</v>
      </c>
      <c r="K36" s="478"/>
      <c r="L36" s="1561"/>
      <c r="M36" s="1561"/>
      <c r="R36" s="1561"/>
      <c r="U36" s="479"/>
      <c r="AA36" s="1557"/>
      <c r="AB36" s="1557"/>
      <c r="AC36" s="1557"/>
      <c r="AD36" s="1557"/>
      <c r="AE36" s="1557"/>
      <c r="AF36" s="1085">
        <v>23</v>
      </c>
    </row>
    <row r="37" spans="1:32" s="1291" customFormat="1" ht="35.65" customHeight="1">
      <c r="A37" s="917"/>
      <c r="C37" s="1561"/>
      <c r="D37" s="1563"/>
      <c r="E37" s="1589" t="s">
        <v>323</v>
      </c>
      <c r="F37" s="882" t="s">
        <v>750</v>
      </c>
      <c r="G37" s="1579"/>
      <c r="H37" s="492"/>
      <c r="I37" s="492"/>
      <c r="J37" s="225"/>
      <c r="K37" s="478"/>
      <c r="L37" s="1561"/>
      <c r="M37" s="1561"/>
      <c r="R37" s="1561"/>
      <c r="U37" s="479"/>
      <c r="AA37" s="1557"/>
      <c r="AB37" s="1557"/>
      <c r="AC37" s="1557"/>
      <c r="AD37" s="1557"/>
      <c r="AE37" s="1557"/>
      <c r="AF37" s="1085">
        <v>34</v>
      </c>
    </row>
    <row r="38" spans="1:32" s="1291" customFormat="1" ht="19.899999999999999" customHeight="1">
      <c r="A38" s="915"/>
      <c r="C38" s="1561"/>
      <c r="D38" s="510"/>
      <c r="E38" s="1589" t="s">
        <v>91</v>
      </c>
      <c r="F38" s="642" t="s">
        <v>751</v>
      </c>
      <c r="G38" s="1568" t="s">
        <v>551</v>
      </c>
      <c r="H38" s="492"/>
      <c r="I38" s="492"/>
      <c r="J38" s="225" t="s">
        <v>752</v>
      </c>
      <c r="K38" s="478"/>
      <c r="L38" s="1561"/>
      <c r="M38" s="1561"/>
      <c r="R38" s="1561"/>
      <c r="U38" s="479"/>
      <c r="AA38" s="1557"/>
      <c r="AB38" s="1557"/>
      <c r="AC38" s="1557"/>
      <c r="AD38" s="1557"/>
      <c r="AE38" s="1557"/>
      <c r="AF38" s="1085">
        <v>19</v>
      </c>
    </row>
    <row r="39" spans="1:32" s="1291" customFormat="1" ht="24" customHeight="1">
      <c r="A39" s="915"/>
      <c r="C39" s="1561"/>
      <c r="D39" s="510"/>
      <c r="E39" s="1589" t="s">
        <v>753</v>
      </c>
      <c r="F39" s="882" t="s">
        <v>754</v>
      </c>
      <c r="G39" s="1579" t="s">
        <v>551</v>
      </c>
      <c r="H39" s="492"/>
      <c r="I39" s="492"/>
      <c r="J39" s="225" t="s">
        <v>755</v>
      </c>
      <c r="K39" s="478"/>
      <c r="L39" s="1561"/>
      <c r="M39" s="1561"/>
      <c r="R39" s="1561"/>
      <c r="U39" s="479"/>
      <c r="AA39" s="1557"/>
      <c r="AB39" s="1557"/>
      <c r="AC39" s="1557"/>
      <c r="AD39" s="1557"/>
      <c r="AE39" s="1557"/>
      <c r="AF39" s="1085">
        <v>23</v>
      </c>
    </row>
    <row r="40" spans="1:32" s="1291" customFormat="1" ht="24" customHeight="1">
      <c r="A40" s="915"/>
      <c r="C40" s="1561"/>
      <c r="D40" s="1563"/>
      <c r="E40" s="1589" t="s">
        <v>756</v>
      </c>
      <c r="F40" s="1575" t="s">
        <v>757</v>
      </c>
      <c r="G40" s="1568" t="s">
        <v>551</v>
      </c>
      <c r="H40" s="492"/>
      <c r="I40" s="492"/>
      <c r="J40" s="225" t="s">
        <v>758</v>
      </c>
      <c r="K40" s="478"/>
      <c r="L40" s="1561"/>
      <c r="M40" s="1561"/>
      <c r="R40" s="1561"/>
      <c r="U40" s="479"/>
      <c r="AA40" s="1557"/>
      <c r="AB40" s="1557"/>
      <c r="AC40" s="1557"/>
      <c r="AD40" s="1557"/>
      <c r="AE40" s="1557"/>
      <c r="AF40" s="1085">
        <v>23</v>
      </c>
    </row>
    <row r="41" spans="1:32" s="1291" customFormat="1" ht="24" customHeight="1">
      <c r="A41" s="915"/>
      <c r="C41" s="1561"/>
      <c r="D41" s="1563"/>
      <c r="E41" s="1589" t="s">
        <v>759</v>
      </c>
      <c r="F41" s="1575" t="s">
        <v>760</v>
      </c>
      <c r="G41" s="1568" t="s">
        <v>551</v>
      </c>
      <c r="H41" s="492"/>
      <c r="I41" s="492"/>
      <c r="J41" s="225" t="s">
        <v>761</v>
      </c>
      <c r="K41" s="478"/>
      <c r="L41" s="1561"/>
      <c r="M41" s="1561"/>
      <c r="R41" s="1561"/>
      <c r="U41" s="479"/>
      <c r="AA41" s="1557"/>
      <c r="AB41" s="1557"/>
      <c r="AC41" s="1557"/>
      <c r="AD41" s="1557"/>
      <c r="AE41" s="1557"/>
      <c r="AF41" s="1085">
        <v>23</v>
      </c>
    </row>
    <row r="42" spans="1:32" s="1291" customFormat="1" ht="24" customHeight="1">
      <c r="A42" s="915"/>
      <c r="C42" s="1561"/>
      <c r="D42" s="1563"/>
      <c r="E42" s="1589" t="s">
        <v>762</v>
      </c>
      <c r="F42" s="1575" t="s">
        <v>763</v>
      </c>
      <c r="G42" s="1568" t="s">
        <v>551</v>
      </c>
      <c r="H42" s="492"/>
      <c r="I42" s="492"/>
      <c r="J42" s="225" t="s">
        <v>764</v>
      </c>
      <c r="K42" s="478"/>
      <c r="L42" s="1561"/>
      <c r="M42" s="1561"/>
      <c r="R42" s="1561"/>
      <c r="U42" s="479"/>
      <c r="AA42" s="1557"/>
      <c r="AB42" s="1557"/>
      <c r="AC42" s="1557"/>
      <c r="AD42" s="1557"/>
      <c r="AE42" s="1557"/>
      <c r="AF42" s="1085">
        <v>23</v>
      </c>
    </row>
    <row r="43" spans="1:32" s="1291" customFormat="1" ht="35.65" customHeight="1">
      <c r="A43" s="915"/>
      <c r="C43" s="1561" t="s">
        <v>587</v>
      </c>
      <c r="D43" s="1563"/>
      <c r="E43" s="1589" t="s">
        <v>111</v>
      </c>
      <c r="F43" s="642" t="s">
        <v>628</v>
      </c>
      <c r="G43" s="1571" t="s">
        <v>765</v>
      </c>
      <c r="H43" s="336"/>
      <c r="I43" s="336"/>
      <c r="J43" s="225" t="s">
        <v>766</v>
      </c>
      <c r="K43" s="478"/>
      <c r="L43" s="1561"/>
      <c r="M43" s="1561"/>
      <c r="R43" s="1561"/>
      <c r="U43" s="479"/>
      <c r="AA43" s="1557"/>
      <c r="AB43" s="1557"/>
      <c r="AC43" s="1557"/>
      <c r="AD43" s="1557"/>
      <c r="AE43" s="1557"/>
      <c r="AF43" s="1085">
        <v>34</v>
      </c>
    </row>
    <row r="44" spans="1:32" s="1291" customFormat="1" ht="35.65" customHeight="1">
      <c r="A44" s="915"/>
      <c r="C44" s="1561"/>
      <c r="D44" s="1563"/>
      <c r="E44" s="1589" t="s">
        <v>92</v>
      </c>
      <c r="F44" s="642" t="s">
        <v>767</v>
      </c>
      <c r="G44" s="1568" t="s">
        <v>768</v>
      </c>
      <c r="H44" s="480"/>
      <c r="I44" s="480"/>
      <c r="J44" s="225" t="s">
        <v>769</v>
      </c>
      <c r="K44" s="478"/>
      <c r="L44" s="1561"/>
      <c r="M44" s="1561"/>
      <c r="R44" s="1561"/>
      <c r="U44" s="479"/>
      <c r="AA44" s="1557"/>
      <c r="AB44" s="1557"/>
      <c r="AC44" s="1557"/>
      <c r="AD44" s="1557"/>
      <c r="AE44" s="1557"/>
      <c r="AF44" s="1085">
        <v>34</v>
      </c>
    </row>
    <row r="45" spans="1:32" s="1291" customFormat="1" ht="24" customHeight="1">
      <c r="A45" s="915"/>
      <c r="C45" s="1561"/>
      <c r="D45" s="1563"/>
      <c r="E45" s="1589" t="s">
        <v>93</v>
      </c>
      <c r="F45" s="642" t="s">
        <v>770</v>
      </c>
      <c r="G45" s="1579" t="s">
        <v>771</v>
      </c>
      <c r="H45" s="480"/>
      <c r="I45" s="480"/>
      <c r="J45" s="225" t="s">
        <v>772</v>
      </c>
      <c r="K45" s="478"/>
      <c r="L45" s="1561"/>
      <c r="M45" s="1561"/>
      <c r="R45" s="1561"/>
      <c r="U45" s="479"/>
      <c r="AA45" s="1557"/>
      <c r="AB45" s="1557"/>
      <c r="AC45" s="1557"/>
      <c r="AD45" s="1557"/>
      <c r="AE45" s="1557"/>
      <c r="AF45" s="1085">
        <v>23</v>
      </c>
    </row>
    <row r="46" spans="1:32" s="1291" customFormat="1" ht="19.899999999999999" customHeight="1">
      <c r="A46" s="915"/>
      <c r="C46" s="1561"/>
      <c r="D46" s="1563"/>
      <c r="E46" s="1589" t="s">
        <v>112</v>
      </c>
      <c r="F46" s="642" t="s">
        <v>773</v>
      </c>
      <c r="G46" s="1568" t="s">
        <v>589</v>
      </c>
      <c r="H46" s="512"/>
      <c r="I46" s="512"/>
      <c r="J46" s="225"/>
      <c r="K46" s="478"/>
      <c r="L46" s="1561"/>
      <c r="M46" s="1561"/>
      <c r="R46" s="1561"/>
      <c r="U46" s="479"/>
      <c r="AA46" s="1557"/>
      <c r="AB46" s="1557"/>
      <c r="AC46" s="1557"/>
      <c r="AD46" s="1557"/>
      <c r="AE46" s="1557"/>
      <c r="AF46" s="1085">
        <v>19</v>
      </c>
    </row>
    <row r="47" spans="1:32" ht="11.45" customHeight="1">
      <c r="D47" s="1563"/>
      <c r="AF47" s="1556">
        <v>11</v>
      </c>
    </row>
    <row r="48" spans="1:32" s="1566" customFormat="1" ht="11.45" customHeight="1">
      <c r="A48" s="915"/>
      <c r="B48" s="1561"/>
      <c r="C48" s="1561"/>
      <c r="D48" s="286"/>
      <c r="K48" s="1085"/>
      <c r="L48" s="1561"/>
      <c r="M48" s="1561"/>
      <c r="N48" s="1085"/>
      <c r="O48" s="1085"/>
      <c r="P48" s="1085"/>
      <c r="Q48" s="1085"/>
      <c r="R48" s="1561"/>
      <c r="S48" s="1085"/>
      <c r="T48" s="1085"/>
      <c r="U48" s="479"/>
      <c r="V48" s="1085"/>
      <c r="W48" s="1085"/>
      <c r="X48" s="1085"/>
      <c r="Y48" s="1085"/>
      <c r="Z48" s="1085"/>
      <c r="AA48" s="1557"/>
      <c r="AB48" s="501"/>
      <c r="AC48" s="501"/>
      <c r="AD48" s="501"/>
      <c r="AE48" s="501"/>
      <c r="AF48" s="1566">
        <v>11</v>
      </c>
    </row>
    <row r="49" spans="1:32" s="1566" customFormat="1" ht="11.45" customHeight="1">
      <c r="A49" s="915"/>
      <c r="B49" s="1561"/>
      <c r="C49" s="1561"/>
      <c r="D49" s="286"/>
      <c r="K49" s="1085"/>
      <c r="L49" s="1561"/>
      <c r="M49" s="1561"/>
      <c r="N49" s="1085"/>
      <c r="O49" s="1085"/>
      <c r="P49" s="1085"/>
      <c r="Q49" s="1085"/>
      <c r="R49" s="1561"/>
      <c r="S49" s="1085"/>
      <c r="T49" s="1085"/>
      <c r="U49" s="479"/>
      <c r="V49" s="1085"/>
      <c r="W49" s="1085"/>
      <c r="X49" s="1085"/>
      <c r="Y49" s="1085"/>
      <c r="Z49" s="1085"/>
      <c r="AA49" s="1557"/>
      <c r="AB49" s="501"/>
      <c r="AC49" s="501"/>
      <c r="AD49" s="501"/>
      <c r="AE49" s="501"/>
      <c r="AF49" s="1566">
        <v>11</v>
      </c>
    </row>
    <row r="50" spans="1:32" s="1566" customFormat="1" ht="11.45" customHeight="1">
      <c r="A50" s="915"/>
      <c r="B50" s="1561"/>
      <c r="C50" s="1561"/>
      <c r="D50" s="286"/>
      <c r="H50" s="501"/>
      <c r="I50" s="501"/>
      <c r="K50" s="1085"/>
      <c r="L50" s="1561"/>
      <c r="M50" s="1561"/>
      <c r="N50" s="1085"/>
      <c r="O50" s="1085"/>
      <c r="P50" s="1085"/>
      <c r="Q50" s="1085"/>
      <c r="R50" s="1561"/>
      <c r="S50" s="1085"/>
      <c r="T50" s="1085"/>
      <c r="U50" s="479"/>
      <c r="V50" s="1085"/>
      <c r="W50" s="1085"/>
      <c r="X50" s="1085"/>
      <c r="Y50" s="1085"/>
      <c r="Z50" s="1085"/>
      <c r="AA50" s="1557"/>
      <c r="AB50" s="501"/>
      <c r="AC50" s="501"/>
      <c r="AD50" s="501"/>
      <c r="AE50" s="501"/>
      <c r="AF50" s="1566">
        <v>11</v>
      </c>
    </row>
    <row r="51" spans="1:32" s="1566" customFormat="1" ht="11.45" customHeight="1">
      <c r="A51" s="915"/>
      <c r="B51" s="1561"/>
      <c r="C51" s="1561"/>
      <c r="D51" s="286"/>
      <c r="K51" s="1085"/>
      <c r="L51" s="1561"/>
      <c r="M51" s="1561"/>
      <c r="N51" s="1085"/>
      <c r="O51" s="1085"/>
      <c r="P51" s="1085"/>
      <c r="Q51" s="1085"/>
      <c r="R51" s="1561"/>
      <c r="S51" s="1085"/>
      <c r="T51" s="1085"/>
      <c r="U51" s="479"/>
      <c r="V51" s="1085"/>
      <c r="W51" s="1085"/>
      <c r="X51" s="1085"/>
      <c r="Y51" s="1085"/>
      <c r="Z51" s="1085"/>
      <c r="AA51" s="1557"/>
      <c r="AB51" s="501"/>
      <c r="AC51" s="501"/>
      <c r="AD51" s="501"/>
      <c r="AE51" s="501"/>
      <c r="AF51" s="1566">
        <v>11</v>
      </c>
    </row>
    <row r="52" spans="1:32" s="1566" customFormat="1" ht="11.45" customHeight="1">
      <c r="A52" s="915"/>
      <c r="B52" s="1561"/>
      <c r="C52" s="1561"/>
      <c r="D52" s="286"/>
      <c r="K52" s="1085"/>
      <c r="L52" s="1561"/>
      <c r="M52" s="1561"/>
      <c r="N52" s="1085"/>
      <c r="O52" s="1085"/>
      <c r="P52" s="1085"/>
      <c r="Q52" s="1085"/>
      <c r="R52" s="1561"/>
      <c r="S52" s="1085"/>
      <c r="T52" s="1085"/>
      <c r="U52" s="479"/>
      <c r="V52" s="1085"/>
      <c r="W52" s="1085"/>
      <c r="X52" s="1085"/>
      <c r="Y52" s="1085"/>
      <c r="Z52" s="1085"/>
      <c r="AA52" s="1557"/>
      <c r="AB52" s="501"/>
      <c r="AC52" s="501"/>
      <c r="AD52" s="501"/>
      <c r="AE52" s="501"/>
      <c r="AF52" s="1566">
        <v>11</v>
      </c>
    </row>
    <row r="53" spans="1:32" s="1566" customFormat="1" ht="11.45" customHeight="1">
      <c r="A53" s="915"/>
      <c r="B53" s="1561"/>
      <c r="C53" s="1561"/>
      <c r="D53" s="286"/>
      <c r="K53" s="1085"/>
      <c r="L53" s="1561"/>
      <c r="M53" s="1561"/>
      <c r="N53" s="1085"/>
      <c r="O53" s="1085"/>
      <c r="P53" s="1085"/>
      <c r="Q53" s="1085"/>
      <c r="R53" s="1561"/>
      <c r="S53" s="1085"/>
      <c r="T53" s="1085"/>
      <c r="U53" s="479"/>
      <c r="V53" s="1085"/>
      <c r="W53" s="1085"/>
      <c r="X53" s="1085"/>
      <c r="Y53" s="1085"/>
      <c r="Z53" s="1085"/>
      <c r="AA53" s="1557"/>
      <c r="AB53" s="501"/>
      <c r="AC53" s="501"/>
      <c r="AD53" s="501"/>
      <c r="AE53" s="501"/>
      <c r="AF53" s="1566">
        <v>11</v>
      </c>
    </row>
    <row r="54" spans="1:32" s="1566" customFormat="1" ht="11.45" customHeight="1">
      <c r="A54" s="915"/>
      <c r="B54" s="1561"/>
      <c r="C54" s="1561"/>
      <c r="D54" s="286"/>
      <c r="K54" s="1085"/>
      <c r="L54" s="1561"/>
      <c r="M54" s="1561"/>
      <c r="N54" s="1085"/>
      <c r="O54" s="1085"/>
      <c r="P54" s="1085"/>
      <c r="Q54" s="1085"/>
      <c r="R54" s="1561"/>
      <c r="S54" s="1085"/>
      <c r="T54" s="1085"/>
      <c r="U54" s="479"/>
      <c r="V54" s="1085"/>
      <c r="W54" s="1085"/>
      <c r="X54" s="1085"/>
      <c r="Y54" s="1085"/>
      <c r="Z54" s="1085"/>
      <c r="AA54" s="1557"/>
      <c r="AB54" s="501"/>
      <c r="AC54" s="501"/>
      <c r="AD54" s="501"/>
      <c r="AE54" s="501"/>
      <c r="AF54" s="1566">
        <v>11</v>
      </c>
    </row>
    <row r="55" spans="1:32" s="1566" customFormat="1" ht="11.45" customHeight="1">
      <c r="A55" s="915"/>
      <c r="B55" s="1561"/>
      <c r="C55" s="1561"/>
      <c r="D55" s="286"/>
      <c r="K55" s="1085"/>
      <c r="L55" s="1561"/>
      <c r="M55" s="1561"/>
      <c r="N55" s="1085"/>
      <c r="O55" s="1085"/>
      <c r="P55" s="1085"/>
      <c r="Q55" s="1085"/>
      <c r="R55" s="1561"/>
      <c r="S55" s="1085"/>
      <c r="T55" s="1085"/>
      <c r="U55" s="479"/>
      <c r="V55" s="1085"/>
      <c r="W55" s="1085"/>
      <c r="X55" s="1085"/>
      <c r="Y55" s="1085"/>
      <c r="Z55" s="1085"/>
      <c r="AA55" s="1557"/>
      <c r="AB55" s="501"/>
      <c r="AC55" s="501"/>
      <c r="AD55" s="501"/>
      <c r="AE55" s="501"/>
      <c r="AF55" s="1566">
        <v>11</v>
      </c>
    </row>
    <row r="56" spans="1:32" s="1566" customFormat="1" ht="11.45" customHeight="1">
      <c r="A56" s="915"/>
      <c r="B56" s="1561"/>
      <c r="C56" s="1561"/>
      <c r="D56" s="286"/>
      <c r="K56" s="1085"/>
      <c r="L56" s="1561"/>
      <c r="M56" s="1561"/>
      <c r="N56" s="1085"/>
      <c r="O56" s="1085"/>
      <c r="P56" s="1085"/>
      <c r="Q56" s="1085"/>
      <c r="R56" s="1561"/>
      <c r="S56" s="1085"/>
      <c r="T56" s="1085"/>
      <c r="U56" s="479"/>
      <c r="V56" s="1085"/>
      <c r="W56" s="1085"/>
      <c r="X56" s="1085"/>
      <c r="Y56" s="1085"/>
      <c r="Z56" s="1085"/>
      <c r="AA56" s="1557"/>
      <c r="AB56" s="501"/>
      <c r="AC56" s="501"/>
      <c r="AD56" s="501"/>
      <c r="AE56" s="501"/>
      <c r="AF56" s="1566">
        <v>11</v>
      </c>
    </row>
    <row r="57" spans="1:32" s="1566" customFormat="1" ht="11.45" customHeight="1">
      <c r="A57" s="915"/>
      <c r="B57" s="1561"/>
      <c r="C57" s="1561"/>
      <c r="D57" s="286"/>
      <c r="K57" s="1085"/>
      <c r="L57" s="1561"/>
      <c r="M57" s="1561"/>
      <c r="N57" s="1085"/>
      <c r="O57" s="1085"/>
      <c r="P57" s="1085"/>
      <c r="Q57" s="1085"/>
      <c r="R57" s="1561"/>
      <c r="S57" s="1085"/>
      <c r="T57" s="1085"/>
      <c r="U57" s="479"/>
      <c r="V57" s="1085"/>
      <c r="W57" s="1085"/>
      <c r="X57" s="1085"/>
      <c r="Y57" s="1085"/>
      <c r="Z57" s="1085"/>
      <c r="AA57" s="1557"/>
      <c r="AB57" s="501"/>
      <c r="AC57" s="501"/>
      <c r="AD57" s="501"/>
      <c r="AE57" s="501"/>
      <c r="AF57" s="1566">
        <v>11</v>
      </c>
    </row>
    <row r="58" spans="1:32" s="1566" customFormat="1" ht="11.45" customHeight="1">
      <c r="A58" s="915"/>
      <c r="B58" s="1561"/>
      <c r="C58" s="1561"/>
      <c r="D58" s="286"/>
      <c r="K58" s="1085"/>
      <c r="L58" s="1561"/>
      <c r="M58" s="1561"/>
      <c r="N58" s="1085"/>
      <c r="O58" s="1085"/>
      <c r="P58" s="1085"/>
      <c r="Q58" s="1085"/>
      <c r="R58" s="1561"/>
      <c r="S58" s="1085"/>
      <c r="T58" s="1085"/>
      <c r="U58" s="479"/>
      <c r="V58" s="1085"/>
      <c r="W58" s="1085"/>
      <c r="X58" s="1085"/>
      <c r="Y58" s="1085"/>
      <c r="Z58" s="1085"/>
      <c r="AA58" s="1557"/>
      <c r="AB58" s="501"/>
      <c r="AC58" s="501"/>
      <c r="AD58" s="501"/>
      <c r="AE58" s="501"/>
      <c r="AF58" s="1566">
        <v>11</v>
      </c>
    </row>
    <row r="59" spans="1:32" s="1566" customFormat="1" ht="11.45" customHeight="1">
      <c r="A59" s="915"/>
      <c r="B59" s="1561"/>
      <c r="C59" s="1561"/>
      <c r="D59" s="286"/>
      <c r="K59" s="1085"/>
      <c r="L59" s="1561"/>
      <c r="M59" s="1561"/>
      <c r="N59" s="1085"/>
      <c r="O59" s="1085"/>
      <c r="P59" s="1085"/>
      <c r="Q59" s="1085"/>
      <c r="R59" s="1561"/>
      <c r="S59" s="1085"/>
      <c r="T59" s="1085"/>
      <c r="U59" s="479"/>
      <c r="V59" s="1085"/>
      <c r="W59" s="1085"/>
      <c r="X59" s="1085"/>
      <c r="Y59" s="1085"/>
      <c r="Z59" s="1085"/>
      <c r="AA59" s="1557"/>
      <c r="AB59" s="501"/>
      <c r="AC59" s="501"/>
      <c r="AD59" s="501"/>
      <c r="AE59" s="501"/>
      <c r="AF59" s="1566">
        <v>11</v>
      </c>
    </row>
    <row r="60" spans="1:32" s="1566" customFormat="1" ht="11.45" customHeight="1">
      <c r="A60" s="915"/>
      <c r="B60" s="1561"/>
      <c r="C60" s="1561"/>
      <c r="D60" s="286"/>
      <c r="K60" s="1085"/>
      <c r="L60" s="1561"/>
      <c r="M60" s="1561"/>
      <c r="N60" s="1085"/>
      <c r="O60" s="1085"/>
      <c r="P60" s="1085"/>
      <c r="Q60" s="1085"/>
      <c r="R60" s="1561"/>
      <c r="S60" s="1085"/>
      <c r="T60" s="1085"/>
      <c r="U60" s="479"/>
      <c r="V60" s="1085"/>
      <c r="W60" s="1085"/>
      <c r="X60" s="1085"/>
      <c r="Y60" s="1085"/>
      <c r="Z60" s="1085"/>
      <c r="AA60" s="1557"/>
      <c r="AB60" s="501"/>
      <c r="AC60" s="501"/>
      <c r="AD60" s="501"/>
      <c r="AE60" s="501"/>
      <c r="AF60" s="1566">
        <v>11</v>
      </c>
    </row>
    <row r="61" spans="1:32" s="1566" customFormat="1" ht="11.45" customHeight="1">
      <c r="A61" s="915"/>
      <c r="B61" s="1561"/>
      <c r="C61" s="1561"/>
      <c r="D61" s="286"/>
      <c r="K61" s="1085"/>
      <c r="L61" s="1561"/>
      <c r="M61" s="1561"/>
      <c r="N61" s="1085"/>
      <c r="O61" s="1085"/>
      <c r="P61" s="1085"/>
      <c r="Q61" s="1085"/>
      <c r="R61" s="1561"/>
      <c r="S61" s="1085"/>
      <c r="T61" s="1085"/>
      <c r="U61" s="479"/>
      <c r="V61" s="1085"/>
      <c r="W61" s="1085"/>
      <c r="X61" s="1085"/>
      <c r="Y61" s="1085"/>
      <c r="Z61" s="1085"/>
      <c r="AA61" s="1557"/>
      <c r="AB61" s="501"/>
      <c r="AC61" s="501"/>
      <c r="AD61" s="501"/>
      <c r="AE61" s="501"/>
      <c r="AF61" s="1566">
        <v>11</v>
      </c>
    </row>
    <row r="62" spans="1:32" s="1566" customFormat="1" ht="11.45" customHeight="1">
      <c r="A62" s="915"/>
      <c r="B62" s="1561"/>
      <c r="C62" s="1561"/>
      <c r="D62" s="286"/>
      <c r="K62" s="1085"/>
      <c r="L62" s="1561"/>
      <c r="M62" s="1561"/>
      <c r="N62" s="1085"/>
      <c r="O62" s="1085"/>
      <c r="P62" s="1085"/>
      <c r="Q62" s="1085"/>
      <c r="R62" s="1561"/>
      <c r="S62" s="1085"/>
      <c r="T62" s="1085"/>
      <c r="U62" s="479"/>
      <c r="V62" s="1085"/>
      <c r="W62" s="1085"/>
      <c r="X62" s="1085"/>
      <c r="Y62" s="1085"/>
      <c r="Z62" s="1085"/>
      <c r="AA62" s="1557"/>
      <c r="AB62" s="501"/>
      <c r="AC62" s="501"/>
      <c r="AD62" s="501"/>
      <c r="AE62" s="501"/>
      <c r="AF62" s="1566">
        <v>11</v>
      </c>
    </row>
    <row r="63" spans="1:32" s="1566" customFormat="1" ht="11.45" customHeight="1">
      <c r="A63" s="915"/>
      <c r="B63" s="1561"/>
      <c r="C63" s="1561"/>
      <c r="D63" s="286"/>
      <c r="K63" s="1085"/>
      <c r="L63" s="1561"/>
      <c r="M63" s="1561"/>
      <c r="N63" s="1085"/>
      <c r="O63" s="1085"/>
      <c r="P63" s="1085"/>
      <c r="Q63" s="1085"/>
      <c r="R63" s="1561"/>
      <c r="S63" s="1085"/>
      <c r="T63" s="1085"/>
      <c r="U63" s="479"/>
      <c r="V63" s="1085"/>
      <c r="W63" s="1085"/>
      <c r="X63" s="1085"/>
      <c r="Y63" s="1085"/>
      <c r="Z63" s="1085"/>
      <c r="AA63" s="1557"/>
      <c r="AB63" s="501"/>
      <c r="AC63" s="501"/>
      <c r="AD63" s="501"/>
      <c r="AE63" s="501"/>
      <c r="AF63" s="1566">
        <v>11</v>
      </c>
    </row>
    <row r="64" spans="1:32" s="1566" customFormat="1" ht="11.45" customHeight="1">
      <c r="A64" s="915"/>
      <c r="B64" s="1561"/>
      <c r="C64" s="1561"/>
      <c r="D64" s="286"/>
      <c r="K64" s="1085"/>
      <c r="L64" s="1561"/>
      <c r="M64" s="1561"/>
      <c r="N64" s="1085"/>
      <c r="O64" s="1085"/>
      <c r="P64" s="1085"/>
      <c r="Q64" s="1085"/>
      <c r="R64" s="1561"/>
      <c r="S64" s="1085"/>
      <c r="T64" s="1085"/>
      <c r="U64" s="479"/>
      <c r="V64" s="1085"/>
      <c r="W64" s="1085"/>
      <c r="X64" s="1085"/>
      <c r="Y64" s="1085"/>
      <c r="Z64" s="1085"/>
      <c r="AA64" s="1557"/>
      <c r="AB64" s="501"/>
      <c r="AC64" s="501"/>
      <c r="AD64" s="501"/>
      <c r="AE64" s="501"/>
      <c r="AF64" s="1566">
        <v>11</v>
      </c>
    </row>
    <row r="65" spans="1:32" s="1566" customFormat="1" ht="11.45" customHeight="1">
      <c r="A65" s="915"/>
      <c r="B65" s="1561"/>
      <c r="C65" s="1561"/>
      <c r="D65" s="286"/>
      <c r="K65" s="1085"/>
      <c r="L65" s="1561"/>
      <c r="M65" s="1561"/>
      <c r="N65" s="1085"/>
      <c r="O65" s="1085"/>
      <c r="P65" s="1085"/>
      <c r="Q65" s="1085"/>
      <c r="R65" s="1561"/>
      <c r="S65" s="1085"/>
      <c r="T65" s="1085"/>
      <c r="U65" s="479"/>
      <c r="V65" s="1085"/>
      <c r="W65" s="1085"/>
      <c r="X65" s="1085"/>
      <c r="Y65" s="1085"/>
      <c r="Z65" s="1085"/>
      <c r="AA65" s="1557"/>
      <c r="AB65" s="501"/>
      <c r="AC65" s="501"/>
      <c r="AD65" s="501"/>
      <c r="AE65" s="501"/>
      <c r="AF65" s="1566">
        <v>11</v>
      </c>
    </row>
    <row r="66" spans="1:32" s="1566" customFormat="1" ht="11.45" customHeight="1">
      <c r="A66" s="915"/>
      <c r="B66" s="1561"/>
      <c r="C66" s="1561"/>
      <c r="D66" s="286"/>
      <c r="K66" s="1085"/>
      <c r="L66" s="1561"/>
      <c r="M66" s="1561"/>
      <c r="N66" s="1085"/>
      <c r="O66" s="1085"/>
      <c r="P66" s="1085"/>
      <c r="Q66" s="1085"/>
      <c r="R66" s="1561"/>
      <c r="S66" s="1085"/>
      <c r="T66" s="1085"/>
      <c r="U66" s="479"/>
      <c r="V66" s="1085"/>
      <c r="W66" s="1085"/>
      <c r="X66" s="1085"/>
      <c r="Y66" s="1085"/>
      <c r="Z66" s="1085"/>
      <c r="AA66" s="1557"/>
      <c r="AB66" s="501"/>
      <c r="AC66" s="501"/>
      <c r="AD66" s="501"/>
      <c r="AE66" s="501"/>
      <c r="AF66" s="1566">
        <v>11</v>
      </c>
    </row>
    <row r="67" spans="1:32" s="1566" customFormat="1" ht="11.45" customHeight="1">
      <c r="A67" s="915"/>
      <c r="B67" s="1561"/>
      <c r="C67" s="1561"/>
      <c r="D67" s="286"/>
      <c r="K67" s="1085"/>
      <c r="L67" s="1561"/>
      <c r="M67" s="1561"/>
      <c r="N67" s="1085"/>
      <c r="O67" s="1085"/>
      <c r="P67" s="1085"/>
      <c r="Q67" s="1085"/>
      <c r="R67" s="1561"/>
      <c r="S67" s="1085"/>
      <c r="T67" s="1085"/>
      <c r="U67" s="479"/>
      <c r="V67" s="1085"/>
      <c r="W67" s="1085"/>
      <c r="X67" s="1085"/>
      <c r="Y67" s="1085"/>
      <c r="Z67" s="1085"/>
      <c r="AA67" s="1557"/>
      <c r="AB67" s="501"/>
      <c r="AC67" s="501"/>
      <c r="AD67" s="501"/>
      <c r="AE67" s="501"/>
      <c r="AF67" s="1566">
        <v>11</v>
      </c>
    </row>
    <row r="68" spans="1:32" s="1566" customFormat="1" ht="11.45" customHeight="1">
      <c r="A68" s="915"/>
      <c r="B68" s="1561"/>
      <c r="C68" s="1561"/>
      <c r="D68" s="286"/>
      <c r="K68" s="1085"/>
      <c r="L68" s="1561"/>
      <c r="M68" s="1561"/>
      <c r="N68" s="1085"/>
      <c r="O68" s="1085"/>
      <c r="P68" s="1085"/>
      <c r="Q68" s="1085"/>
      <c r="R68" s="1561"/>
      <c r="S68" s="1085"/>
      <c r="T68" s="1085"/>
      <c r="U68" s="479"/>
      <c r="V68" s="1085"/>
      <c r="W68" s="1085"/>
      <c r="X68" s="1085"/>
      <c r="Y68" s="1085"/>
      <c r="Z68" s="1085"/>
      <c r="AA68" s="1557"/>
      <c r="AB68" s="501"/>
      <c r="AC68" s="501"/>
      <c r="AD68" s="501"/>
      <c r="AE68" s="501"/>
      <c r="AF68" s="1566">
        <v>11</v>
      </c>
    </row>
    <row r="69" spans="1:32" s="1566" customFormat="1" ht="11.45" customHeight="1">
      <c r="A69" s="915"/>
      <c r="B69" s="1561"/>
      <c r="C69" s="1561"/>
      <c r="D69" s="286"/>
      <c r="K69" s="1085"/>
      <c r="L69" s="1561"/>
      <c r="M69" s="1561"/>
      <c r="N69" s="1085"/>
      <c r="O69" s="1085"/>
      <c r="P69" s="1085"/>
      <c r="Q69" s="1085"/>
      <c r="R69" s="1561"/>
      <c r="S69" s="1085"/>
      <c r="T69" s="1085"/>
      <c r="U69" s="479"/>
      <c r="V69" s="1085"/>
      <c r="W69" s="1085"/>
      <c r="X69" s="1085"/>
      <c r="Y69" s="1085"/>
      <c r="Z69" s="1085"/>
      <c r="AA69" s="1557"/>
      <c r="AB69" s="501"/>
      <c r="AC69" s="501"/>
      <c r="AD69" s="501"/>
      <c r="AE69" s="501"/>
      <c r="AF69" s="1566">
        <v>11</v>
      </c>
    </row>
    <row r="70" spans="1:32" s="1566" customFormat="1" ht="11.45" customHeight="1">
      <c r="A70" s="915"/>
      <c r="B70" s="1561"/>
      <c r="C70" s="1561"/>
      <c r="D70" s="286"/>
      <c r="K70" s="1085"/>
      <c r="L70" s="1561"/>
      <c r="M70" s="1561"/>
      <c r="N70" s="1085"/>
      <c r="O70" s="1085"/>
      <c r="P70" s="1085"/>
      <c r="Q70" s="1085"/>
      <c r="R70" s="1561"/>
      <c r="S70" s="1085"/>
      <c r="T70" s="1085"/>
      <c r="U70" s="479"/>
      <c r="V70" s="1085"/>
      <c r="W70" s="1085"/>
      <c r="X70" s="1085"/>
      <c r="Y70" s="1085"/>
      <c r="Z70" s="1085"/>
      <c r="AA70" s="1557"/>
      <c r="AB70" s="501"/>
      <c r="AC70" s="501"/>
      <c r="AD70" s="501"/>
      <c r="AE70" s="501"/>
      <c r="AF70" s="1566">
        <v>11</v>
      </c>
    </row>
    <row r="71" spans="1:32" s="1566" customFormat="1" ht="11.45" customHeight="1">
      <c r="A71" s="915"/>
      <c r="B71" s="1561"/>
      <c r="C71" s="1561"/>
      <c r="D71" s="286"/>
      <c r="K71" s="1085"/>
      <c r="L71" s="1561"/>
      <c r="M71" s="1561"/>
      <c r="N71" s="1085"/>
      <c r="O71" s="1085"/>
      <c r="P71" s="1085"/>
      <c r="Q71" s="1085"/>
      <c r="R71" s="1561"/>
      <c r="S71" s="1085"/>
      <c r="T71" s="1085"/>
      <c r="U71" s="479"/>
      <c r="V71" s="1085"/>
      <c r="W71" s="1085"/>
      <c r="X71" s="1085"/>
      <c r="Y71" s="1085"/>
      <c r="Z71" s="1085"/>
      <c r="AA71" s="1557"/>
      <c r="AB71" s="501"/>
      <c r="AC71" s="501"/>
      <c r="AD71" s="501"/>
      <c r="AE71" s="501"/>
      <c r="AF71" s="1566">
        <v>11</v>
      </c>
    </row>
    <row r="72" spans="1:32" s="1566" customFormat="1" ht="11.45" customHeight="1">
      <c r="A72" s="915"/>
      <c r="B72" s="1561"/>
      <c r="C72" s="1561"/>
      <c r="D72" s="286"/>
      <c r="K72" s="1085"/>
      <c r="L72" s="1561"/>
      <c r="M72" s="1561"/>
      <c r="N72" s="1085"/>
      <c r="O72" s="1085"/>
      <c r="P72" s="1085"/>
      <c r="Q72" s="1085"/>
      <c r="R72" s="1561"/>
      <c r="S72" s="1085"/>
      <c r="T72" s="1085"/>
      <c r="U72" s="479"/>
      <c r="V72" s="1085"/>
      <c r="W72" s="1085"/>
      <c r="X72" s="1085"/>
      <c r="Y72" s="1085"/>
      <c r="Z72" s="1085"/>
      <c r="AA72" s="1557"/>
      <c r="AB72" s="501"/>
      <c r="AC72" s="501"/>
      <c r="AD72" s="501"/>
      <c r="AE72" s="501"/>
      <c r="AF72" s="1566">
        <v>11</v>
      </c>
    </row>
    <row r="73" spans="1:32" s="1566" customFormat="1" ht="11.45" customHeight="1">
      <c r="A73" s="915"/>
      <c r="B73" s="1561"/>
      <c r="C73" s="1561"/>
      <c r="D73" s="286"/>
      <c r="K73" s="1085"/>
      <c r="L73" s="1561"/>
      <c r="M73" s="1561"/>
      <c r="N73" s="1085"/>
      <c r="O73" s="1085"/>
      <c r="P73" s="1085"/>
      <c r="Q73" s="1085"/>
      <c r="R73" s="1561"/>
      <c r="S73" s="1085"/>
      <c r="T73" s="1085"/>
      <c r="U73" s="479"/>
      <c r="V73" s="1085"/>
      <c r="W73" s="1085"/>
      <c r="X73" s="1085"/>
      <c r="Y73" s="1085"/>
      <c r="Z73" s="1085"/>
      <c r="AA73" s="1557"/>
      <c r="AB73" s="501"/>
      <c r="AC73" s="501"/>
      <c r="AD73" s="501"/>
      <c r="AE73" s="501"/>
      <c r="AF73" s="1566">
        <v>11</v>
      </c>
    </row>
    <row r="74" spans="1:32" s="1566" customFormat="1" ht="11.45" customHeight="1">
      <c r="A74" s="915"/>
      <c r="B74" s="1561"/>
      <c r="C74" s="1561"/>
      <c r="D74" s="286"/>
      <c r="K74" s="1085"/>
      <c r="L74" s="1561"/>
      <c r="M74" s="1561"/>
      <c r="N74" s="1085"/>
      <c r="O74" s="1085"/>
      <c r="P74" s="1085"/>
      <c r="Q74" s="1085"/>
      <c r="R74" s="1561"/>
      <c r="S74" s="1085"/>
      <c r="T74" s="1085"/>
      <c r="U74" s="479"/>
      <c r="V74" s="1085"/>
      <c r="W74" s="1085"/>
      <c r="X74" s="1085"/>
      <c r="Y74" s="1085"/>
      <c r="Z74" s="1085"/>
      <c r="AA74" s="1557"/>
      <c r="AB74" s="501"/>
      <c r="AC74" s="501"/>
      <c r="AD74" s="501"/>
      <c r="AE74" s="501"/>
      <c r="AF74" s="1566">
        <v>11</v>
      </c>
    </row>
    <row r="75" spans="1:32" s="1566" customFormat="1" ht="11.45" customHeight="1">
      <c r="A75" s="915"/>
      <c r="B75" s="1561"/>
      <c r="C75" s="1561"/>
      <c r="D75" s="286"/>
      <c r="K75" s="1085"/>
      <c r="L75" s="1561"/>
      <c r="M75" s="1561"/>
      <c r="N75" s="1085"/>
      <c r="O75" s="1085"/>
      <c r="P75" s="1085"/>
      <c r="Q75" s="1085"/>
      <c r="R75" s="1561"/>
      <c r="S75" s="1085"/>
      <c r="T75" s="1085"/>
      <c r="U75" s="479"/>
      <c r="V75" s="1085"/>
      <c r="W75" s="1085"/>
      <c r="X75" s="1085"/>
      <c r="Y75" s="1085"/>
      <c r="Z75" s="1085"/>
      <c r="AA75" s="1557"/>
      <c r="AB75" s="501"/>
      <c r="AC75" s="501"/>
      <c r="AD75" s="501"/>
      <c r="AE75" s="501"/>
      <c r="AF75" s="1566">
        <v>11</v>
      </c>
    </row>
    <row r="76" spans="1:32" s="1566" customFormat="1" ht="11.45" customHeight="1">
      <c r="A76" s="915"/>
      <c r="B76" s="1561"/>
      <c r="C76" s="1561"/>
      <c r="D76" s="286"/>
      <c r="K76" s="1085"/>
      <c r="L76" s="1561"/>
      <c r="M76" s="1561"/>
      <c r="N76" s="1085"/>
      <c r="O76" s="1085"/>
      <c r="P76" s="1085"/>
      <c r="Q76" s="1085"/>
      <c r="R76" s="1561"/>
      <c r="S76" s="1085"/>
      <c r="T76" s="1085"/>
      <c r="U76" s="479"/>
      <c r="V76" s="1085"/>
      <c r="W76" s="1085"/>
      <c r="X76" s="1085"/>
      <c r="Y76" s="1085"/>
      <c r="Z76" s="1085"/>
      <c r="AA76" s="1557"/>
      <c r="AB76" s="501"/>
      <c r="AC76" s="501"/>
      <c r="AD76" s="501"/>
      <c r="AE76" s="501"/>
      <c r="AF76" s="1566">
        <v>11</v>
      </c>
    </row>
    <row r="77" spans="1:32" s="1566" customFormat="1" ht="11.45" customHeight="1">
      <c r="A77" s="915"/>
      <c r="B77" s="1561"/>
      <c r="C77" s="1561"/>
      <c r="D77" s="286"/>
      <c r="K77" s="1085"/>
      <c r="L77" s="1561"/>
      <c r="M77" s="1561"/>
      <c r="N77" s="1085"/>
      <c r="O77" s="1085"/>
      <c r="P77" s="1085"/>
      <c r="Q77" s="1085"/>
      <c r="R77" s="1561"/>
      <c r="S77" s="1085"/>
      <c r="T77" s="1085"/>
      <c r="U77" s="479"/>
      <c r="V77" s="1085"/>
      <c r="W77" s="1085"/>
      <c r="X77" s="1085"/>
      <c r="Y77" s="1085"/>
      <c r="Z77" s="1085"/>
      <c r="AA77" s="1557"/>
      <c r="AB77" s="501"/>
      <c r="AC77" s="501"/>
      <c r="AD77" s="501"/>
      <c r="AE77" s="501"/>
      <c r="AF77" s="1566">
        <v>11</v>
      </c>
    </row>
    <row r="78" spans="1:32" s="1566" customFormat="1" ht="11.45" customHeight="1">
      <c r="A78" s="915"/>
      <c r="B78" s="1561"/>
      <c r="C78" s="1561"/>
      <c r="D78" s="286"/>
      <c r="K78" s="1085"/>
      <c r="L78" s="1561"/>
      <c r="M78" s="1561"/>
      <c r="N78" s="1085"/>
      <c r="O78" s="1085"/>
      <c r="P78" s="1085"/>
      <c r="Q78" s="1085"/>
      <c r="R78" s="1561"/>
      <c r="S78" s="1085"/>
      <c r="T78" s="1085"/>
      <c r="U78" s="479"/>
      <c r="V78" s="1085"/>
      <c r="W78" s="1085"/>
      <c r="X78" s="1085"/>
      <c r="Y78" s="1085"/>
      <c r="Z78" s="1085"/>
      <c r="AA78" s="1557"/>
      <c r="AB78" s="501"/>
      <c r="AC78" s="501"/>
      <c r="AD78" s="501"/>
      <c r="AE78" s="501"/>
      <c r="AF78" s="1566">
        <v>11</v>
      </c>
    </row>
    <row r="79" spans="1:32" s="1566" customFormat="1" ht="11.45" customHeight="1">
      <c r="A79" s="915"/>
      <c r="B79" s="1561"/>
      <c r="C79" s="1561"/>
      <c r="D79" s="286"/>
      <c r="K79" s="1085"/>
      <c r="L79" s="1561"/>
      <c r="M79" s="1561"/>
      <c r="N79" s="1085"/>
      <c r="O79" s="1085"/>
      <c r="P79" s="1085"/>
      <c r="Q79" s="1085"/>
      <c r="R79" s="1561"/>
      <c r="S79" s="1085"/>
      <c r="T79" s="1085"/>
      <c r="U79" s="479"/>
      <c r="V79" s="1085"/>
      <c r="W79" s="1085"/>
      <c r="X79" s="1085"/>
      <c r="Y79" s="1085"/>
      <c r="Z79" s="1085"/>
      <c r="AA79" s="1557"/>
      <c r="AB79" s="501"/>
      <c r="AC79" s="501"/>
      <c r="AD79" s="501"/>
      <c r="AE79" s="501"/>
      <c r="AF79" s="1566">
        <v>11</v>
      </c>
    </row>
    <row r="80" spans="1:32" s="1566" customFormat="1" ht="11.45" customHeight="1">
      <c r="A80" s="915"/>
      <c r="B80" s="1561"/>
      <c r="C80" s="1561"/>
      <c r="D80" s="286"/>
      <c r="K80" s="1085"/>
      <c r="L80" s="1561"/>
      <c r="M80" s="1561"/>
      <c r="N80" s="1085"/>
      <c r="O80" s="1085"/>
      <c r="P80" s="1085"/>
      <c r="Q80" s="1085"/>
      <c r="R80" s="1561"/>
      <c r="S80" s="1085"/>
      <c r="T80" s="1085"/>
      <c r="U80" s="479"/>
      <c r="V80" s="1085"/>
      <c r="W80" s="1085"/>
      <c r="X80" s="1085"/>
      <c r="Y80" s="1085"/>
      <c r="Z80" s="1085"/>
      <c r="AA80" s="1557"/>
      <c r="AB80" s="501"/>
      <c r="AC80" s="501"/>
      <c r="AD80" s="501"/>
      <c r="AE80" s="501"/>
      <c r="AF80" s="1566">
        <v>11</v>
      </c>
    </row>
    <row r="81" spans="1:32" s="1566" customFormat="1" ht="11.45" customHeight="1">
      <c r="A81" s="915"/>
      <c r="B81" s="1561"/>
      <c r="C81" s="1561"/>
      <c r="D81" s="286"/>
      <c r="K81" s="1085"/>
      <c r="L81" s="1561"/>
      <c r="M81" s="1561"/>
      <c r="N81" s="1085"/>
      <c r="O81" s="1085"/>
      <c r="P81" s="1085"/>
      <c r="Q81" s="1085"/>
      <c r="R81" s="1561"/>
      <c r="S81" s="1085"/>
      <c r="T81" s="1085"/>
      <c r="U81" s="479"/>
      <c r="V81" s="1085"/>
      <c r="W81" s="1085"/>
      <c r="X81" s="1085"/>
      <c r="Y81" s="1085"/>
      <c r="Z81" s="1085"/>
      <c r="AA81" s="1557"/>
      <c r="AB81" s="501"/>
      <c r="AC81" s="501"/>
      <c r="AD81" s="501"/>
      <c r="AE81" s="501"/>
      <c r="AF81" s="1566">
        <v>11</v>
      </c>
    </row>
    <row r="82" spans="1:32" s="1566" customFormat="1" ht="11.45" customHeight="1">
      <c r="A82" s="915"/>
      <c r="B82" s="1561"/>
      <c r="C82" s="1561"/>
      <c r="D82" s="286"/>
      <c r="K82" s="1085"/>
      <c r="L82" s="1561"/>
      <c r="M82" s="1561"/>
      <c r="N82" s="1085"/>
      <c r="O82" s="1085"/>
      <c r="P82" s="1085"/>
      <c r="Q82" s="1085"/>
      <c r="R82" s="1561"/>
      <c r="S82" s="1085"/>
      <c r="T82" s="1085"/>
      <c r="U82" s="479"/>
      <c r="V82" s="1085"/>
      <c r="W82" s="1085"/>
      <c r="X82" s="1085"/>
      <c r="Y82" s="1085"/>
      <c r="Z82" s="1085"/>
      <c r="AA82" s="1557"/>
      <c r="AB82" s="501"/>
      <c r="AC82" s="501"/>
      <c r="AD82" s="501"/>
      <c r="AE82" s="501"/>
      <c r="AF82" s="1566">
        <v>11</v>
      </c>
    </row>
    <row r="83" spans="1:32" s="1566" customFormat="1" ht="11.45" customHeight="1">
      <c r="A83" s="915"/>
      <c r="B83" s="1561"/>
      <c r="C83" s="1561"/>
      <c r="D83" s="286"/>
      <c r="K83" s="1085"/>
      <c r="L83" s="1561"/>
      <c r="M83" s="1561"/>
      <c r="N83" s="1085"/>
      <c r="O83" s="1085"/>
      <c r="P83" s="1085"/>
      <c r="Q83" s="1085"/>
      <c r="R83" s="1561"/>
      <c r="S83" s="1085"/>
      <c r="T83" s="1085"/>
      <c r="U83" s="479"/>
      <c r="V83" s="1085"/>
      <c r="W83" s="1085"/>
      <c r="X83" s="1085"/>
      <c r="Y83" s="1085"/>
      <c r="Z83" s="1085"/>
      <c r="AA83" s="1557"/>
      <c r="AB83" s="501"/>
      <c r="AC83" s="501"/>
      <c r="AD83" s="501"/>
      <c r="AE83" s="501"/>
      <c r="AF83" s="1566">
        <v>11</v>
      </c>
    </row>
    <row r="84" spans="1:32" s="1566" customFormat="1" ht="11.45" customHeight="1">
      <c r="A84" s="915"/>
      <c r="B84" s="1561"/>
      <c r="C84" s="1561"/>
      <c r="D84" s="286"/>
      <c r="K84" s="1085"/>
      <c r="L84" s="1561"/>
      <c r="M84" s="1561"/>
      <c r="N84" s="1085"/>
      <c r="O84" s="1085"/>
      <c r="P84" s="1085"/>
      <c r="Q84" s="1085"/>
      <c r="R84" s="1561"/>
      <c r="S84" s="1085"/>
      <c r="T84" s="1085"/>
      <c r="U84" s="479"/>
      <c r="V84" s="1085"/>
      <c r="W84" s="1085"/>
      <c r="X84" s="1085"/>
      <c r="Y84" s="1085"/>
      <c r="Z84" s="1085"/>
      <c r="AA84" s="1557"/>
      <c r="AB84" s="501"/>
      <c r="AC84" s="501"/>
      <c r="AD84" s="501"/>
      <c r="AE84" s="501"/>
      <c r="AF84" s="1566">
        <v>11</v>
      </c>
    </row>
    <row r="85" spans="1:32" s="1566" customFormat="1" ht="11.45" customHeight="1">
      <c r="A85" s="915"/>
      <c r="B85" s="1561"/>
      <c r="C85" s="1561"/>
      <c r="D85" s="286"/>
      <c r="K85" s="1085"/>
      <c r="L85" s="1561"/>
      <c r="M85" s="1561"/>
      <c r="N85" s="1085"/>
      <c r="O85" s="1085"/>
      <c r="P85" s="1085"/>
      <c r="Q85" s="1085"/>
      <c r="R85" s="1561"/>
      <c r="S85" s="1085"/>
      <c r="T85" s="1085"/>
      <c r="U85" s="479"/>
      <c r="V85" s="1085"/>
      <c r="W85" s="1085"/>
      <c r="X85" s="1085"/>
      <c r="Y85" s="1085"/>
      <c r="Z85" s="1085"/>
      <c r="AA85" s="1557"/>
      <c r="AB85" s="501"/>
      <c r="AC85" s="501"/>
      <c r="AD85" s="501"/>
      <c r="AE85" s="501"/>
      <c r="AF85" s="1566">
        <v>11</v>
      </c>
    </row>
    <row r="86" spans="1:32" s="1566" customFormat="1" ht="11.45" customHeight="1">
      <c r="A86" s="915"/>
      <c r="B86" s="1561"/>
      <c r="C86" s="1561"/>
      <c r="D86" s="286"/>
      <c r="K86" s="1085"/>
      <c r="L86" s="1561"/>
      <c r="M86" s="1561"/>
      <c r="N86" s="1085"/>
      <c r="O86" s="1085"/>
      <c r="P86" s="1085"/>
      <c r="Q86" s="1085"/>
      <c r="R86" s="1561"/>
      <c r="S86" s="1085"/>
      <c r="T86" s="1085"/>
      <c r="U86" s="479"/>
      <c r="V86" s="1085"/>
      <c r="W86" s="1085"/>
      <c r="X86" s="1085"/>
      <c r="Y86" s="1085"/>
      <c r="Z86" s="1085"/>
      <c r="AA86" s="1557"/>
      <c r="AB86" s="501"/>
      <c r="AC86" s="501"/>
      <c r="AD86" s="501"/>
      <c r="AE86" s="501"/>
      <c r="AF86" s="1566">
        <v>11</v>
      </c>
    </row>
    <row r="87" spans="1:32" s="1566" customFormat="1" ht="11.45" customHeight="1">
      <c r="A87" s="915"/>
      <c r="B87" s="1561"/>
      <c r="C87" s="1561"/>
      <c r="D87" s="286"/>
      <c r="K87" s="1085"/>
      <c r="L87" s="1561"/>
      <c r="M87" s="1561"/>
      <c r="N87" s="1085"/>
      <c r="O87" s="1085"/>
      <c r="P87" s="1085"/>
      <c r="Q87" s="1085"/>
      <c r="R87" s="1561"/>
      <c r="S87" s="1085"/>
      <c r="T87" s="1085"/>
      <c r="U87" s="479"/>
      <c r="V87" s="1085"/>
      <c r="W87" s="1085"/>
      <c r="X87" s="1085"/>
      <c r="Y87" s="1085"/>
      <c r="Z87" s="1085"/>
      <c r="AA87" s="1557"/>
      <c r="AB87" s="501"/>
      <c r="AC87" s="501"/>
      <c r="AD87" s="501"/>
      <c r="AE87" s="501"/>
      <c r="AF87" s="1566">
        <v>11</v>
      </c>
    </row>
    <row r="88" spans="1:32" s="1566" customFormat="1" ht="11.45" customHeight="1">
      <c r="A88" s="915"/>
      <c r="B88" s="1561"/>
      <c r="C88" s="1561"/>
      <c r="D88" s="286"/>
      <c r="K88" s="1085"/>
      <c r="L88" s="1561"/>
      <c r="M88" s="1561"/>
      <c r="N88" s="1085"/>
      <c r="O88" s="1085"/>
      <c r="P88" s="1085"/>
      <c r="Q88" s="1085"/>
      <c r="R88" s="1561"/>
      <c r="S88" s="1085"/>
      <c r="T88" s="1085"/>
      <c r="U88" s="479"/>
      <c r="V88" s="1085"/>
      <c r="W88" s="1085"/>
      <c r="X88" s="1085"/>
      <c r="Y88" s="1085"/>
      <c r="Z88" s="1085"/>
      <c r="AA88" s="1557"/>
      <c r="AB88" s="501"/>
      <c r="AC88" s="501"/>
      <c r="AD88" s="501"/>
      <c r="AE88" s="501"/>
      <c r="AF88" s="1566">
        <v>11</v>
      </c>
    </row>
    <row r="89" spans="1:32" s="1566" customFormat="1" ht="11.45" customHeight="1">
      <c r="A89" s="915"/>
      <c r="B89" s="1561"/>
      <c r="C89" s="1561"/>
      <c r="D89" s="286"/>
      <c r="K89" s="1085"/>
      <c r="L89" s="1561"/>
      <c r="M89" s="1561"/>
      <c r="N89" s="1085"/>
      <c r="O89" s="1085"/>
      <c r="P89" s="1085"/>
      <c r="Q89" s="1085"/>
      <c r="R89" s="1561"/>
      <c r="S89" s="1085"/>
      <c r="T89" s="1085"/>
      <c r="U89" s="479"/>
      <c r="V89" s="1085"/>
      <c r="W89" s="1085"/>
      <c r="X89" s="1085"/>
      <c r="Y89" s="1085"/>
      <c r="Z89" s="1085"/>
      <c r="AA89" s="1557"/>
      <c r="AB89" s="501"/>
      <c r="AC89" s="501"/>
      <c r="AD89" s="501"/>
      <c r="AE89" s="501"/>
      <c r="AF89" s="1566">
        <v>11</v>
      </c>
    </row>
    <row r="90" spans="1:32" s="1566" customFormat="1" ht="11.45" customHeight="1">
      <c r="A90" s="915"/>
      <c r="B90" s="1561"/>
      <c r="C90" s="1561"/>
      <c r="D90" s="286"/>
      <c r="K90" s="1085"/>
      <c r="L90" s="1561"/>
      <c r="M90" s="1561"/>
      <c r="N90" s="1085"/>
      <c r="O90" s="1085"/>
      <c r="P90" s="1085"/>
      <c r="Q90" s="1085"/>
      <c r="R90" s="1561"/>
      <c r="S90" s="1085"/>
      <c r="T90" s="1085"/>
      <c r="U90" s="479"/>
      <c r="V90" s="1085"/>
      <c r="W90" s="1085"/>
      <c r="X90" s="1085"/>
      <c r="Y90" s="1085"/>
      <c r="Z90" s="1085"/>
      <c r="AA90" s="1557"/>
      <c r="AB90" s="501"/>
      <c r="AC90" s="501"/>
      <c r="AD90" s="501"/>
      <c r="AE90" s="501"/>
      <c r="AF90" s="1566">
        <v>11</v>
      </c>
    </row>
    <row r="91" spans="1:32" s="1566" customFormat="1" ht="11.45" customHeight="1">
      <c r="A91" s="915"/>
      <c r="B91" s="1561"/>
      <c r="C91" s="1561"/>
      <c r="D91" s="286"/>
      <c r="K91" s="1085"/>
      <c r="L91" s="1561"/>
      <c r="M91" s="1561"/>
      <c r="N91" s="1085"/>
      <c r="O91" s="1085"/>
      <c r="P91" s="1085"/>
      <c r="Q91" s="1085"/>
      <c r="R91" s="1561"/>
      <c r="S91" s="1085"/>
      <c r="T91" s="1085"/>
      <c r="U91" s="479"/>
      <c r="V91" s="1085"/>
      <c r="W91" s="1085"/>
      <c r="X91" s="1085"/>
      <c r="Y91" s="1085"/>
      <c r="Z91" s="1085"/>
      <c r="AA91" s="1557"/>
      <c r="AB91" s="501"/>
      <c r="AC91" s="501"/>
      <c r="AD91" s="501"/>
      <c r="AE91" s="501"/>
      <c r="AF91" s="1566">
        <v>11</v>
      </c>
    </row>
    <row r="92" spans="1:32" s="1566" customFormat="1" ht="11.45" customHeight="1">
      <c r="A92" s="915"/>
      <c r="B92" s="1561"/>
      <c r="C92" s="1561"/>
      <c r="D92" s="286"/>
      <c r="K92" s="1085"/>
      <c r="L92" s="1561"/>
      <c r="M92" s="1561"/>
      <c r="N92" s="1085"/>
      <c r="O92" s="1085"/>
      <c r="P92" s="1085"/>
      <c r="Q92" s="1085"/>
      <c r="R92" s="1561"/>
      <c r="S92" s="1085"/>
      <c r="T92" s="1085"/>
      <c r="U92" s="479"/>
      <c r="V92" s="1085"/>
      <c r="W92" s="1085"/>
      <c r="X92" s="1085"/>
      <c r="Y92" s="1085"/>
      <c r="Z92" s="1085"/>
      <c r="AA92" s="1557"/>
      <c r="AB92" s="501"/>
      <c r="AC92" s="501"/>
      <c r="AD92" s="501"/>
      <c r="AE92" s="501"/>
      <c r="AF92" s="1566">
        <v>11</v>
      </c>
    </row>
    <row r="93" spans="1:32" s="1566" customFormat="1" ht="11.45" customHeight="1">
      <c r="A93" s="915"/>
      <c r="B93" s="1561"/>
      <c r="C93" s="1561"/>
      <c r="D93" s="286"/>
      <c r="K93" s="1085"/>
      <c r="L93" s="1561"/>
      <c r="M93" s="1561"/>
      <c r="N93" s="1085"/>
      <c r="O93" s="1085"/>
      <c r="P93" s="1085"/>
      <c r="Q93" s="1085"/>
      <c r="R93" s="1561"/>
      <c r="S93" s="1085"/>
      <c r="T93" s="1085"/>
      <c r="U93" s="479"/>
      <c r="V93" s="1085"/>
      <c r="W93" s="1085"/>
      <c r="X93" s="1085"/>
      <c r="Y93" s="1085"/>
      <c r="Z93" s="1085"/>
      <c r="AA93" s="1557"/>
      <c r="AB93" s="501"/>
      <c r="AC93" s="501"/>
      <c r="AD93" s="501"/>
      <c r="AE93" s="501"/>
      <c r="AF93" s="1566">
        <v>11</v>
      </c>
    </row>
    <row r="94" spans="1:32" s="1566" customFormat="1" ht="11.45" customHeight="1">
      <c r="A94" s="915"/>
      <c r="B94" s="1561"/>
      <c r="C94" s="1561"/>
      <c r="D94" s="286"/>
      <c r="K94" s="1085"/>
      <c r="L94" s="1561"/>
      <c r="M94" s="1561"/>
      <c r="N94" s="1085"/>
      <c r="O94" s="1085"/>
      <c r="P94" s="1085"/>
      <c r="Q94" s="1085"/>
      <c r="R94" s="1561"/>
      <c r="S94" s="1085"/>
      <c r="T94" s="1085"/>
      <c r="U94" s="479"/>
      <c r="V94" s="1085"/>
      <c r="W94" s="1085"/>
      <c r="X94" s="1085"/>
      <c r="Y94" s="1085"/>
      <c r="Z94" s="1085"/>
      <c r="AA94" s="1557"/>
      <c r="AB94" s="501"/>
      <c r="AC94" s="501"/>
      <c r="AD94" s="501"/>
      <c r="AE94" s="501"/>
      <c r="AF94" s="1566">
        <v>11</v>
      </c>
    </row>
    <row r="95" spans="1:32" s="1566" customFormat="1" ht="11.45" customHeight="1">
      <c r="A95" s="915"/>
      <c r="B95" s="1561"/>
      <c r="C95" s="1561"/>
      <c r="D95" s="286"/>
      <c r="K95" s="1085"/>
      <c r="L95" s="1561"/>
      <c r="M95" s="1561"/>
      <c r="N95" s="1085"/>
      <c r="O95" s="1085"/>
      <c r="P95" s="1085"/>
      <c r="Q95" s="1085"/>
      <c r="R95" s="1561"/>
      <c r="S95" s="1085"/>
      <c r="T95" s="1085"/>
      <c r="U95" s="479"/>
      <c r="V95" s="1085"/>
      <c r="W95" s="1085"/>
      <c r="X95" s="1085"/>
      <c r="Y95" s="1085"/>
      <c r="Z95" s="1085"/>
      <c r="AA95" s="1557"/>
      <c r="AB95" s="501"/>
      <c r="AC95" s="501"/>
      <c r="AD95" s="501"/>
      <c r="AE95" s="501"/>
      <c r="AF95" s="1566">
        <v>11</v>
      </c>
    </row>
    <row r="96" spans="1:32" s="1566" customFormat="1" ht="11.45" customHeight="1">
      <c r="A96" s="915"/>
      <c r="B96" s="1561"/>
      <c r="C96" s="1561"/>
      <c r="D96" s="286"/>
      <c r="K96" s="1085"/>
      <c r="L96" s="1561"/>
      <c r="M96" s="1561"/>
      <c r="N96" s="1085"/>
      <c r="O96" s="1085"/>
      <c r="P96" s="1085"/>
      <c r="Q96" s="1085"/>
      <c r="R96" s="1561"/>
      <c r="S96" s="1085"/>
      <c r="T96" s="1085"/>
      <c r="U96" s="479"/>
      <c r="V96" s="1085"/>
      <c r="W96" s="1085"/>
      <c r="X96" s="1085"/>
      <c r="Y96" s="1085"/>
      <c r="Z96" s="1085"/>
      <c r="AA96" s="1557"/>
      <c r="AB96" s="501"/>
      <c r="AC96" s="501"/>
      <c r="AD96" s="501"/>
      <c r="AE96" s="501"/>
      <c r="AF96" s="1566">
        <v>11</v>
      </c>
    </row>
    <row r="97" spans="1:32" s="1566" customFormat="1" ht="11.45" customHeight="1">
      <c r="A97" s="915"/>
      <c r="B97" s="1561"/>
      <c r="C97" s="1561"/>
      <c r="D97" s="286"/>
      <c r="K97" s="1085"/>
      <c r="L97" s="1561"/>
      <c r="M97" s="1561"/>
      <c r="N97" s="1085"/>
      <c r="O97" s="1085"/>
      <c r="P97" s="1085"/>
      <c r="Q97" s="1085"/>
      <c r="R97" s="1561"/>
      <c r="S97" s="1085"/>
      <c r="T97" s="1085"/>
      <c r="U97" s="479"/>
      <c r="V97" s="1085"/>
      <c r="W97" s="1085"/>
      <c r="X97" s="1085"/>
      <c r="Y97" s="1085"/>
      <c r="Z97" s="1085"/>
      <c r="AA97" s="1557"/>
      <c r="AB97" s="501"/>
      <c r="AC97" s="501"/>
      <c r="AD97" s="501"/>
      <c r="AE97" s="501"/>
      <c r="AF97" s="1566">
        <v>11</v>
      </c>
    </row>
    <row r="98" spans="1:32" s="1566" customFormat="1" ht="11.45" customHeight="1">
      <c r="A98" s="915"/>
      <c r="B98" s="1561"/>
      <c r="C98" s="1561"/>
      <c r="D98" s="286"/>
      <c r="K98" s="1085"/>
      <c r="L98" s="1561"/>
      <c r="M98" s="1561"/>
      <c r="N98" s="1085"/>
      <c r="O98" s="1085"/>
      <c r="P98" s="1085"/>
      <c r="Q98" s="1085"/>
      <c r="R98" s="1561"/>
      <c r="S98" s="1085"/>
      <c r="T98" s="1085"/>
      <c r="U98" s="479"/>
      <c r="V98" s="1085"/>
      <c r="W98" s="1085"/>
      <c r="X98" s="1085"/>
      <c r="Y98" s="1085"/>
      <c r="Z98" s="1085"/>
      <c r="AA98" s="1557"/>
      <c r="AB98" s="501"/>
      <c r="AC98" s="501"/>
      <c r="AD98" s="501"/>
      <c r="AE98" s="501"/>
      <c r="AF98" s="1566">
        <v>11</v>
      </c>
    </row>
    <row r="99" spans="1:32" s="1566" customFormat="1" ht="11.45" customHeight="1">
      <c r="A99" s="915"/>
      <c r="B99" s="1561"/>
      <c r="C99" s="1561"/>
      <c r="D99" s="286"/>
      <c r="K99" s="1085"/>
      <c r="L99" s="1561"/>
      <c r="M99" s="1561"/>
      <c r="N99" s="1085"/>
      <c r="O99" s="1085"/>
      <c r="P99" s="1085"/>
      <c r="Q99" s="1085"/>
      <c r="R99" s="1561"/>
      <c r="S99" s="1085"/>
      <c r="T99" s="1085"/>
      <c r="U99" s="479"/>
      <c r="V99" s="1085"/>
      <c r="W99" s="1085"/>
      <c r="X99" s="1085"/>
      <c r="Y99" s="1085"/>
      <c r="Z99" s="1085"/>
      <c r="AA99" s="1557"/>
      <c r="AB99" s="501"/>
      <c r="AC99" s="501"/>
      <c r="AD99" s="501"/>
      <c r="AE99" s="501"/>
      <c r="AF99" s="1566">
        <v>11</v>
      </c>
    </row>
    <row r="100" spans="1:32" s="1566" customFormat="1" ht="11.45" customHeight="1">
      <c r="A100" s="915"/>
      <c r="B100" s="1561"/>
      <c r="C100" s="1561"/>
      <c r="D100" s="286"/>
      <c r="K100" s="1085"/>
      <c r="L100" s="1561"/>
      <c r="M100" s="1561"/>
      <c r="N100" s="1085"/>
      <c r="O100" s="1085"/>
      <c r="P100" s="1085"/>
      <c r="Q100" s="1085"/>
      <c r="R100" s="1561"/>
      <c r="S100" s="1085"/>
      <c r="T100" s="1085"/>
      <c r="U100" s="479"/>
      <c r="V100" s="1085"/>
      <c r="W100" s="1085"/>
      <c r="X100" s="1085"/>
      <c r="Y100" s="1085"/>
      <c r="Z100" s="1085"/>
      <c r="AA100" s="1557"/>
      <c r="AB100" s="501"/>
      <c r="AC100" s="501"/>
      <c r="AD100" s="501"/>
      <c r="AE100" s="501"/>
      <c r="AF100" s="1566">
        <v>11</v>
      </c>
    </row>
    <row r="101" spans="1:32" s="1566" customFormat="1" ht="11.45" customHeight="1">
      <c r="A101" s="915"/>
      <c r="B101" s="1561"/>
      <c r="C101" s="1561"/>
      <c r="D101" s="286"/>
      <c r="K101" s="1085"/>
      <c r="L101" s="1561"/>
      <c r="M101" s="1561"/>
      <c r="N101" s="1085"/>
      <c r="O101" s="1085"/>
      <c r="P101" s="1085"/>
      <c r="Q101" s="1085"/>
      <c r="R101" s="1561"/>
      <c r="S101" s="1085"/>
      <c r="T101" s="1085"/>
      <c r="U101" s="479"/>
      <c r="V101" s="1085"/>
      <c r="W101" s="1085"/>
      <c r="X101" s="1085"/>
      <c r="Y101" s="1085"/>
      <c r="Z101" s="1085"/>
      <c r="AA101" s="1557"/>
      <c r="AB101" s="501"/>
      <c r="AC101" s="501"/>
      <c r="AD101" s="501"/>
      <c r="AE101" s="501"/>
      <c r="AF101" s="1566">
        <v>11</v>
      </c>
    </row>
    <row r="102" spans="1:32" s="1566" customFormat="1" ht="11.45" customHeight="1">
      <c r="A102" s="915"/>
      <c r="B102" s="1561"/>
      <c r="C102" s="1561"/>
      <c r="D102" s="286"/>
      <c r="K102" s="1085"/>
      <c r="L102" s="1561"/>
      <c r="M102" s="1561"/>
      <c r="N102" s="1085"/>
      <c r="O102" s="1085"/>
      <c r="P102" s="1085"/>
      <c r="Q102" s="1085"/>
      <c r="R102" s="1561"/>
      <c r="S102" s="1085"/>
      <c r="T102" s="1085"/>
      <c r="U102" s="479"/>
      <c r="V102" s="1085"/>
      <c r="W102" s="1085"/>
      <c r="X102" s="1085"/>
      <c r="Y102" s="1085"/>
      <c r="Z102" s="1085"/>
      <c r="AA102" s="1557"/>
      <c r="AB102" s="501"/>
      <c r="AC102" s="501"/>
      <c r="AD102" s="501"/>
      <c r="AE102" s="501"/>
      <c r="AF102" s="1566">
        <v>11</v>
      </c>
    </row>
    <row r="103" spans="1:32" s="1566" customFormat="1" ht="11.45" customHeight="1">
      <c r="A103" s="915"/>
      <c r="B103" s="1561"/>
      <c r="C103" s="1561"/>
      <c r="D103" s="286"/>
      <c r="K103" s="1085"/>
      <c r="L103" s="1561"/>
      <c r="M103" s="1561"/>
      <c r="N103" s="1085"/>
      <c r="O103" s="1085"/>
      <c r="P103" s="1085"/>
      <c r="Q103" s="1085"/>
      <c r="R103" s="1561"/>
      <c r="S103" s="1085"/>
      <c r="T103" s="1085"/>
      <c r="U103" s="479"/>
      <c r="V103" s="1085"/>
      <c r="W103" s="1085"/>
      <c r="X103" s="1085"/>
      <c r="Y103" s="1085"/>
      <c r="Z103" s="1085"/>
      <c r="AA103" s="1557"/>
      <c r="AB103" s="501"/>
      <c r="AC103" s="501"/>
      <c r="AD103" s="501"/>
      <c r="AE103" s="501"/>
      <c r="AF103" s="1566">
        <v>11</v>
      </c>
    </row>
    <row r="104" spans="1:32" s="1566" customFormat="1" ht="11.45" customHeight="1">
      <c r="A104" s="915"/>
      <c r="B104" s="1561"/>
      <c r="C104" s="1561"/>
      <c r="D104" s="286"/>
      <c r="K104" s="1085"/>
      <c r="L104" s="1561"/>
      <c r="M104" s="1561"/>
      <c r="N104" s="1085"/>
      <c r="O104" s="1085"/>
      <c r="P104" s="1085"/>
      <c r="Q104" s="1085"/>
      <c r="R104" s="1561"/>
      <c r="S104" s="1085"/>
      <c r="T104" s="1085"/>
      <c r="U104" s="479"/>
      <c r="V104" s="1085"/>
      <c r="W104" s="1085"/>
      <c r="X104" s="1085"/>
      <c r="Y104" s="1085"/>
      <c r="Z104" s="1085"/>
      <c r="AA104" s="1557"/>
      <c r="AB104" s="501"/>
      <c r="AC104" s="501"/>
      <c r="AD104" s="501"/>
      <c r="AE104" s="501"/>
      <c r="AF104" s="1566">
        <v>11</v>
      </c>
    </row>
    <row r="105" spans="1:32" s="1566" customFormat="1" ht="11.45" customHeight="1">
      <c r="A105" s="915"/>
      <c r="B105" s="1561"/>
      <c r="C105" s="1561"/>
      <c r="D105" s="286"/>
      <c r="K105" s="1085"/>
      <c r="L105" s="1561"/>
      <c r="M105" s="1561"/>
      <c r="N105" s="1085"/>
      <c r="O105" s="1085"/>
      <c r="P105" s="1085"/>
      <c r="Q105" s="1085"/>
      <c r="R105" s="1561"/>
      <c r="S105" s="1085"/>
      <c r="T105" s="1085"/>
      <c r="U105" s="479"/>
      <c r="V105" s="1085"/>
      <c r="W105" s="1085"/>
      <c r="X105" s="1085"/>
      <c r="Y105" s="1085"/>
      <c r="Z105" s="1085"/>
      <c r="AA105" s="1557"/>
      <c r="AB105" s="501"/>
      <c r="AC105" s="501"/>
      <c r="AD105" s="501"/>
      <c r="AE105" s="501"/>
      <c r="AF105" s="1566">
        <v>11</v>
      </c>
    </row>
    <row r="106" spans="1:32" s="1566" customFormat="1" ht="11.45" customHeight="1">
      <c r="A106" s="915"/>
      <c r="B106" s="1561"/>
      <c r="C106" s="1561"/>
      <c r="D106" s="286"/>
      <c r="K106" s="1085"/>
      <c r="L106" s="1561"/>
      <c r="M106" s="1561"/>
      <c r="N106" s="1085"/>
      <c r="O106" s="1085"/>
      <c r="P106" s="1085"/>
      <c r="Q106" s="1085"/>
      <c r="R106" s="1561"/>
      <c r="S106" s="1085"/>
      <c r="T106" s="1085"/>
      <c r="U106" s="479"/>
      <c r="V106" s="1085"/>
      <c r="W106" s="1085"/>
      <c r="X106" s="1085"/>
      <c r="Y106" s="1085"/>
      <c r="Z106" s="1085"/>
      <c r="AA106" s="1557"/>
      <c r="AB106" s="501"/>
      <c r="AC106" s="501"/>
      <c r="AD106" s="501"/>
      <c r="AE106" s="501"/>
      <c r="AF106" s="1566">
        <v>11</v>
      </c>
    </row>
    <row r="107" spans="1:32" s="1566" customFormat="1" ht="11.45" customHeight="1">
      <c r="A107" s="915"/>
      <c r="B107" s="1561"/>
      <c r="C107" s="1561"/>
      <c r="D107" s="286"/>
      <c r="K107" s="1085"/>
      <c r="L107" s="1561"/>
      <c r="M107" s="1561"/>
      <c r="N107" s="1085"/>
      <c r="O107" s="1085"/>
      <c r="P107" s="1085"/>
      <c r="Q107" s="1085"/>
      <c r="R107" s="1561"/>
      <c r="S107" s="1085"/>
      <c r="T107" s="1085"/>
      <c r="U107" s="479"/>
      <c r="V107" s="1085"/>
      <c r="W107" s="1085"/>
      <c r="X107" s="1085"/>
      <c r="Y107" s="1085"/>
      <c r="Z107" s="1085"/>
      <c r="AA107" s="1557"/>
      <c r="AB107" s="501"/>
      <c r="AC107" s="501"/>
      <c r="AD107" s="501"/>
      <c r="AE107" s="501"/>
      <c r="AF107" s="1566">
        <v>11</v>
      </c>
    </row>
    <row r="108" spans="1:32" s="1566" customFormat="1" ht="11.45" customHeight="1">
      <c r="A108" s="915"/>
      <c r="B108" s="1561"/>
      <c r="C108" s="1561"/>
      <c r="D108" s="286"/>
      <c r="K108" s="1085"/>
      <c r="L108" s="1561"/>
      <c r="M108" s="1561"/>
      <c r="N108" s="1085"/>
      <c r="O108" s="1085"/>
      <c r="P108" s="1085"/>
      <c r="Q108" s="1085"/>
      <c r="R108" s="1561"/>
      <c r="S108" s="1085"/>
      <c r="T108" s="1085"/>
      <c r="U108" s="479"/>
      <c r="V108" s="1085"/>
      <c r="W108" s="1085"/>
      <c r="X108" s="1085"/>
      <c r="Y108" s="1085"/>
      <c r="Z108" s="1085"/>
      <c r="AA108" s="1557"/>
      <c r="AB108" s="501"/>
      <c r="AC108" s="501"/>
      <c r="AD108" s="501"/>
      <c r="AE108" s="501"/>
      <c r="AF108" s="1566">
        <v>11</v>
      </c>
    </row>
    <row r="109" spans="1:32" s="1566" customFormat="1" ht="11.45" customHeight="1">
      <c r="A109" s="915"/>
      <c r="B109" s="1561"/>
      <c r="C109" s="1561"/>
      <c r="D109" s="286"/>
      <c r="K109" s="1085"/>
      <c r="L109" s="1561"/>
      <c r="M109" s="1561"/>
      <c r="N109" s="1085"/>
      <c r="O109" s="1085"/>
      <c r="P109" s="1085"/>
      <c r="Q109" s="1085"/>
      <c r="R109" s="1561"/>
      <c r="S109" s="1085"/>
      <c r="T109" s="1085"/>
      <c r="U109" s="479"/>
      <c r="V109" s="1085"/>
      <c r="W109" s="1085"/>
      <c r="X109" s="1085"/>
      <c r="Y109" s="1085"/>
      <c r="Z109" s="1085"/>
      <c r="AA109" s="1557"/>
      <c r="AB109" s="501"/>
      <c r="AC109" s="501"/>
      <c r="AD109" s="501"/>
      <c r="AE109" s="501"/>
      <c r="AF109" s="1566">
        <v>11</v>
      </c>
    </row>
    <row r="110" spans="1:32" s="1566" customFormat="1" ht="11.45" customHeight="1">
      <c r="A110" s="915"/>
      <c r="B110" s="1561"/>
      <c r="C110" s="1561"/>
      <c r="D110" s="286"/>
      <c r="K110" s="1085"/>
      <c r="L110" s="1561"/>
      <c r="M110" s="1561"/>
      <c r="N110" s="1085"/>
      <c r="O110" s="1085"/>
      <c r="P110" s="1085"/>
      <c r="Q110" s="1085"/>
      <c r="R110" s="1561"/>
      <c r="S110" s="1085"/>
      <c r="T110" s="1085"/>
      <c r="U110" s="479"/>
      <c r="V110" s="1085"/>
      <c r="W110" s="1085"/>
      <c r="X110" s="1085"/>
      <c r="Y110" s="1085"/>
      <c r="Z110" s="1085"/>
      <c r="AA110" s="1557"/>
      <c r="AB110" s="501"/>
      <c r="AC110" s="501"/>
      <c r="AD110" s="501"/>
      <c r="AE110" s="501"/>
      <c r="AF110" s="1566">
        <v>11</v>
      </c>
    </row>
    <row r="111" spans="1:32" s="1566" customFormat="1" ht="11.45" customHeight="1">
      <c r="A111" s="915"/>
      <c r="B111" s="1561"/>
      <c r="C111" s="1561"/>
      <c r="D111" s="286"/>
      <c r="K111" s="1085"/>
      <c r="L111" s="1561"/>
      <c r="M111" s="1561"/>
      <c r="N111" s="1085"/>
      <c r="O111" s="1085"/>
      <c r="P111" s="1085"/>
      <c r="Q111" s="1085"/>
      <c r="R111" s="1561"/>
      <c r="S111" s="1085"/>
      <c r="T111" s="1085"/>
      <c r="U111" s="479"/>
      <c r="V111" s="1085"/>
      <c r="W111" s="1085"/>
      <c r="X111" s="1085"/>
      <c r="Y111" s="1085"/>
      <c r="Z111" s="1085"/>
      <c r="AA111" s="1557"/>
      <c r="AB111" s="501"/>
      <c r="AC111" s="501"/>
      <c r="AD111" s="501"/>
      <c r="AE111" s="501"/>
      <c r="AF111" s="1566">
        <v>11</v>
      </c>
    </row>
    <row r="112" spans="1:32" s="1566" customFormat="1" ht="11.45" customHeight="1">
      <c r="A112" s="915"/>
      <c r="B112" s="1561"/>
      <c r="C112" s="1561"/>
      <c r="D112" s="286"/>
      <c r="K112" s="1085"/>
      <c r="L112" s="1561"/>
      <c r="M112" s="1561"/>
      <c r="N112" s="1085"/>
      <c r="O112" s="1085"/>
      <c r="P112" s="1085"/>
      <c r="Q112" s="1085"/>
      <c r="R112" s="1561"/>
      <c r="S112" s="1085"/>
      <c r="T112" s="1085"/>
      <c r="U112" s="479"/>
      <c r="V112" s="1085"/>
      <c r="W112" s="1085"/>
      <c r="X112" s="1085"/>
      <c r="Y112" s="1085"/>
      <c r="Z112" s="1085"/>
      <c r="AA112" s="1557"/>
      <c r="AB112" s="501"/>
      <c r="AC112" s="501"/>
      <c r="AD112" s="501"/>
      <c r="AE112" s="501"/>
      <c r="AF112" s="1566">
        <v>11</v>
      </c>
    </row>
    <row r="113" spans="1:32" s="1566" customFormat="1" ht="11.45" customHeight="1">
      <c r="A113" s="915"/>
      <c r="B113" s="1561"/>
      <c r="C113" s="1561"/>
      <c r="D113" s="286"/>
      <c r="K113" s="1085"/>
      <c r="L113" s="1561"/>
      <c r="M113" s="1561"/>
      <c r="N113" s="1085"/>
      <c r="O113" s="1085"/>
      <c r="P113" s="1085"/>
      <c r="Q113" s="1085"/>
      <c r="R113" s="1561"/>
      <c r="S113" s="1085"/>
      <c r="T113" s="1085"/>
      <c r="U113" s="479"/>
      <c r="V113" s="1085"/>
      <c r="W113" s="1085"/>
      <c r="X113" s="1085"/>
      <c r="Y113" s="1085"/>
      <c r="Z113" s="1085"/>
      <c r="AA113" s="1557"/>
      <c r="AB113" s="501"/>
      <c r="AC113" s="501"/>
      <c r="AD113" s="501"/>
      <c r="AE113" s="501"/>
      <c r="AF113" s="1566">
        <v>11</v>
      </c>
    </row>
    <row r="114" spans="1:32" s="1566" customFormat="1" ht="11.45" customHeight="1">
      <c r="A114" s="915"/>
      <c r="B114" s="1561"/>
      <c r="C114" s="1561"/>
      <c r="D114" s="286"/>
      <c r="K114" s="1085"/>
      <c r="L114" s="1561"/>
      <c r="M114" s="1561"/>
      <c r="N114" s="1085"/>
      <c r="O114" s="1085"/>
      <c r="P114" s="1085"/>
      <c r="Q114" s="1085"/>
      <c r="R114" s="1561"/>
      <c r="S114" s="1085"/>
      <c r="T114" s="1085"/>
      <c r="U114" s="479"/>
      <c r="V114" s="1085"/>
      <c r="W114" s="1085"/>
      <c r="X114" s="1085"/>
      <c r="Y114" s="1085"/>
      <c r="Z114" s="1085"/>
      <c r="AA114" s="1557"/>
      <c r="AB114" s="501"/>
      <c r="AC114" s="501"/>
      <c r="AD114" s="501"/>
      <c r="AE114" s="501"/>
      <c r="AF114" s="1566">
        <v>11</v>
      </c>
    </row>
    <row r="115" spans="1:32" s="1566" customFormat="1" ht="11.45" customHeight="1">
      <c r="A115" s="915"/>
      <c r="B115" s="1561"/>
      <c r="C115" s="1561"/>
      <c r="D115" s="286"/>
      <c r="K115" s="1085"/>
      <c r="L115" s="1561"/>
      <c r="M115" s="1561"/>
      <c r="N115" s="1085"/>
      <c r="O115" s="1085"/>
      <c r="P115" s="1085"/>
      <c r="Q115" s="1085"/>
      <c r="R115" s="1561"/>
      <c r="S115" s="1085"/>
      <c r="T115" s="1085"/>
      <c r="U115" s="479"/>
      <c r="V115" s="1085"/>
      <c r="W115" s="1085"/>
      <c r="X115" s="1085"/>
      <c r="Y115" s="1085"/>
      <c r="Z115" s="1085"/>
      <c r="AA115" s="1557"/>
      <c r="AB115" s="501"/>
      <c r="AC115" s="501"/>
      <c r="AD115" s="501"/>
      <c r="AE115" s="501"/>
      <c r="AF115" s="1566">
        <v>11</v>
      </c>
    </row>
    <row r="116" spans="1:32" s="1566" customFormat="1" ht="11.45" customHeight="1">
      <c r="A116" s="915"/>
      <c r="B116" s="1561"/>
      <c r="C116" s="1561"/>
      <c r="D116" s="286"/>
      <c r="K116" s="1085"/>
      <c r="L116" s="1561"/>
      <c r="M116" s="1561"/>
      <c r="N116" s="1085"/>
      <c r="O116" s="1085"/>
      <c r="P116" s="1085"/>
      <c r="Q116" s="1085"/>
      <c r="R116" s="1561"/>
      <c r="S116" s="1085"/>
      <c r="T116" s="1085"/>
      <c r="U116" s="479"/>
      <c r="V116" s="1085"/>
      <c r="W116" s="1085"/>
      <c r="X116" s="1085"/>
      <c r="Y116" s="1085"/>
      <c r="Z116" s="1085"/>
      <c r="AA116" s="1557"/>
      <c r="AB116" s="501"/>
      <c r="AC116" s="501"/>
      <c r="AD116" s="501"/>
      <c r="AE116" s="501"/>
      <c r="AF116" s="1566">
        <v>11</v>
      </c>
    </row>
    <row r="117" spans="1:32" s="1566" customFormat="1" ht="11.45" customHeight="1">
      <c r="A117" s="915"/>
      <c r="B117" s="1561"/>
      <c r="C117" s="1561"/>
      <c r="D117" s="286"/>
      <c r="K117" s="1085"/>
      <c r="L117" s="1561"/>
      <c r="M117" s="1561"/>
      <c r="N117" s="1085"/>
      <c r="O117" s="1085"/>
      <c r="P117" s="1085"/>
      <c r="Q117" s="1085"/>
      <c r="R117" s="1561"/>
      <c r="S117" s="1085"/>
      <c r="T117" s="1085"/>
      <c r="U117" s="479"/>
      <c r="V117" s="1085"/>
      <c r="W117" s="1085"/>
      <c r="X117" s="1085"/>
      <c r="Y117" s="1085"/>
      <c r="Z117" s="1085"/>
      <c r="AA117" s="1557"/>
      <c r="AB117" s="501"/>
      <c r="AC117" s="501"/>
      <c r="AD117" s="501"/>
      <c r="AE117" s="501"/>
      <c r="AF117" s="1566">
        <v>11</v>
      </c>
    </row>
    <row r="118" spans="1:32" s="1566" customFormat="1" ht="11.45" customHeight="1">
      <c r="A118" s="915"/>
      <c r="B118" s="1561"/>
      <c r="C118" s="1561"/>
      <c r="D118" s="286"/>
      <c r="K118" s="1085"/>
      <c r="L118" s="1561"/>
      <c r="M118" s="1561"/>
      <c r="N118" s="1085"/>
      <c r="O118" s="1085"/>
      <c r="P118" s="1085"/>
      <c r="Q118" s="1085"/>
      <c r="R118" s="1561"/>
      <c r="S118" s="1085"/>
      <c r="T118" s="1085"/>
      <c r="U118" s="479"/>
      <c r="V118" s="1085"/>
      <c r="W118" s="1085"/>
      <c r="X118" s="1085"/>
      <c r="Y118" s="1085"/>
      <c r="Z118" s="1085"/>
      <c r="AA118" s="1557"/>
      <c r="AB118" s="501"/>
      <c r="AC118" s="501"/>
      <c r="AD118" s="501"/>
      <c r="AE118" s="501"/>
      <c r="AF118" s="1566">
        <v>11</v>
      </c>
    </row>
    <row r="119" spans="1:32" s="1566" customFormat="1" ht="11.45" customHeight="1">
      <c r="A119" s="915"/>
      <c r="B119" s="1561"/>
      <c r="C119" s="1561"/>
      <c r="D119" s="286"/>
      <c r="K119" s="1085"/>
      <c r="L119" s="1561"/>
      <c r="M119" s="1561"/>
      <c r="N119" s="1085"/>
      <c r="O119" s="1085"/>
      <c r="P119" s="1085"/>
      <c r="Q119" s="1085"/>
      <c r="R119" s="1561"/>
      <c r="S119" s="1085"/>
      <c r="T119" s="1085"/>
      <c r="U119" s="479"/>
      <c r="V119" s="1085"/>
      <c r="W119" s="1085"/>
      <c r="X119" s="1085"/>
      <c r="Y119" s="1085"/>
      <c r="Z119" s="1085"/>
      <c r="AA119" s="1557"/>
      <c r="AB119" s="501"/>
      <c r="AC119" s="501"/>
      <c r="AD119" s="501"/>
      <c r="AE119" s="501"/>
      <c r="AF119" s="1566">
        <v>11</v>
      </c>
    </row>
    <row r="120" spans="1:32" s="1566" customFormat="1" ht="11.45" customHeight="1">
      <c r="A120" s="915"/>
      <c r="B120" s="1561"/>
      <c r="C120" s="1561"/>
      <c r="D120" s="286"/>
      <c r="K120" s="1085"/>
      <c r="L120" s="1561"/>
      <c r="M120" s="1561"/>
      <c r="N120" s="1085"/>
      <c r="O120" s="1085"/>
      <c r="P120" s="1085"/>
      <c r="Q120" s="1085"/>
      <c r="R120" s="1561"/>
      <c r="S120" s="1085"/>
      <c r="T120" s="1085"/>
      <c r="U120" s="479"/>
      <c r="V120" s="1085"/>
      <c r="W120" s="1085"/>
      <c r="X120" s="1085"/>
      <c r="Y120" s="1085"/>
      <c r="Z120" s="1085"/>
      <c r="AA120" s="1557"/>
      <c r="AB120" s="501"/>
      <c r="AC120" s="501"/>
      <c r="AD120" s="501"/>
      <c r="AE120" s="501"/>
      <c r="AF120" s="1566">
        <v>11</v>
      </c>
    </row>
    <row r="121" spans="1:32" s="1566" customFormat="1" ht="11.45" customHeight="1">
      <c r="A121" s="915"/>
      <c r="B121" s="1561"/>
      <c r="C121" s="1561"/>
      <c r="D121" s="286"/>
      <c r="K121" s="1085"/>
      <c r="L121" s="1561"/>
      <c r="M121" s="1561"/>
      <c r="N121" s="1085"/>
      <c r="O121" s="1085"/>
      <c r="P121" s="1085"/>
      <c r="Q121" s="1085"/>
      <c r="R121" s="1561"/>
      <c r="S121" s="1085"/>
      <c r="T121" s="1085"/>
      <c r="U121" s="479"/>
      <c r="V121" s="1085"/>
      <c r="W121" s="1085"/>
      <c r="X121" s="1085"/>
      <c r="Y121" s="1085"/>
      <c r="Z121" s="1085"/>
      <c r="AA121" s="1557"/>
      <c r="AB121" s="501"/>
      <c r="AC121" s="501"/>
      <c r="AD121" s="501"/>
      <c r="AE121" s="501"/>
      <c r="AF121" s="1566">
        <v>11</v>
      </c>
    </row>
    <row r="122" spans="1:32" s="1566" customFormat="1" ht="11.45" customHeight="1">
      <c r="A122" s="915"/>
      <c r="B122" s="1561"/>
      <c r="C122" s="1561"/>
      <c r="D122" s="286"/>
      <c r="K122" s="1085"/>
      <c r="L122" s="1561"/>
      <c r="M122" s="1561"/>
      <c r="N122" s="1085"/>
      <c r="O122" s="1085"/>
      <c r="P122" s="1085"/>
      <c r="Q122" s="1085"/>
      <c r="R122" s="1561"/>
      <c r="S122" s="1085"/>
      <c r="T122" s="1085"/>
      <c r="U122" s="479"/>
      <c r="V122" s="1085"/>
      <c r="W122" s="1085"/>
      <c r="X122" s="1085"/>
      <c r="Y122" s="1085"/>
      <c r="Z122" s="1085"/>
      <c r="AA122" s="1557"/>
      <c r="AB122" s="501"/>
      <c r="AC122" s="501"/>
      <c r="AD122" s="501"/>
      <c r="AE122" s="501"/>
      <c r="AF122" s="1566">
        <v>11</v>
      </c>
    </row>
    <row r="123" spans="1:32" s="1566" customFormat="1" ht="11.45" customHeight="1">
      <c r="A123" s="915"/>
      <c r="B123" s="1561"/>
      <c r="C123" s="1561"/>
      <c r="D123" s="286"/>
      <c r="K123" s="1085"/>
      <c r="L123" s="1561"/>
      <c r="M123" s="1561"/>
      <c r="N123" s="1085"/>
      <c r="O123" s="1085"/>
      <c r="P123" s="1085"/>
      <c r="Q123" s="1085"/>
      <c r="R123" s="1561"/>
      <c r="S123" s="1085"/>
      <c r="T123" s="1085"/>
      <c r="U123" s="479"/>
      <c r="V123" s="1085"/>
      <c r="W123" s="1085"/>
      <c r="X123" s="1085"/>
      <c r="Y123" s="1085"/>
      <c r="Z123" s="1085"/>
      <c r="AA123" s="1557"/>
      <c r="AB123" s="501"/>
      <c r="AC123" s="501"/>
      <c r="AD123" s="501"/>
      <c r="AE123" s="501"/>
      <c r="AF123" s="1566">
        <v>11</v>
      </c>
    </row>
    <row r="124" spans="1:32" s="1566" customFormat="1" ht="11.45" customHeight="1">
      <c r="A124" s="915"/>
      <c r="B124" s="1561"/>
      <c r="C124" s="1561"/>
      <c r="D124" s="286"/>
      <c r="K124" s="1085"/>
      <c r="L124" s="1561"/>
      <c r="M124" s="1561"/>
      <c r="N124" s="1085"/>
      <c r="O124" s="1085"/>
      <c r="P124" s="1085"/>
      <c r="Q124" s="1085"/>
      <c r="R124" s="1561"/>
      <c r="S124" s="1085"/>
      <c r="T124" s="1085"/>
      <c r="U124" s="479"/>
      <c r="V124" s="1085"/>
      <c r="W124" s="1085"/>
      <c r="X124" s="1085"/>
      <c r="Y124" s="1085"/>
      <c r="Z124" s="1085"/>
      <c r="AA124" s="1557"/>
      <c r="AB124" s="501"/>
      <c r="AC124" s="501"/>
      <c r="AD124" s="501"/>
      <c r="AE124" s="501"/>
      <c r="AF124" s="1566">
        <v>11</v>
      </c>
    </row>
    <row r="125" spans="1:32" s="1566" customFormat="1" ht="11.45" customHeight="1">
      <c r="A125" s="915"/>
      <c r="B125" s="1561"/>
      <c r="C125" s="1561"/>
      <c r="D125" s="286"/>
      <c r="K125" s="1085"/>
      <c r="L125" s="1561"/>
      <c r="M125" s="1561"/>
      <c r="N125" s="1085"/>
      <c r="O125" s="1085"/>
      <c r="P125" s="1085"/>
      <c r="Q125" s="1085"/>
      <c r="R125" s="1561"/>
      <c r="S125" s="1085"/>
      <c r="T125" s="1085"/>
      <c r="U125" s="479"/>
      <c r="V125" s="1085"/>
      <c r="W125" s="1085"/>
      <c r="X125" s="1085"/>
      <c r="Y125" s="1085"/>
      <c r="Z125" s="1085"/>
      <c r="AA125" s="1557"/>
      <c r="AB125" s="501"/>
      <c r="AC125" s="501"/>
      <c r="AD125" s="501"/>
      <c r="AE125" s="501"/>
      <c r="AF125" s="1566">
        <v>11</v>
      </c>
    </row>
    <row r="126" spans="1:32" s="1566" customFormat="1" ht="11.45" customHeight="1">
      <c r="A126" s="915"/>
      <c r="B126" s="1561"/>
      <c r="C126" s="1561"/>
      <c r="D126" s="286"/>
      <c r="K126" s="1085"/>
      <c r="L126" s="1561"/>
      <c r="M126" s="1561"/>
      <c r="N126" s="1085"/>
      <c r="O126" s="1085"/>
      <c r="P126" s="1085"/>
      <c r="Q126" s="1085"/>
      <c r="R126" s="1561"/>
      <c r="S126" s="1085"/>
      <c r="T126" s="1085"/>
      <c r="U126" s="479"/>
      <c r="V126" s="1085"/>
      <c r="W126" s="1085"/>
      <c r="X126" s="1085"/>
      <c r="Y126" s="1085"/>
      <c r="Z126" s="1085"/>
      <c r="AA126" s="1557"/>
      <c r="AB126" s="501"/>
      <c r="AC126" s="501"/>
      <c r="AD126" s="501"/>
      <c r="AE126" s="501"/>
      <c r="AF126" s="1566">
        <v>11</v>
      </c>
    </row>
    <row r="127" spans="1:32" s="1566" customFormat="1" ht="11.45" customHeight="1">
      <c r="A127" s="915"/>
      <c r="B127" s="1561"/>
      <c r="C127" s="1561"/>
      <c r="D127" s="286"/>
      <c r="K127" s="1085"/>
      <c r="L127" s="1561"/>
      <c r="M127" s="1561"/>
      <c r="N127" s="1085"/>
      <c r="O127" s="1085"/>
      <c r="P127" s="1085"/>
      <c r="Q127" s="1085"/>
      <c r="R127" s="1561"/>
      <c r="S127" s="1085"/>
      <c r="T127" s="1085"/>
      <c r="U127" s="479"/>
      <c r="V127" s="1085"/>
      <c r="W127" s="1085"/>
      <c r="X127" s="1085"/>
      <c r="Y127" s="1085"/>
      <c r="Z127" s="1085"/>
      <c r="AA127" s="1557"/>
      <c r="AB127" s="501"/>
      <c r="AC127" s="501"/>
      <c r="AD127" s="501"/>
      <c r="AE127" s="501"/>
      <c r="AF127" s="1566">
        <v>11</v>
      </c>
    </row>
    <row r="128" spans="1:32" s="1566" customFormat="1" ht="11.45" customHeight="1">
      <c r="A128" s="915"/>
      <c r="B128" s="1561"/>
      <c r="C128" s="1561"/>
      <c r="D128" s="286"/>
      <c r="K128" s="1085"/>
      <c r="L128" s="1561"/>
      <c r="M128" s="1561"/>
      <c r="N128" s="1085"/>
      <c r="O128" s="1085"/>
      <c r="P128" s="1085"/>
      <c r="Q128" s="1085"/>
      <c r="R128" s="1561"/>
      <c r="S128" s="1085"/>
      <c r="T128" s="1085"/>
      <c r="U128" s="479"/>
      <c r="V128" s="1085"/>
      <c r="W128" s="1085"/>
      <c r="X128" s="1085"/>
      <c r="Y128" s="1085"/>
      <c r="Z128" s="1085"/>
      <c r="AA128" s="1557"/>
      <c r="AB128" s="501"/>
      <c r="AC128" s="501"/>
      <c r="AD128" s="501"/>
      <c r="AE128" s="501"/>
      <c r="AF128" s="1566">
        <v>11</v>
      </c>
    </row>
    <row r="129" spans="1:32" s="1566" customFormat="1" ht="11.45" customHeight="1">
      <c r="A129" s="915"/>
      <c r="B129" s="1561"/>
      <c r="C129" s="1561"/>
      <c r="D129" s="286"/>
      <c r="K129" s="1085"/>
      <c r="L129" s="1561"/>
      <c r="M129" s="1561"/>
      <c r="N129" s="1085"/>
      <c r="O129" s="1085"/>
      <c r="P129" s="1085"/>
      <c r="Q129" s="1085"/>
      <c r="R129" s="1561"/>
      <c r="S129" s="1085"/>
      <c r="T129" s="1085"/>
      <c r="U129" s="479"/>
      <c r="V129" s="1085"/>
      <c r="W129" s="1085"/>
      <c r="X129" s="1085"/>
      <c r="Y129" s="1085"/>
      <c r="Z129" s="1085"/>
      <c r="AA129" s="1557"/>
      <c r="AB129" s="501"/>
      <c r="AC129" s="501"/>
      <c r="AD129" s="501"/>
      <c r="AE129" s="501"/>
      <c r="AF129" s="1566">
        <v>11</v>
      </c>
    </row>
    <row r="130" spans="1:32" s="1566" customFormat="1" ht="11.45" customHeight="1">
      <c r="A130" s="915"/>
      <c r="B130" s="1561"/>
      <c r="C130" s="1561"/>
      <c r="D130" s="286"/>
      <c r="K130" s="1085"/>
      <c r="L130" s="1561"/>
      <c r="M130" s="1561"/>
      <c r="N130" s="1085"/>
      <c r="O130" s="1085"/>
      <c r="P130" s="1085"/>
      <c r="Q130" s="1085"/>
      <c r="R130" s="1561"/>
      <c r="S130" s="1085"/>
      <c r="T130" s="1085"/>
      <c r="U130" s="479"/>
      <c r="V130" s="1085"/>
      <c r="W130" s="1085"/>
      <c r="X130" s="1085"/>
      <c r="Y130" s="1085"/>
      <c r="Z130" s="1085"/>
      <c r="AA130" s="1557"/>
      <c r="AB130" s="501"/>
      <c r="AC130" s="501"/>
      <c r="AD130" s="501"/>
      <c r="AE130" s="501"/>
      <c r="AF130" s="1566">
        <v>11</v>
      </c>
    </row>
    <row r="131" spans="1:32" s="1566" customFormat="1" ht="11.45" customHeight="1">
      <c r="A131" s="915"/>
      <c r="B131" s="1561"/>
      <c r="C131" s="1561"/>
      <c r="D131" s="286"/>
      <c r="K131" s="1085"/>
      <c r="L131" s="1561"/>
      <c r="M131" s="1561"/>
      <c r="N131" s="1085"/>
      <c r="O131" s="1085"/>
      <c r="P131" s="1085"/>
      <c r="Q131" s="1085"/>
      <c r="R131" s="1561"/>
      <c r="S131" s="1085"/>
      <c r="T131" s="1085"/>
      <c r="U131" s="479"/>
      <c r="V131" s="1085"/>
      <c r="W131" s="1085"/>
      <c r="X131" s="1085"/>
      <c r="Y131" s="1085"/>
      <c r="Z131" s="1085"/>
      <c r="AA131" s="1557"/>
      <c r="AB131" s="501"/>
      <c r="AC131" s="501"/>
      <c r="AD131" s="501"/>
      <c r="AE131" s="501"/>
      <c r="AF131" s="1566">
        <v>11</v>
      </c>
    </row>
    <row r="132" spans="1:32" s="1566" customFormat="1" ht="11.45" customHeight="1">
      <c r="A132" s="915"/>
      <c r="B132" s="1561"/>
      <c r="C132" s="1561"/>
      <c r="D132" s="286"/>
      <c r="K132" s="1085"/>
      <c r="L132" s="1561"/>
      <c r="M132" s="1561"/>
      <c r="N132" s="1085"/>
      <c r="O132" s="1085"/>
      <c r="P132" s="1085"/>
      <c r="Q132" s="1085"/>
      <c r="R132" s="1561"/>
      <c r="S132" s="1085"/>
      <c r="T132" s="1085"/>
      <c r="U132" s="479"/>
      <c r="V132" s="1085"/>
      <c r="W132" s="1085"/>
      <c r="X132" s="1085"/>
      <c r="Y132" s="1085"/>
      <c r="Z132" s="1085"/>
      <c r="AA132" s="1557"/>
      <c r="AB132" s="501"/>
      <c r="AC132" s="501"/>
      <c r="AD132" s="501"/>
      <c r="AE132" s="501"/>
      <c r="AF132" s="1566">
        <v>11</v>
      </c>
    </row>
    <row r="133" spans="1:32" s="1566" customFormat="1" ht="11.45" customHeight="1">
      <c r="A133" s="915"/>
      <c r="B133" s="1561"/>
      <c r="C133" s="1561"/>
      <c r="D133" s="286"/>
      <c r="K133" s="1085"/>
      <c r="L133" s="1561"/>
      <c r="M133" s="1561"/>
      <c r="N133" s="1085"/>
      <c r="O133" s="1085"/>
      <c r="P133" s="1085"/>
      <c r="Q133" s="1085"/>
      <c r="R133" s="1561"/>
      <c r="S133" s="1085"/>
      <c r="T133" s="1085"/>
      <c r="U133" s="479"/>
      <c r="V133" s="1085"/>
      <c r="W133" s="1085"/>
      <c r="X133" s="1085"/>
      <c r="Y133" s="1085"/>
      <c r="Z133" s="1085"/>
      <c r="AA133" s="1557"/>
      <c r="AB133" s="501"/>
      <c r="AC133" s="501"/>
      <c r="AD133" s="501"/>
      <c r="AE133" s="501"/>
      <c r="AF133" s="1566">
        <v>11</v>
      </c>
    </row>
    <row r="134" spans="1:32" s="1566" customFormat="1" ht="11.45" customHeight="1">
      <c r="A134" s="915"/>
      <c r="B134" s="1561"/>
      <c r="C134" s="1561"/>
      <c r="D134" s="286"/>
      <c r="K134" s="1085"/>
      <c r="L134" s="1561"/>
      <c r="M134" s="1561"/>
      <c r="N134" s="1085"/>
      <c r="O134" s="1085"/>
      <c r="P134" s="1085"/>
      <c r="Q134" s="1085"/>
      <c r="R134" s="1561"/>
      <c r="S134" s="1085"/>
      <c r="T134" s="1085"/>
      <c r="U134" s="479"/>
      <c r="V134" s="1085"/>
      <c r="W134" s="1085"/>
      <c r="X134" s="1085"/>
      <c r="Y134" s="1085"/>
      <c r="Z134" s="1085"/>
      <c r="AA134" s="1557"/>
      <c r="AB134" s="501"/>
      <c r="AC134" s="501"/>
      <c r="AD134" s="501"/>
      <c r="AE134" s="501"/>
      <c r="AF134" s="1566">
        <v>11</v>
      </c>
    </row>
    <row r="135" spans="1:32" s="1566" customFormat="1" ht="11.45" customHeight="1">
      <c r="A135" s="915"/>
      <c r="B135" s="1561"/>
      <c r="C135" s="1561"/>
      <c r="D135" s="286"/>
      <c r="K135" s="1085"/>
      <c r="L135" s="1561"/>
      <c r="M135" s="1561"/>
      <c r="N135" s="1085"/>
      <c r="O135" s="1085"/>
      <c r="P135" s="1085"/>
      <c r="Q135" s="1085"/>
      <c r="R135" s="1561"/>
      <c r="S135" s="1085"/>
      <c r="T135" s="1085"/>
      <c r="U135" s="479"/>
      <c r="V135" s="1085"/>
      <c r="W135" s="1085"/>
      <c r="X135" s="1085"/>
      <c r="Y135" s="1085"/>
      <c r="Z135" s="1085"/>
      <c r="AA135" s="1557"/>
      <c r="AB135" s="501"/>
      <c r="AC135" s="501"/>
      <c r="AD135" s="501"/>
      <c r="AE135" s="501"/>
      <c r="AF135" s="1566">
        <v>11</v>
      </c>
    </row>
    <row r="136" spans="1:32" s="1566" customFormat="1" ht="11.45" customHeight="1">
      <c r="A136" s="915"/>
      <c r="B136" s="1561"/>
      <c r="C136" s="1561"/>
      <c r="D136" s="286"/>
      <c r="K136" s="1085"/>
      <c r="L136" s="1561"/>
      <c r="M136" s="1561"/>
      <c r="N136" s="1085"/>
      <c r="O136" s="1085"/>
      <c r="P136" s="1085"/>
      <c r="Q136" s="1085"/>
      <c r="R136" s="1561"/>
      <c r="S136" s="1085"/>
      <c r="T136" s="1085"/>
      <c r="U136" s="479"/>
      <c r="V136" s="1085"/>
      <c r="W136" s="1085"/>
      <c r="X136" s="1085"/>
      <c r="Y136" s="1085"/>
      <c r="Z136" s="1085"/>
      <c r="AA136" s="1557"/>
      <c r="AB136" s="501"/>
      <c r="AC136" s="501"/>
      <c r="AD136" s="501"/>
      <c r="AE136" s="501"/>
      <c r="AF136" s="1566">
        <v>11</v>
      </c>
    </row>
    <row r="137" spans="1:32" s="1566" customFormat="1" ht="11.45" customHeight="1">
      <c r="A137" s="915"/>
      <c r="B137" s="1561"/>
      <c r="C137" s="1561"/>
      <c r="D137" s="286"/>
      <c r="K137" s="1085"/>
      <c r="L137" s="1561"/>
      <c r="M137" s="1561"/>
      <c r="N137" s="1085"/>
      <c r="O137" s="1085"/>
      <c r="P137" s="1085"/>
      <c r="Q137" s="1085"/>
      <c r="R137" s="1561"/>
      <c r="S137" s="1085"/>
      <c r="T137" s="1085"/>
      <c r="U137" s="479"/>
      <c r="V137" s="1085"/>
      <c r="W137" s="1085"/>
      <c r="X137" s="1085"/>
      <c r="Y137" s="1085"/>
      <c r="Z137" s="1085"/>
      <c r="AA137" s="1557"/>
      <c r="AB137" s="501"/>
      <c r="AC137" s="501"/>
      <c r="AD137" s="501"/>
      <c r="AE137" s="501"/>
      <c r="AF137" s="1566">
        <v>11</v>
      </c>
    </row>
    <row r="138" spans="1:32" s="1566" customFormat="1" ht="11.45" customHeight="1">
      <c r="A138" s="915"/>
      <c r="B138" s="1561"/>
      <c r="C138" s="1561"/>
      <c r="D138" s="286"/>
      <c r="K138" s="1085"/>
      <c r="L138" s="1561"/>
      <c r="M138" s="1561"/>
      <c r="N138" s="1085"/>
      <c r="O138" s="1085"/>
      <c r="P138" s="1085"/>
      <c r="Q138" s="1085"/>
      <c r="R138" s="1561"/>
      <c r="S138" s="1085"/>
      <c r="T138" s="1085"/>
      <c r="U138" s="479"/>
      <c r="V138" s="1085"/>
      <c r="W138" s="1085"/>
      <c r="X138" s="1085"/>
      <c r="Y138" s="1085"/>
      <c r="Z138" s="1085"/>
      <c r="AA138" s="1557"/>
      <c r="AB138" s="501"/>
      <c r="AC138" s="501"/>
      <c r="AD138" s="501"/>
      <c r="AE138" s="501"/>
      <c r="AF138" s="1566">
        <v>11</v>
      </c>
    </row>
    <row r="139" spans="1:32" s="1566" customFormat="1" ht="11.45" customHeight="1">
      <c r="A139" s="915"/>
      <c r="B139" s="1561"/>
      <c r="C139" s="1561"/>
      <c r="D139" s="286"/>
      <c r="K139" s="1085"/>
      <c r="L139" s="1561"/>
      <c r="M139" s="1561"/>
      <c r="N139" s="1085"/>
      <c r="O139" s="1085"/>
      <c r="P139" s="1085"/>
      <c r="Q139" s="1085"/>
      <c r="R139" s="1561"/>
      <c r="S139" s="1085"/>
      <c r="T139" s="1085"/>
      <c r="U139" s="479"/>
      <c r="V139" s="1085"/>
      <c r="W139" s="1085"/>
      <c r="X139" s="1085"/>
      <c r="Y139" s="1085"/>
      <c r="Z139" s="1085"/>
      <c r="AA139" s="1557"/>
      <c r="AB139" s="501"/>
      <c r="AC139" s="501"/>
      <c r="AD139" s="501"/>
      <c r="AE139" s="501"/>
      <c r="AF139" s="1566">
        <v>11</v>
      </c>
    </row>
    <row r="140" spans="1:32" s="1566" customFormat="1" ht="11.45" customHeight="1">
      <c r="A140" s="915"/>
      <c r="B140" s="1561"/>
      <c r="C140" s="1561"/>
      <c r="D140" s="286"/>
      <c r="K140" s="1085"/>
      <c r="L140" s="1561"/>
      <c r="M140" s="1561"/>
      <c r="N140" s="1085"/>
      <c r="O140" s="1085"/>
      <c r="P140" s="1085"/>
      <c r="Q140" s="1085"/>
      <c r="R140" s="1561"/>
      <c r="S140" s="1085"/>
      <c r="T140" s="1085"/>
      <c r="U140" s="479"/>
      <c r="V140" s="1085"/>
      <c r="W140" s="1085"/>
      <c r="X140" s="1085"/>
      <c r="Y140" s="1085"/>
      <c r="Z140" s="1085"/>
      <c r="AA140" s="1557"/>
      <c r="AB140" s="501"/>
      <c r="AC140" s="501"/>
      <c r="AD140" s="501"/>
      <c r="AE140" s="501"/>
      <c r="AF140" s="1566">
        <v>11</v>
      </c>
    </row>
    <row r="141" spans="1:32" s="1566" customFormat="1" ht="11.45" customHeight="1">
      <c r="A141" s="915"/>
      <c r="B141" s="1561"/>
      <c r="C141" s="1561"/>
      <c r="D141" s="286"/>
      <c r="K141" s="1085"/>
      <c r="L141" s="1561"/>
      <c r="M141" s="1561"/>
      <c r="N141" s="1085"/>
      <c r="O141" s="1085"/>
      <c r="P141" s="1085"/>
      <c r="Q141" s="1085"/>
      <c r="R141" s="1561"/>
      <c r="S141" s="1085"/>
      <c r="T141" s="1085"/>
      <c r="U141" s="479"/>
      <c r="V141" s="1085"/>
      <c r="W141" s="1085"/>
      <c r="X141" s="1085"/>
      <c r="Y141" s="1085"/>
      <c r="Z141" s="1085"/>
      <c r="AA141" s="1557"/>
      <c r="AB141" s="501"/>
      <c r="AC141" s="501"/>
      <c r="AD141" s="501"/>
      <c r="AE141" s="501"/>
      <c r="AF141" s="1566">
        <v>11</v>
      </c>
    </row>
    <row r="142" spans="1:32" s="1566" customFormat="1" ht="11.45" customHeight="1">
      <c r="A142" s="915"/>
      <c r="B142" s="1561"/>
      <c r="C142" s="1561"/>
      <c r="D142" s="286"/>
      <c r="K142" s="1085"/>
      <c r="L142" s="1561"/>
      <c r="M142" s="1561"/>
      <c r="N142" s="1085"/>
      <c r="O142" s="1085"/>
      <c r="P142" s="1085"/>
      <c r="Q142" s="1085"/>
      <c r="R142" s="1561"/>
      <c r="S142" s="1085"/>
      <c r="T142" s="1085"/>
      <c r="U142" s="479"/>
      <c r="V142" s="1085"/>
      <c r="W142" s="1085"/>
      <c r="X142" s="1085"/>
      <c r="Y142" s="1085"/>
      <c r="Z142" s="1085"/>
      <c r="AA142" s="1557"/>
      <c r="AB142" s="501"/>
      <c r="AC142" s="501"/>
      <c r="AD142" s="501"/>
      <c r="AE142" s="501"/>
      <c r="AF142" s="1566">
        <v>11</v>
      </c>
    </row>
    <row r="143" spans="1:32" s="1566" customFormat="1" ht="11.45" customHeight="1">
      <c r="A143" s="915"/>
      <c r="B143" s="1561"/>
      <c r="C143" s="1561"/>
      <c r="D143" s="286"/>
      <c r="K143" s="1085"/>
      <c r="L143" s="1561"/>
      <c r="M143" s="1561"/>
      <c r="N143" s="1085"/>
      <c r="O143" s="1085"/>
      <c r="P143" s="1085"/>
      <c r="Q143" s="1085"/>
      <c r="R143" s="1561"/>
      <c r="S143" s="1085"/>
      <c r="T143" s="1085"/>
      <c r="U143" s="479"/>
      <c r="V143" s="1085"/>
      <c r="W143" s="1085"/>
      <c r="X143" s="1085"/>
      <c r="Y143" s="1085"/>
      <c r="Z143" s="1085"/>
      <c r="AA143" s="1557"/>
      <c r="AB143" s="501"/>
      <c r="AC143" s="501"/>
      <c r="AD143" s="501"/>
      <c r="AE143" s="501"/>
      <c r="AF143" s="1566">
        <v>11</v>
      </c>
    </row>
    <row r="144" spans="1:32" s="1566" customFormat="1" ht="11.45" customHeight="1">
      <c r="A144" s="915"/>
      <c r="B144" s="1561"/>
      <c r="C144" s="1561"/>
      <c r="D144" s="286"/>
      <c r="K144" s="1085"/>
      <c r="L144" s="1561"/>
      <c r="M144" s="1561"/>
      <c r="N144" s="1085"/>
      <c r="O144" s="1085"/>
      <c r="P144" s="1085"/>
      <c r="Q144" s="1085"/>
      <c r="R144" s="1561"/>
      <c r="S144" s="1085"/>
      <c r="T144" s="1085"/>
      <c r="U144" s="479"/>
      <c r="V144" s="1085"/>
      <c r="W144" s="1085"/>
      <c r="X144" s="1085"/>
      <c r="Y144" s="1085"/>
      <c r="Z144" s="1085"/>
      <c r="AA144" s="1557"/>
      <c r="AB144" s="501"/>
      <c r="AC144" s="501"/>
      <c r="AD144" s="501"/>
      <c r="AE144" s="501"/>
      <c r="AF144" s="1566">
        <v>11</v>
      </c>
    </row>
    <row r="145" spans="1:32" s="1566" customFormat="1" ht="11.45" customHeight="1">
      <c r="A145" s="915"/>
      <c r="B145" s="1561"/>
      <c r="C145" s="1561"/>
      <c r="D145" s="286"/>
      <c r="K145" s="1085"/>
      <c r="L145" s="1561"/>
      <c r="M145" s="1561"/>
      <c r="N145" s="1085"/>
      <c r="O145" s="1085"/>
      <c r="P145" s="1085"/>
      <c r="Q145" s="1085"/>
      <c r="R145" s="1561"/>
      <c r="S145" s="1085"/>
      <c r="T145" s="1085"/>
      <c r="U145" s="479"/>
      <c r="V145" s="1085"/>
      <c r="W145" s="1085"/>
      <c r="X145" s="1085"/>
      <c r="Y145" s="1085"/>
      <c r="Z145" s="1085"/>
      <c r="AA145" s="1557"/>
      <c r="AB145" s="501"/>
      <c r="AC145" s="501"/>
      <c r="AD145" s="501"/>
      <c r="AE145" s="501"/>
      <c r="AF145" s="1566">
        <v>11</v>
      </c>
    </row>
    <row r="146" spans="1:32" s="1566" customFormat="1" ht="11.45" customHeight="1">
      <c r="A146" s="915"/>
      <c r="B146" s="1561"/>
      <c r="C146" s="1561"/>
      <c r="D146" s="286"/>
      <c r="K146" s="1085"/>
      <c r="L146" s="1561"/>
      <c r="M146" s="1561"/>
      <c r="N146" s="1085"/>
      <c r="O146" s="1085"/>
      <c r="P146" s="1085"/>
      <c r="Q146" s="1085"/>
      <c r="R146" s="1561"/>
      <c r="S146" s="1085"/>
      <c r="T146" s="1085"/>
      <c r="U146" s="479"/>
      <c r="V146" s="1085"/>
      <c r="W146" s="1085"/>
      <c r="X146" s="1085"/>
      <c r="Y146" s="1085"/>
      <c r="Z146" s="1085"/>
      <c r="AA146" s="1557"/>
      <c r="AB146" s="501"/>
      <c r="AC146" s="501"/>
      <c r="AD146" s="501"/>
      <c r="AE146" s="501"/>
      <c r="AF146" s="1566">
        <v>11</v>
      </c>
    </row>
    <row r="147" spans="1:32" s="1566" customFormat="1" ht="11.45" customHeight="1">
      <c r="A147" s="915"/>
      <c r="B147" s="1561"/>
      <c r="C147" s="1561"/>
      <c r="D147" s="286"/>
      <c r="K147" s="1085"/>
      <c r="L147" s="1561"/>
      <c r="M147" s="1561"/>
      <c r="N147" s="1085"/>
      <c r="O147" s="1085"/>
      <c r="P147" s="1085"/>
      <c r="Q147" s="1085"/>
      <c r="R147" s="1561"/>
      <c r="S147" s="1085"/>
      <c r="T147" s="1085"/>
      <c r="U147" s="479"/>
      <c r="V147" s="1085"/>
      <c r="W147" s="1085"/>
      <c r="X147" s="1085"/>
      <c r="Y147" s="1085"/>
      <c r="Z147" s="1085"/>
      <c r="AA147" s="1557"/>
      <c r="AB147" s="501"/>
      <c r="AC147" s="501"/>
      <c r="AD147" s="501"/>
      <c r="AE147" s="501"/>
      <c r="AF147" s="1566">
        <v>11</v>
      </c>
    </row>
    <row r="148" spans="1:32" s="1566" customFormat="1" ht="11.45" customHeight="1">
      <c r="A148" s="915"/>
      <c r="B148" s="1561"/>
      <c r="C148" s="1561"/>
      <c r="D148" s="286"/>
      <c r="K148" s="1085"/>
      <c r="L148" s="1561"/>
      <c r="M148" s="1561"/>
      <c r="N148" s="1085"/>
      <c r="O148" s="1085"/>
      <c r="P148" s="1085"/>
      <c r="Q148" s="1085"/>
      <c r="R148" s="1561"/>
      <c r="S148" s="1085"/>
      <c r="T148" s="1085"/>
      <c r="U148" s="479"/>
      <c r="V148" s="1085"/>
      <c r="W148" s="1085"/>
      <c r="X148" s="1085"/>
      <c r="Y148" s="1085"/>
      <c r="Z148" s="1085"/>
      <c r="AA148" s="1557"/>
      <c r="AB148" s="501"/>
      <c r="AC148" s="501"/>
      <c r="AD148" s="501"/>
      <c r="AE148" s="501"/>
      <c r="AF148" s="1566">
        <v>11</v>
      </c>
    </row>
    <row r="149" spans="1:32" s="1566" customFormat="1" ht="11.45" customHeight="1">
      <c r="A149" s="915"/>
      <c r="B149" s="1561"/>
      <c r="C149" s="1561"/>
      <c r="D149" s="286"/>
      <c r="K149" s="1085"/>
      <c r="L149" s="1561"/>
      <c r="M149" s="1561"/>
      <c r="N149" s="1085"/>
      <c r="O149" s="1085"/>
      <c r="P149" s="1085"/>
      <c r="Q149" s="1085"/>
      <c r="R149" s="1561"/>
      <c r="S149" s="1085"/>
      <c r="T149" s="1085"/>
      <c r="U149" s="479"/>
      <c r="V149" s="1085"/>
      <c r="W149" s="1085"/>
      <c r="X149" s="1085"/>
      <c r="Y149" s="1085"/>
      <c r="Z149" s="1085"/>
      <c r="AA149" s="1557"/>
      <c r="AB149" s="501"/>
      <c r="AC149" s="501"/>
      <c r="AD149" s="501"/>
      <c r="AE149" s="501"/>
      <c r="AF149" s="1566">
        <v>11</v>
      </c>
    </row>
    <row r="150" spans="1:32" s="1566" customFormat="1" ht="11.45" customHeight="1">
      <c r="A150" s="915"/>
      <c r="B150" s="1561"/>
      <c r="C150" s="1561"/>
      <c r="D150" s="286"/>
      <c r="K150" s="1085"/>
      <c r="L150" s="1561"/>
      <c r="M150" s="1561"/>
      <c r="N150" s="1085"/>
      <c r="O150" s="1085"/>
      <c r="P150" s="1085"/>
      <c r="Q150" s="1085"/>
      <c r="R150" s="1561"/>
      <c r="S150" s="1085"/>
      <c r="T150" s="1085"/>
      <c r="U150" s="479"/>
      <c r="V150" s="1085"/>
      <c r="W150" s="1085"/>
      <c r="X150" s="1085"/>
      <c r="Y150" s="1085"/>
      <c r="Z150" s="1085"/>
      <c r="AA150" s="1557"/>
      <c r="AB150" s="501"/>
      <c r="AC150" s="501"/>
      <c r="AD150" s="501"/>
      <c r="AE150" s="501"/>
      <c r="AF150" s="1566">
        <v>11</v>
      </c>
    </row>
    <row r="151" spans="1:32" s="1566" customFormat="1" ht="11.45" customHeight="1">
      <c r="A151" s="915"/>
      <c r="B151" s="1561"/>
      <c r="C151" s="1561"/>
      <c r="D151" s="286"/>
      <c r="K151" s="1085"/>
      <c r="L151" s="1561"/>
      <c r="M151" s="1561"/>
      <c r="N151" s="1085"/>
      <c r="O151" s="1085"/>
      <c r="P151" s="1085"/>
      <c r="Q151" s="1085"/>
      <c r="R151" s="1561"/>
      <c r="S151" s="1085"/>
      <c r="T151" s="1085"/>
      <c r="U151" s="479"/>
      <c r="V151" s="1085"/>
      <c r="W151" s="1085"/>
      <c r="X151" s="1085"/>
      <c r="Y151" s="1085"/>
      <c r="Z151" s="1085"/>
      <c r="AA151" s="1557"/>
      <c r="AB151" s="501"/>
      <c r="AC151" s="501"/>
      <c r="AD151" s="501"/>
      <c r="AE151" s="501"/>
      <c r="AF151" s="1566">
        <v>11</v>
      </c>
    </row>
    <row r="152" spans="1:32" s="1566" customFormat="1" ht="11.45" customHeight="1">
      <c r="A152" s="915"/>
      <c r="B152" s="1561"/>
      <c r="C152" s="1561"/>
      <c r="D152" s="286"/>
      <c r="K152" s="1085"/>
      <c r="L152" s="1561"/>
      <c r="M152" s="1561"/>
      <c r="N152" s="1085"/>
      <c r="O152" s="1085"/>
      <c r="P152" s="1085"/>
      <c r="Q152" s="1085"/>
      <c r="R152" s="1561"/>
      <c r="S152" s="1085"/>
      <c r="T152" s="1085"/>
      <c r="U152" s="479"/>
      <c r="V152" s="1085"/>
      <c r="W152" s="1085"/>
      <c r="X152" s="1085"/>
      <c r="Y152" s="1085"/>
      <c r="Z152" s="1085"/>
      <c r="AA152" s="1557"/>
      <c r="AB152" s="501"/>
      <c r="AC152" s="501"/>
      <c r="AD152" s="501"/>
      <c r="AE152" s="501"/>
      <c r="AF152" s="1566">
        <v>11</v>
      </c>
    </row>
    <row r="153" spans="1:32" s="1566" customFormat="1" ht="11.45" customHeight="1">
      <c r="A153" s="915"/>
      <c r="B153" s="1561"/>
      <c r="C153" s="1561"/>
      <c r="D153" s="286"/>
      <c r="K153" s="1085"/>
      <c r="L153" s="1561"/>
      <c r="M153" s="1561"/>
      <c r="N153" s="1085"/>
      <c r="O153" s="1085"/>
      <c r="P153" s="1085"/>
      <c r="Q153" s="1085"/>
      <c r="R153" s="1561"/>
      <c r="S153" s="1085"/>
      <c r="T153" s="1085"/>
      <c r="U153" s="479"/>
      <c r="V153" s="1085"/>
      <c r="W153" s="1085"/>
      <c r="X153" s="1085"/>
      <c r="Y153" s="1085"/>
      <c r="Z153" s="1085"/>
      <c r="AA153" s="1557"/>
      <c r="AB153" s="501"/>
      <c r="AC153" s="501"/>
      <c r="AD153" s="501"/>
      <c r="AE153" s="501"/>
      <c r="AF153" s="1566">
        <v>11</v>
      </c>
    </row>
    <row r="154" spans="1:32" s="1566" customFormat="1" ht="11.45" customHeight="1">
      <c r="A154" s="915"/>
      <c r="B154" s="1561"/>
      <c r="C154" s="1561"/>
      <c r="D154" s="286"/>
      <c r="K154" s="1085"/>
      <c r="L154" s="1561"/>
      <c r="M154" s="1561"/>
      <c r="N154" s="1085"/>
      <c r="O154" s="1085"/>
      <c r="P154" s="1085"/>
      <c r="Q154" s="1085"/>
      <c r="R154" s="1561"/>
      <c r="S154" s="1085"/>
      <c r="T154" s="1085"/>
      <c r="U154" s="479"/>
      <c r="V154" s="1085"/>
      <c r="W154" s="1085"/>
      <c r="X154" s="1085"/>
      <c r="Y154" s="1085"/>
      <c r="Z154" s="1085"/>
      <c r="AA154" s="1557"/>
      <c r="AB154" s="501"/>
      <c r="AC154" s="501"/>
      <c r="AD154" s="501"/>
      <c r="AE154" s="501"/>
      <c r="AF154" s="1566">
        <v>11</v>
      </c>
    </row>
    <row r="155" spans="1:32" s="1566" customFormat="1" ht="11.45" customHeight="1">
      <c r="A155" s="915"/>
      <c r="B155" s="1561"/>
      <c r="C155" s="1561"/>
      <c r="D155" s="286"/>
      <c r="K155" s="1085"/>
      <c r="L155" s="1561"/>
      <c r="M155" s="1561"/>
      <c r="N155" s="1085"/>
      <c r="O155" s="1085"/>
      <c r="P155" s="1085"/>
      <c r="Q155" s="1085"/>
      <c r="R155" s="1561"/>
      <c r="S155" s="1085"/>
      <c r="T155" s="1085"/>
      <c r="U155" s="479"/>
      <c r="V155" s="1085"/>
      <c r="W155" s="1085"/>
      <c r="X155" s="1085"/>
      <c r="Y155" s="1085"/>
      <c r="Z155" s="1085"/>
      <c r="AA155" s="1557"/>
      <c r="AB155" s="501"/>
      <c r="AC155" s="501"/>
      <c r="AD155" s="501"/>
      <c r="AE155" s="501"/>
      <c r="AF155" s="1566">
        <v>11</v>
      </c>
    </row>
    <row r="156" spans="1:32" s="1566" customFormat="1" ht="11.45" customHeight="1">
      <c r="A156" s="915"/>
      <c r="B156" s="1561"/>
      <c r="C156" s="1561"/>
      <c r="D156" s="286"/>
      <c r="K156" s="1085"/>
      <c r="L156" s="1561"/>
      <c r="M156" s="1561"/>
      <c r="N156" s="1085"/>
      <c r="O156" s="1085"/>
      <c r="P156" s="1085"/>
      <c r="Q156" s="1085"/>
      <c r="R156" s="1561"/>
      <c r="S156" s="1085"/>
      <c r="T156" s="1085"/>
      <c r="U156" s="479"/>
      <c r="V156" s="1085"/>
      <c r="W156" s="1085"/>
      <c r="X156" s="1085"/>
      <c r="Y156" s="1085"/>
      <c r="Z156" s="1085"/>
      <c r="AA156" s="1557"/>
      <c r="AB156" s="501"/>
      <c r="AC156" s="501"/>
      <c r="AD156" s="501"/>
      <c r="AE156" s="501"/>
      <c r="AF156" s="1566">
        <v>11</v>
      </c>
    </row>
    <row r="157" spans="1:32" s="1566" customFormat="1" ht="11.45" customHeight="1">
      <c r="A157" s="915"/>
      <c r="B157" s="1561"/>
      <c r="C157" s="1561"/>
      <c r="D157" s="286"/>
      <c r="K157" s="1085"/>
      <c r="L157" s="1561"/>
      <c r="M157" s="1561"/>
      <c r="N157" s="1085"/>
      <c r="O157" s="1085"/>
      <c r="P157" s="1085"/>
      <c r="Q157" s="1085"/>
      <c r="R157" s="1561"/>
      <c r="S157" s="1085"/>
      <c r="T157" s="1085"/>
      <c r="U157" s="479"/>
      <c r="V157" s="1085"/>
      <c r="W157" s="1085"/>
      <c r="X157" s="1085"/>
      <c r="Y157" s="1085"/>
      <c r="Z157" s="1085"/>
      <c r="AA157" s="1557"/>
      <c r="AB157" s="501"/>
      <c r="AC157" s="501"/>
      <c r="AD157" s="501"/>
      <c r="AE157" s="501"/>
      <c r="AF157" s="1566">
        <v>11</v>
      </c>
    </row>
    <row r="158" spans="1:32" s="1566" customFormat="1" ht="11.45" customHeight="1">
      <c r="A158" s="915"/>
      <c r="B158" s="1561"/>
      <c r="C158" s="1561"/>
      <c r="D158" s="286"/>
      <c r="K158" s="1085"/>
      <c r="L158" s="1561"/>
      <c r="M158" s="1561"/>
      <c r="N158" s="1085"/>
      <c r="O158" s="1085"/>
      <c r="P158" s="1085"/>
      <c r="Q158" s="1085"/>
      <c r="R158" s="1561"/>
      <c r="S158" s="1085"/>
      <c r="T158" s="1085"/>
      <c r="U158" s="479"/>
      <c r="V158" s="1085"/>
      <c r="W158" s="1085"/>
      <c r="X158" s="1085"/>
      <c r="Y158" s="1085"/>
      <c r="Z158" s="1085"/>
      <c r="AA158" s="1557"/>
      <c r="AB158" s="501"/>
      <c r="AC158" s="501"/>
      <c r="AD158" s="501"/>
      <c r="AE158" s="501"/>
      <c r="AF158" s="1566">
        <v>11</v>
      </c>
    </row>
    <row r="159" spans="1:32" s="1566" customFormat="1" ht="11.45" customHeight="1">
      <c r="A159" s="915"/>
      <c r="B159" s="1561"/>
      <c r="C159" s="1561"/>
      <c r="D159" s="286"/>
      <c r="K159" s="1085"/>
      <c r="L159" s="1561"/>
      <c r="M159" s="1561"/>
      <c r="N159" s="1085"/>
      <c r="O159" s="1085"/>
      <c r="P159" s="1085"/>
      <c r="Q159" s="1085"/>
      <c r="R159" s="1561"/>
      <c r="S159" s="1085"/>
      <c r="T159" s="1085"/>
      <c r="U159" s="479"/>
      <c r="V159" s="1085"/>
      <c r="W159" s="1085"/>
      <c r="X159" s="1085"/>
      <c r="Y159" s="1085"/>
      <c r="Z159" s="1085"/>
      <c r="AA159" s="1557"/>
      <c r="AB159" s="501"/>
      <c r="AC159" s="501"/>
      <c r="AD159" s="501"/>
      <c r="AE159" s="501"/>
      <c r="AF159" s="1566">
        <v>11</v>
      </c>
    </row>
    <row r="160" spans="1:32" s="1566" customFormat="1" ht="11.45" customHeight="1">
      <c r="A160" s="915"/>
      <c r="B160" s="1561"/>
      <c r="C160" s="1561"/>
      <c r="D160" s="286"/>
      <c r="K160" s="1085"/>
      <c r="L160" s="1561"/>
      <c r="M160" s="1561"/>
      <c r="N160" s="1085"/>
      <c r="O160" s="1085"/>
      <c r="P160" s="1085"/>
      <c r="Q160" s="1085"/>
      <c r="R160" s="1561"/>
      <c r="S160" s="1085"/>
      <c r="T160" s="1085"/>
      <c r="U160" s="479"/>
      <c r="V160" s="1085"/>
      <c r="W160" s="1085"/>
      <c r="X160" s="1085"/>
      <c r="Y160" s="1085"/>
      <c r="Z160" s="1085"/>
      <c r="AA160" s="1557"/>
      <c r="AB160" s="501"/>
      <c r="AC160" s="501"/>
      <c r="AD160" s="501"/>
      <c r="AE160" s="501"/>
      <c r="AF160" s="1566">
        <v>11</v>
      </c>
    </row>
    <row r="161" spans="1:32" s="1566" customFormat="1" ht="11.45" customHeight="1">
      <c r="A161" s="915"/>
      <c r="B161" s="1561"/>
      <c r="C161" s="1561"/>
      <c r="D161" s="286"/>
      <c r="K161" s="1085"/>
      <c r="L161" s="1561"/>
      <c r="M161" s="1561"/>
      <c r="N161" s="1085"/>
      <c r="O161" s="1085"/>
      <c r="P161" s="1085"/>
      <c r="Q161" s="1085"/>
      <c r="R161" s="1561"/>
      <c r="S161" s="1085"/>
      <c r="T161" s="1085"/>
      <c r="U161" s="479"/>
      <c r="V161" s="1085"/>
      <c r="W161" s="1085"/>
      <c r="X161" s="1085"/>
      <c r="Y161" s="1085"/>
      <c r="Z161" s="1085"/>
      <c r="AA161" s="1557"/>
      <c r="AB161" s="501"/>
      <c r="AC161" s="501"/>
      <c r="AD161" s="501"/>
      <c r="AE161" s="501"/>
      <c r="AF161" s="1566">
        <v>11</v>
      </c>
    </row>
    <row r="162" spans="1:32" s="1566" customFormat="1" ht="11.45" customHeight="1">
      <c r="A162" s="915"/>
      <c r="B162" s="1561"/>
      <c r="C162" s="1561"/>
      <c r="D162" s="286"/>
      <c r="K162" s="1085"/>
      <c r="L162" s="1561"/>
      <c r="M162" s="1561"/>
      <c r="N162" s="1085"/>
      <c r="O162" s="1085"/>
      <c r="P162" s="1085"/>
      <c r="Q162" s="1085"/>
      <c r="R162" s="1561"/>
      <c r="S162" s="1085"/>
      <c r="T162" s="1085"/>
      <c r="U162" s="479"/>
      <c r="V162" s="1085"/>
      <c r="W162" s="1085"/>
      <c r="X162" s="1085"/>
      <c r="Y162" s="1085"/>
      <c r="Z162" s="1085"/>
      <c r="AA162" s="1557"/>
      <c r="AB162" s="501"/>
      <c r="AC162" s="501"/>
      <c r="AD162" s="501"/>
      <c r="AE162" s="501"/>
      <c r="AF162" s="1566">
        <v>11</v>
      </c>
    </row>
    <row r="163" spans="1:32" s="1566" customFormat="1" ht="11.45" customHeight="1">
      <c r="A163" s="915"/>
      <c r="B163" s="1561"/>
      <c r="C163" s="1561"/>
      <c r="D163" s="286"/>
      <c r="K163" s="1085"/>
      <c r="L163" s="1561"/>
      <c r="M163" s="1561"/>
      <c r="N163" s="1085"/>
      <c r="O163" s="1085"/>
      <c r="P163" s="1085"/>
      <c r="Q163" s="1085"/>
      <c r="R163" s="1561"/>
      <c r="S163" s="1085"/>
      <c r="T163" s="1085"/>
      <c r="U163" s="479"/>
      <c r="V163" s="1085"/>
      <c r="W163" s="1085"/>
      <c r="X163" s="1085"/>
      <c r="Y163" s="1085"/>
      <c r="Z163" s="1085"/>
      <c r="AA163" s="1557"/>
      <c r="AB163" s="501"/>
      <c r="AC163" s="501"/>
      <c r="AD163" s="501"/>
      <c r="AE163" s="501"/>
      <c r="AF163" s="1566">
        <v>11</v>
      </c>
    </row>
    <row r="164" spans="1:32" s="1566" customFormat="1" ht="11.45" customHeight="1">
      <c r="A164" s="915"/>
      <c r="B164" s="1561"/>
      <c r="C164" s="1561"/>
      <c r="D164" s="286"/>
      <c r="K164" s="1085"/>
      <c r="L164" s="1561"/>
      <c r="M164" s="1561"/>
      <c r="N164" s="1085"/>
      <c r="O164" s="1085"/>
      <c r="P164" s="1085"/>
      <c r="Q164" s="1085"/>
      <c r="R164" s="1561"/>
      <c r="S164" s="1085"/>
      <c r="T164" s="1085"/>
      <c r="U164" s="479"/>
      <c r="V164" s="1085"/>
      <c r="W164" s="1085"/>
      <c r="X164" s="1085"/>
      <c r="Y164" s="1085"/>
      <c r="Z164" s="1085"/>
      <c r="AA164" s="1557"/>
      <c r="AB164" s="501"/>
      <c r="AC164" s="501"/>
      <c r="AD164" s="501"/>
      <c r="AE164" s="501"/>
      <c r="AF164" s="1566">
        <v>11</v>
      </c>
    </row>
    <row r="165" spans="1:32" s="1566" customFormat="1" ht="11.45" customHeight="1">
      <c r="A165" s="915"/>
      <c r="B165" s="1561"/>
      <c r="C165" s="1561"/>
      <c r="D165" s="286"/>
      <c r="K165" s="1085"/>
      <c r="L165" s="1561"/>
      <c r="M165" s="1561"/>
      <c r="N165" s="1085"/>
      <c r="O165" s="1085"/>
      <c r="P165" s="1085"/>
      <c r="Q165" s="1085"/>
      <c r="R165" s="1561"/>
      <c r="S165" s="1085"/>
      <c r="T165" s="1085"/>
      <c r="U165" s="479"/>
      <c r="V165" s="1085"/>
      <c r="W165" s="1085"/>
      <c r="X165" s="1085"/>
      <c r="Y165" s="1085"/>
      <c r="Z165" s="1085"/>
      <c r="AA165" s="1557"/>
      <c r="AB165" s="501"/>
      <c r="AC165" s="501"/>
      <c r="AD165" s="501"/>
      <c r="AE165" s="501"/>
      <c r="AF165" s="1566">
        <v>11</v>
      </c>
    </row>
    <row r="166" spans="1:32" s="1566" customFormat="1" ht="11.45" customHeight="1">
      <c r="A166" s="915"/>
      <c r="B166" s="1561"/>
      <c r="C166" s="1561"/>
      <c r="D166" s="286"/>
      <c r="K166" s="1085"/>
      <c r="L166" s="1561"/>
      <c r="M166" s="1561"/>
      <c r="N166" s="1085"/>
      <c r="O166" s="1085"/>
      <c r="P166" s="1085"/>
      <c r="Q166" s="1085"/>
      <c r="R166" s="1561"/>
      <c r="S166" s="1085"/>
      <c r="T166" s="1085"/>
      <c r="U166" s="479"/>
      <c r="V166" s="1085"/>
      <c r="W166" s="1085"/>
      <c r="X166" s="1085"/>
      <c r="Y166" s="1085"/>
      <c r="Z166" s="1085"/>
      <c r="AA166" s="1557"/>
      <c r="AB166" s="501"/>
      <c r="AC166" s="501"/>
      <c r="AD166" s="501"/>
      <c r="AE166" s="501"/>
      <c r="AF166" s="1566">
        <v>11</v>
      </c>
    </row>
    <row r="167" spans="1:32" s="1566" customFormat="1" ht="11.45" customHeight="1">
      <c r="A167" s="915"/>
      <c r="B167" s="1561"/>
      <c r="C167" s="1561"/>
      <c r="D167" s="286"/>
      <c r="K167" s="1085"/>
      <c r="L167" s="1561"/>
      <c r="M167" s="1561"/>
      <c r="N167" s="1085"/>
      <c r="O167" s="1085"/>
      <c r="P167" s="1085"/>
      <c r="Q167" s="1085"/>
      <c r="R167" s="1561"/>
      <c r="S167" s="1085"/>
      <c r="T167" s="1085"/>
      <c r="U167" s="479"/>
      <c r="V167" s="1085"/>
      <c r="W167" s="1085"/>
      <c r="X167" s="1085"/>
      <c r="Y167" s="1085"/>
      <c r="Z167" s="1085"/>
      <c r="AA167" s="1557"/>
      <c r="AB167" s="501"/>
      <c r="AC167" s="501"/>
      <c r="AD167" s="501"/>
      <c r="AE167" s="501"/>
      <c r="AF167" s="1566">
        <v>11</v>
      </c>
    </row>
    <row r="168" spans="1:32" s="1566" customFormat="1" ht="11.45" customHeight="1">
      <c r="A168" s="915"/>
      <c r="B168" s="1561"/>
      <c r="C168" s="1561"/>
      <c r="D168" s="286"/>
      <c r="K168" s="1085"/>
      <c r="L168" s="1561"/>
      <c r="M168" s="1561"/>
      <c r="N168" s="1085"/>
      <c r="O168" s="1085"/>
      <c r="P168" s="1085"/>
      <c r="Q168" s="1085"/>
      <c r="R168" s="1561"/>
      <c r="S168" s="1085"/>
      <c r="T168" s="1085"/>
      <c r="U168" s="479"/>
      <c r="V168" s="1085"/>
      <c r="W168" s="1085"/>
      <c r="X168" s="1085"/>
      <c r="Y168" s="1085"/>
      <c r="Z168" s="1085"/>
      <c r="AA168" s="1557"/>
      <c r="AB168" s="501"/>
      <c r="AC168" s="501"/>
      <c r="AD168" s="501"/>
      <c r="AE168" s="501"/>
      <c r="AF168" s="1566">
        <v>11</v>
      </c>
    </row>
    <row r="169" spans="1:32" s="1566" customFormat="1" ht="11.45" customHeight="1">
      <c r="A169" s="915"/>
      <c r="B169" s="1561"/>
      <c r="C169" s="1561"/>
      <c r="D169" s="286"/>
      <c r="K169" s="1085"/>
      <c r="L169" s="1561"/>
      <c r="M169" s="1561"/>
      <c r="N169" s="1085"/>
      <c r="O169" s="1085"/>
      <c r="P169" s="1085"/>
      <c r="Q169" s="1085"/>
      <c r="R169" s="1561"/>
      <c r="S169" s="1085"/>
      <c r="T169" s="1085"/>
      <c r="U169" s="479"/>
      <c r="V169" s="1085"/>
      <c r="W169" s="1085"/>
      <c r="X169" s="1085"/>
      <c r="Y169" s="1085"/>
      <c r="Z169" s="1085"/>
      <c r="AA169" s="1557"/>
      <c r="AB169" s="501"/>
      <c r="AC169" s="501"/>
      <c r="AD169" s="501"/>
      <c r="AE169" s="501"/>
      <c r="AF169" s="1566">
        <v>11</v>
      </c>
    </row>
    <row r="170" spans="1:32" s="1566" customFormat="1" ht="11.45" customHeight="1">
      <c r="A170" s="915"/>
      <c r="B170" s="1561"/>
      <c r="C170" s="1561"/>
      <c r="D170" s="286"/>
      <c r="K170" s="1085"/>
      <c r="L170" s="1561"/>
      <c r="M170" s="1561"/>
      <c r="N170" s="1085"/>
      <c r="O170" s="1085"/>
      <c r="P170" s="1085"/>
      <c r="Q170" s="1085"/>
      <c r="R170" s="1561"/>
      <c r="S170" s="1085"/>
      <c r="T170" s="1085"/>
      <c r="U170" s="479"/>
      <c r="V170" s="1085"/>
      <c r="W170" s="1085"/>
      <c r="X170" s="1085"/>
      <c r="Y170" s="1085"/>
      <c r="Z170" s="1085"/>
      <c r="AA170" s="1557"/>
      <c r="AB170" s="501"/>
      <c r="AC170" s="501"/>
      <c r="AD170" s="501"/>
      <c r="AE170" s="501"/>
      <c r="AF170" s="1566">
        <v>11</v>
      </c>
    </row>
    <row r="171" spans="1:32" s="1566" customFormat="1" ht="11.45" customHeight="1">
      <c r="A171" s="915"/>
      <c r="B171" s="1561"/>
      <c r="C171" s="1561"/>
      <c r="D171" s="286"/>
      <c r="K171" s="1085"/>
      <c r="L171" s="1561"/>
      <c r="M171" s="1561"/>
      <c r="N171" s="1085"/>
      <c r="O171" s="1085"/>
      <c r="P171" s="1085"/>
      <c r="Q171" s="1085"/>
      <c r="R171" s="1561"/>
      <c r="S171" s="1085"/>
      <c r="T171" s="1085"/>
      <c r="U171" s="479"/>
      <c r="V171" s="1085"/>
      <c r="W171" s="1085"/>
      <c r="X171" s="1085"/>
      <c r="Y171" s="1085"/>
      <c r="Z171" s="1085"/>
      <c r="AA171" s="1557"/>
      <c r="AB171" s="501"/>
      <c r="AC171" s="501"/>
      <c r="AD171" s="501"/>
      <c r="AE171" s="501"/>
      <c r="AF171" s="1566">
        <v>11</v>
      </c>
    </row>
    <row r="172" spans="1:32" s="1566" customFormat="1" ht="11.45" customHeight="1">
      <c r="A172" s="915"/>
      <c r="B172" s="1561"/>
      <c r="C172" s="1561"/>
      <c r="D172" s="286"/>
      <c r="K172" s="1085"/>
      <c r="L172" s="1561"/>
      <c r="M172" s="1561"/>
      <c r="N172" s="1085"/>
      <c r="O172" s="1085"/>
      <c r="P172" s="1085"/>
      <c r="Q172" s="1085"/>
      <c r="R172" s="1561"/>
      <c r="S172" s="1085"/>
      <c r="T172" s="1085"/>
      <c r="U172" s="479"/>
      <c r="V172" s="1085"/>
      <c r="W172" s="1085"/>
      <c r="X172" s="1085"/>
      <c r="Y172" s="1085"/>
      <c r="Z172" s="1085"/>
      <c r="AA172" s="1557"/>
      <c r="AB172" s="501"/>
      <c r="AC172" s="501"/>
      <c r="AD172" s="501"/>
      <c r="AE172" s="501"/>
      <c r="AF172" s="1566">
        <v>11</v>
      </c>
    </row>
    <row r="173" spans="1:32" s="1566" customFormat="1" ht="11.45" customHeight="1">
      <c r="A173" s="915"/>
      <c r="B173" s="1561"/>
      <c r="C173" s="1561"/>
      <c r="D173" s="286"/>
      <c r="K173" s="1085"/>
      <c r="L173" s="1561"/>
      <c r="M173" s="1561"/>
      <c r="N173" s="1085"/>
      <c r="O173" s="1085"/>
      <c r="P173" s="1085"/>
      <c r="Q173" s="1085"/>
      <c r="R173" s="1561"/>
      <c r="S173" s="1085"/>
      <c r="T173" s="1085"/>
      <c r="U173" s="479"/>
      <c r="V173" s="1085"/>
      <c r="W173" s="1085"/>
      <c r="X173" s="1085"/>
      <c r="Y173" s="1085"/>
      <c r="Z173" s="1085"/>
      <c r="AA173" s="1557"/>
      <c r="AB173" s="501"/>
      <c r="AC173" s="501"/>
      <c r="AD173" s="501"/>
      <c r="AE173" s="501"/>
      <c r="AF173" s="1566">
        <v>11</v>
      </c>
    </row>
    <row r="174" spans="1:32" s="1566" customFormat="1" ht="11.45" customHeight="1">
      <c r="A174" s="915"/>
      <c r="B174" s="1561"/>
      <c r="C174" s="1561"/>
      <c r="D174" s="286"/>
      <c r="K174" s="1085"/>
      <c r="L174" s="1561"/>
      <c r="M174" s="1561"/>
      <c r="N174" s="1085"/>
      <c r="O174" s="1085"/>
      <c r="P174" s="1085"/>
      <c r="Q174" s="1085"/>
      <c r="R174" s="1561"/>
      <c r="S174" s="1085"/>
      <c r="T174" s="1085"/>
      <c r="U174" s="479"/>
      <c r="V174" s="1085"/>
      <c r="W174" s="1085"/>
      <c r="X174" s="1085"/>
      <c r="Y174" s="1085"/>
      <c r="Z174" s="1085"/>
      <c r="AA174" s="1557"/>
      <c r="AB174" s="501"/>
      <c r="AC174" s="501"/>
      <c r="AD174" s="501"/>
      <c r="AE174" s="501"/>
      <c r="AF174" s="1566">
        <v>11</v>
      </c>
    </row>
    <row r="175" spans="1:32" s="1566" customFormat="1" ht="11.45" customHeight="1">
      <c r="A175" s="915"/>
      <c r="B175" s="1561"/>
      <c r="C175" s="1561"/>
      <c r="D175" s="286"/>
      <c r="K175" s="1085"/>
      <c r="L175" s="1561"/>
      <c r="M175" s="1561"/>
      <c r="N175" s="1085"/>
      <c r="O175" s="1085"/>
      <c r="P175" s="1085"/>
      <c r="Q175" s="1085"/>
      <c r="R175" s="1561"/>
      <c r="S175" s="1085"/>
      <c r="T175" s="1085"/>
      <c r="U175" s="479"/>
      <c r="V175" s="1085"/>
      <c r="W175" s="1085"/>
      <c r="X175" s="1085"/>
      <c r="Y175" s="1085"/>
      <c r="Z175" s="1085"/>
      <c r="AA175" s="1557"/>
      <c r="AB175" s="501"/>
      <c r="AC175" s="501"/>
      <c r="AD175" s="501"/>
      <c r="AE175" s="501"/>
      <c r="AF175" s="1566">
        <v>11</v>
      </c>
    </row>
    <row r="176" spans="1:32" s="1566" customFormat="1" ht="11.45" customHeight="1">
      <c r="A176" s="915"/>
      <c r="B176" s="1561"/>
      <c r="C176" s="1561"/>
      <c r="D176" s="286"/>
      <c r="K176" s="1085"/>
      <c r="L176" s="1561"/>
      <c r="M176" s="1561"/>
      <c r="N176" s="1085"/>
      <c r="O176" s="1085"/>
      <c r="P176" s="1085"/>
      <c r="Q176" s="1085"/>
      <c r="R176" s="1561"/>
      <c r="S176" s="1085"/>
      <c r="T176" s="1085"/>
      <c r="U176" s="479"/>
      <c r="V176" s="1085"/>
      <c r="W176" s="1085"/>
      <c r="X176" s="1085"/>
      <c r="Y176" s="1085"/>
      <c r="Z176" s="1085"/>
      <c r="AA176" s="1557"/>
      <c r="AB176" s="501"/>
      <c r="AC176" s="501"/>
      <c r="AD176" s="501"/>
      <c r="AE176" s="501"/>
      <c r="AF176" s="1566">
        <v>11</v>
      </c>
    </row>
    <row r="177" spans="1:32" s="1566" customFormat="1" ht="11.45" customHeight="1">
      <c r="A177" s="915"/>
      <c r="B177" s="1561"/>
      <c r="C177" s="1561"/>
      <c r="D177" s="286"/>
      <c r="K177" s="1085"/>
      <c r="L177" s="1561"/>
      <c r="M177" s="1561"/>
      <c r="N177" s="1085"/>
      <c r="O177" s="1085"/>
      <c r="P177" s="1085"/>
      <c r="Q177" s="1085"/>
      <c r="R177" s="1561"/>
      <c r="S177" s="1085"/>
      <c r="T177" s="1085"/>
      <c r="U177" s="479"/>
      <c r="V177" s="1085"/>
      <c r="W177" s="1085"/>
      <c r="X177" s="1085"/>
      <c r="Y177" s="1085"/>
      <c r="Z177" s="1085"/>
      <c r="AA177" s="1557"/>
      <c r="AB177" s="501"/>
      <c r="AC177" s="501"/>
      <c r="AD177" s="501"/>
      <c r="AE177" s="501"/>
      <c r="AF177" s="1566">
        <v>11</v>
      </c>
    </row>
    <row r="178" spans="1:32" s="1566" customFormat="1" ht="11.45" customHeight="1">
      <c r="A178" s="915"/>
      <c r="B178" s="1561"/>
      <c r="C178" s="1561"/>
      <c r="D178" s="286"/>
      <c r="K178" s="1085"/>
      <c r="L178" s="1561"/>
      <c r="M178" s="1561"/>
      <c r="N178" s="1085"/>
      <c r="O178" s="1085"/>
      <c r="P178" s="1085"/>
      <c r="Q178" s="1085"/>
      <c r="R178" s="1561"/>
      <c r="S178" s="1085"/>
      <c r="T178" s="1085"/>
      <c r="U178" s="479"/>
      <c r="V178" s="1085"/>
      <c r="W178" s="1085"/>
      <c r="X178" s="1085"/>
      <c r="Y178" s="1085"/>
      <c r="Z178" s="1085"/>
      <c r="AA178" s="1557"/>
      <c r="AB178" s="501"/>
      <c r="AC178" s="501"/>
      <c r="AD178" s="501"/>
      <c r="AE178" s="501"/>
      <c r="AF178" s="1566">
        <v>11</v>
      </c>
    </row>
    <row r="179" spans="1:32" s="1566" customFormat="1" ht="11.45" customHeight="1">
      <c r="A179" s="915"/>
      <c r="B179" s="1561"/>
      <c r="C179" s="1561"/>
      <c r="D179" s="286"/>
      <c r="K179" s="1085"/>
      <c r="L179" s="1561"/>
      <c r="M179" s="1561"/>
      <c r="N179" s="1085"/>
      <c r="O179" s="1085"/>
      <c r="P179" s="1085"/>
      <c r="Q179" s="1085"/>
      <c r="R179" s="1561"/>
      <c r="S179" s="1085"/>
      <c r="T179" s="1085"/>
      <c r="U179" s="479"/>
      <c r="V179" s="1085"/>
      <c r="W179" s="1085"/>
      <c r="X179" s="1085"/>
      <c r="Y179" s="1085"/>
      <c r="Z179" s="1085"/>
      <c r="AA179" s="1557"/>
      <c r="AB179" s="501"/>
      <c r="AC179" s="501"/>
      <c r="AD179" s="501"/>
      <c r="AE179" s="501"/>
      <c r="AF179" s="1566">
        <v>11</v>
      </c>
    </row>
    <row r="180" spans="1:32" s="1566" customFormat="1" ht="11.45" customHeight="1">
      <c r="A180" s="915"/>
      <c r="B180" s="1561"/>
      <c r="C180" s="1561"/>
      <c r="D180" s="286"/>
      <c r="K180" s="1085"/>
      <c r="L180" s="1561"/>
      <c r="M180" s="1561"/>
      <c r="N180" s="1085"/>
      <c r="O180" s="1085"/>
      <c r="P180" s="1085"/>
      <c r="Q180" s="1085"/>
      <c r="R180" s="1561"/>
      <c r="S180" s="1085"/>
      <c r="T180" s="1085"/>
      <c r="U180" s="479"/>
      <c r="V180" s="1085"/>
      <c r="W180" s="1085"/>
      <c r="X180" s="1085"/>
      <c r="Y180" s="1085"/>
      <c r="Z180" s="1085"/>
      <c r="AA180" s="1557"/>
      <c r="AB180" s="501"/>
      <c r="AC180" s="501"/>
      <c r="AD180" s="501"/>
      <c r="AE180" s="501"/>
      <c r="AF180" s="1566">
        <v>11</v>
      </c>
    </row>
    <row r="181" spans="1:32" s="1566" customFormat="1" ht="11.45" customHeight="1">
      <c r="A181" s="915"/>
      <c r="B181" s="1561"/>
      <c r="C181" s="1561"/>
      <c r="D181" s="286"/>
      <c r="K181" s="1085"/>
      <c r="L181" s="1561"/>
      <c r="M181" s="1561"/>
      <c r="N181" s="1085"/>
      <c r="O181" s="1085"/>
      <c r="P181" s="1085"/>
      <c r="Q181" s="1085"/>
      <c r="R181" s="1561"/>
      <c r="S181" s="1085"/>
      <c r="T181" s="1085"/>
      <c r="U181" s="479"/>
      <c r="V181" s="1085"/>
      <c r="W181" s="1085"/>
      <c r="X181" s="1085"/>
      <c r="Y181" s="1085"/>
      <c r="Z181" s="1085"/>
      <c r="AA181" s="1557"/>
      <c r="AB181" s="501"/>
      <c r="AC181" s="501"/>
      <c r="AD181" s="501"/>
      <c r="AE181" s="501"/>
      <c r="AF181" s="1566">
        <v>11</v>
      </c>
    </row>
    <row r="182" spans="1:32" s="1566" customFormat="1" ht="11.45" customHeight="1">
      <c r="A182" s="915"/>
      <c r="B182" s="1561"/>
      <c r="C182" s="1561"/>
      <c r="D182" s="286"/>
      <c r="K182" s="1085"/>
      <c r="L182" s="1561"/>
      <c r="M182" s="1561"/>
      <c r="N182" s="1085"/>
      <c r="O182" s="1085"/>
      <c r="P182" s="1085"/>
      <c r="Q182" s="1085"/>
      <c r="R182" s="1561"/>
      <c r="S182" s="1085"/>
      <c r="T182" s="1085"/>
      <c r="U182" s="479"/>
      <c r="V182" s="1085"/>
      <c r="W182" s="1085"/>
      <c r="X182" s="1085"/>
      <c r="Y182" s="1085"/>
      <c r="Z182" s="1085"/>
      <c r="AA182" s="1557"/>
      <c r="AB182" s="501"/>
      <c r="AC182" s="501"/>
      <c r="AD182" s="501"/>
      <c r="AE182" s="501"/>
      <c r="AF182" s="1566">
        <v>11</v>
      </c>
    </row>
    <row r="183" spans="1:32" s="1566" customFormat="1" ht="11.45" customHeight="1">
      <c r="A183" s="915"/>
      <c r="B183" s="1561"/>
      <c r="C183" s="1561"/>
      <c r="D183" s="286"/>
      <c r="K183" s="1085"/>
      <c r="L183" s="1561"/>
      <c r="M183" s="1561"/>
      <c r="N183" s="1085"/>
      <c r="O183" s="1085"/>
      <c r="P183" s="1085"/>
      <c r="Q183" s="1085"/>
      <c r="R183" s="1561"/>
      <c r="S183" s="1085"/>
      <c r="T183" s="1085"/>
      <c r="U183" s="479"/>
      <c r="V183" s="1085"/>
      <c r="W183" s="1085"/>
      <c r="X183" s="1085"/>
      <c r="Y183" s="1085"/>
      <c r="Z183" s="1085"/>
      <c r="AA183" s="1557"/>
      <c r="AB183" s="501"/>
      <c r="AC183" s="501"/>
      <c r="AD183" s="501"/>
      <c r="AE183" s="501"/>
      <c r="AF183" s="1566">
        <v>11</v>
      </c>
    </row>
    <row r="184" spans="1:32" s="1566" customFormat="1" ht="11.45" customHeight="1">
      <c r="A184" s="915"/>
      <c r="B184" s="1561"/>
      <c r="C184" s="1561"/>
      <c r="D184" s="286"/>
      <c r="K184" s="1085"/>
      <c r="L184" s="1561"/>
      <c r="M184" s="1561"/>
      <c r="N184" s="1085"/>
      <c r="O184" s="1085"/>
      <c r="P184" s="1085"/>
      <c r="Q184" s="1085"/>
      <c r="R184" s="1561"/>
      <c r="S184" s="1085"/>
      <c r="T184" s="1085"/>
      <c r="U184" s="479"/>
      <c r="V184" s="1085"/>
      <c r="W184" s="1085"/>
      <c r="X184" s="1085"/>
      <c r="Y184" s="1085"/>
      <c r="Z184" s="1085"/>
      <c r="AA184" s="1557"/>
      <c r="AB184" s="501"/>
      <c r="AC184" s="501"/>
      <c r="AD184" s="501"/>
      <c r="AE184" s="501"/>
      <c r="AF184" s="1566">
        <v>11</v>
      </c>
    </row>
    <row r="185" spans="1:32" s="1566" customFormat="1" ht="11.45" customHeight="1">
      <c r="A185" s="915"/>
      <c r="B185" s="1561"/>
      <c r="C185" s="1561"/>
      <c r="D185" s="286"/>
      <c r="K185" s="1085"/>
      <c r="L185" s="1561"/>
      <c r="M185" s="1561"/>
      <c r="N185" s="1085"/>
      <c r="O185" s="1085"/>
      <c r="P185" s="1085"/>
      <c r="Q185" s="1085"/>
      <c r="R185" s="1561"/>
      <c r="S185" s="1085"/>
      <c r="T185" s="1085"/>
      <c r="U185" s="479"/>
      <c r="V185" s="1085"/>
      <c r="W185" s="1085"/>
      <c r="X185" s="1085"/>
      <c r="Y185" s="1085"/>
      <c r="Z185" s="1085"/>
      <c r="AA185" s="1557"/>
      <c r="AB185" s="501"/>
      <c r="AC185" s="501"/>
      <c r="AD185" s="501"/>
      <c r="AE185" s="501"/>
      <c r="AF185" s="1566">
        <v>11</v>
      </c>
    </row>
    <row r="186" spans="1:32" s="1566" customFormat="1" ht="11.45" customHeight="1">
      <c r="A186" s="915"/>
      <c r="B186" s="1561"/>
      <c r="C186" s="1561"/>
      <c r="D186" s="286"/>
      <c r="K186" s="1085"/>
      <c r="L186" s="1561"/>
      <c r="M186" s="1561"/>
      <c r="N186" s="1085"/>
      <c r="O186" s="1085"/>
      <c r="P186" s="1085"/>
      <c r="Q186" s="1085"/>
      <c r="R186" s="1561"/>
      <c r="S186" s="1085"/>
      <c r="T186" s="1085"/>
      <c r="U186" s="479"/>
      <c r="V186" s="1085"/>
      <c r="W186" s="1085"/>
      <c r="X186" s="1085"/>
      <c r="Y186" s="1085"/>
      <c r="Z186" s="1085"/>
      <c r="AA186" s="1557"/>
      <c r="AB186" s="501"/>
      <c r="AC186" s="501"/>
      <c r="AD186" s="501"/>
      <c r="AE186" s="501"/>
      <c r="AF186" s="1566">
        <v>11</v>
      </c>
    </row>
    <row r="187" spans="1:32" s="1566" customFormat="1" ht="11.45" customHeight="1">
      <c r="A187" s="915"/>
      <c r="B187" s="1561"/>
      <c r="C187" s="1561"/>
      <c r="D187" s="286"/>
      <c r="K187" s="1085"/>
      <c r="L187" s="1561"/>
      <c r="M187" s="1561"/>
      <c r="N187" s="1085"/>
      <c r="O187" s="1085"/>
      <c r="P187" s="1085"/>
      <c r="Q187" s="1085"/>
      <c r="R187" s="1561"/>
      <c r="S187" s="1085"/>
      <c r="T187" s="1085"/>
      <c r="U187" s="479"/>
      <c r="V187" s="1085"/>
      <c r="W187" s="1085"/>
      <c r="X187" s="1085"/>
      <c r="Y187" s="1085"/>
      <c r="Z187" s="1085"/>
      <c r="AA187" s="1557"/>
      <c r="AB187" s="501"/>
      <c r="AC187" s="501"/>
      <c r="AD187" s="501"/>
      <c r="AE187" s="501"/>
      <c r="AF187" s="1566">
        <v>11</v>
      </c>
    </row>
    <row r="188" spans="1:32" s="1566" customFormat="1" ht="11.45" customHeight="1">
      <c r="A188" s="915"/>
      <c r="B188" s="1561"/>
      <c r="C188" s="1561"/>
      <c r="D188" s="286"/>
      <c r="K188" s="1085"/>
      <c r="L188" s="1561"/>
      <c r="M188" s="1561"/>
      <c r="N188" s="1085"/>
      <c r="O188" s="1085"/>
      <c r="P188" s="1085"/>
      <c r="Q188" s="1085"/>
      <c r="R188" s="1561"/>
      <c r="S188" s="1085"/>
      <c r="T188" s="1085"/>
      <c r="U188" s="479"/>
      <c r="V188" s="1085"/>
      <c r="W188" s="1085"/>
      <c r="X188" s="1085"/>
      <c r="Y188" s="1085"/>
      <c r="Z188" s="1085"/>
      <c r="AA188" s="1557"/>
      <c r="AB188" s="501"/>
      <c r="AC188" s="501"/>
      <c r="AD188" s="501"/>
      <c r="AE188" s="501"/>
      <c r="AF188" s="1566">
        <v>11</v>
      </c>
    </row>
    <row r="189" spans="1:32" s="1566" customFormat="1" ht="11.45" customHeight="1">
      <c r="A189" s="915"/>
      <c r="B189" s="1561"/>
      <c r="C189" s="1561"/>
      <c r="D189" s="286"/>
      <c r="K189" s="1085"/>
      <c r="L189" s="1561"/>
      <c r="M189" s="1561"/>
      <c r="N189" s="1085"/>
      <c r="O189" s="1085"/>
      <c r="P189" s="1085"/>
      <c r="Q189" s="1085"/>
      <c r="R189" s="1561"/>
      <c r="S189" s="1085"/>
      <c r="T189" s="1085"/>
      <c r="U189" s="479"/>
      <c r="V189" s="1085"/>
      <c r="W189" s="1085"/>
      <c r="X189" s="1085"/>
      <c r="Y189" s="1085"/>
      <c r="Z189" s="1085"/>
      <c r="AA189" s="1557"/>
      <c r="AB189" s="501"/>
      <c r="AC189" s="501"/>
      <c r="AD189" s="501"/>
      <c r="AE189" s="501"/>
      <c r="AF189" s="1566">
        <v>11</v>
      </c>
    </row>
    <row r="190" spans="1:32" s="1566" customFormat="1" ht="11.45" customHeight="1">
      <c r="A190" s="915"/>
      <c r="B190" s="1561"/>
      <c r="C190" s="1561"/>
      <c r="D190" s="286"/>
      <c r="K190" s="1085"/>
      <c r="L190" s="1561"/>
      <c r="M190" s="1561"/>
      <c r="N190" s="1085"/>
      <c r="O190" s="1085"/>
      <c r="P190" s="1085"/>
      <c r="Q190" s="1085"/>
      <c r="R190" s="1561"/>
      <c r="S190" s="1085"/>
      <c r="T190" s="1085"/>
      <c r="U190" s="479"/>
      <c r="V190" s="1085"/>
      <c r="W190" s="1085"/>
      <c r="X190" s="1085"/>
      <c r="Y190" s="1085"/>
      <c r="Z190" s="1085"/>
      <c r="AA190" s="1557"/>
      <c r="AB190" s="501"/>
      <c r="AC190" s="501"/>
      <c r="AD190" s="501"/>
      <c r="AE190" s="501"/>
      <c r="AF190" s="1566">
        <v>11</v>
      </c>
    </row>
    <row r="191" spans="1:32" s="1566" customFormat="1" ht="11.45" customHeight="1">
      <c r="A191" s="915"/>
      <c r="B191" s="1561"/>
      <c r="C191" s="1561"/>
      <c r="D191" s="286"/>
      <c r="K191" s="1085"/>
      <c r="L191" s="1561"/>
      <c r="M191" s="1561"/>
      <c r="N191" s="1085"/>
      <c r="O191" s="1085"/>
      <c r="P191" s="1085"/>
      <c r="Q191" s="1085"/>
      <c r="R191" s="1561"/>
      <c r="S191" s="1085"/>
      <c r="T191" s="1085"/>
      <c r="U191" s="479"/>
      <c r="V191" s="1085"/>
      <c r="W191" s="1085"/>
      <c r="X191" s="1085"/>
      <c r="Y191" s="1085"/>
      <c r="Z191" s="1085"/>
      <c r="AA191" s="1557"/>
      <c r="AB191" s="501"/>
      <c r="AC191" s="501"/>
      <c r="AD191" s="501"/>
      <c r="AE191" s="501"/>
      <c r="AF191" s="1566">
        <v>11</v>
      </c>
    </row>
    <row r="192" spans="1:32" s="1566" customFormat="1" ht="11.45" customHeight="1">
      <c r="A192" s="915"/>
      <c r="B192" s="1561"/>
      <c r="C192" s="1561"/>
      <c r="D192" s="286"/>
      <c r="K192" s="1085"/>
      <c r="L192" s="1561"/>
      <c r="M192" s="1561"/>
      <c r="N192" s="1085"/>
      <c r="O192" s="1085"/>
      <c r="P192" s="1085"/>
      <c r="Q192" s="1085"/>
      <c r="R192" s="1561"/>
      <c r="S192" s="1085"/>
      <c r="T192" s="1085"/>
      <c r="U192" s="479"/>
      <c r="V192" s="1085"/>
      <c r="W192" s="1085"/>
      <c r="X192" s="1085"/>
      <c r="Y192" s="1085"/>
      <c r="Z192" s="1085"/>
      <c r="AA192" s="1557"/>
      <c r="AB192" s="501"/>
      <c r="AC192" s="501"/>
      <c r="AD192" s="501"/>
      <c r="AE192" s="501"/>
      <c r="AF192" s="1566">
        <v>11</v>
      </c>
    </row>
    <row r="193" spans="1:32" s="1566" customFormat="1" ht="11.45" customHeight="1">
      <c r="A193" s="915"/>
      <c r="B193" s="1561"/>
      <c r="C193" s="1561"/>
      <c r="D193" s="286"/>
      <c r="K193" s="1085"/>
      <c r="L193" s="1561"/>
      <c r="M193" s="1561"/>
      <c r="N193" s="1085"/>
      <c r="O193" s="1085"/>
      <c r="P193" s="1085"/>
      <c r="Q193" s="1085"/>
      <c r="R193" s="1561"/>
      <c r="S193" s="1085"/>
      <c r="T193" s="1085"/>
      <c r="U193" s="479"/>
      <c r="V193" s="1085"/>
      <c r="W193" s="1085"/>
      <c r="X193" s="1085"/>
      <c r="Y193" s="1085"/>
      <c r="Z193" s="1085"/>
      <c r="AA193" s="1557"/>
      <c r="AB193" s="501"/>
      <c r="AC193" s="501"/>
      <c r="AD193" s="501"/>
      <c r="AE193" s="501"/>
      <c r="AF193" s="1566">
        <v>11</v>
      </c>
    </row>
    <row r="194" spans="1:32" s="1566" customFormat="1" ht="11.45" customHeight="1">
      <c r="A194" s="915"/>
      <c r="B194" s="1561"/>
      <c r="C194" s="1561"/>
      <c r="D194" s="286"/>
      <c r="K194" s="1085"/>
      <c r="L194" s="1561"/>
      <c r="M194" s="1561"/>
      <c r="N194" s="1085"/>
      <c r="O194" s="1085"/>
      <c r="P194" s="1085"/>
      <c r="Q194" s="1085"/>
      <c r="R194" s="1561"/>
      <c r="S194" s="1085"/>
      <c r="T194" s="1085"/>
      <c r="U194" s="479"/>
      <c r="V194" s="1085"/>
      <c r="W194" s="1085"/>
      <c r="X194" s="1085"/>
      <c r="Y194" s="1085"/>
      <c r="Z194" s="1085"/>
      <c r="AA194" s="1557"/>
      <c r="AB194" s="501"/>
      <c r="AC194" s="501"/>
      <c r="AD194" s="501"/>
      <c r="AE194" s="501"/>
      <c r="AF194" s="1566">
        <v>11</v>
      </c>
    </row>
    <row r="195" spans="1:32" s="1566" customFormat="1" ht="11.45" customHeight="1">
      <c r="A195" s="915"/>
      <c r="B195" s="1561"/>
      <c r="C195" s="1561"/>
      <c r="D195" s="286"/>
      <c r="K195" s="1085"/>
      <c r="L195" s="1561"/>
      <c r="M195" s="1561"/>
      <c r="N195" s="1085"/>
      <c r="O195" s="1085"/>
      <c r="P195" s="1085"/>
      <c r="Q195" s="1085"/>
      <c r="R195" s="1561"/>
      <c r="S195" s="1085"/>
      <c r="T195" s="1085"/>
      <c r="U195" s="479"/>
      <c r="V195" s="1085"/>
      <c r="W195" s="1085"/>
      <c r="X195" s="1085"/>
      <c r="Y195" s="1085"/>
      <c r="Z195" s="1085"/>
      <c r="AA195" s="1557"/>
      <c r="AB195" s="501"/>
      <c r="AC195" s="501"/>
      <c r="AD195" s="501"/>
      <c r="AE195" s="501"/>
      <c r="AF195" s="1566">
        <v>11</v>
      </c>
    </row>
    <row r="196" spans="1:32" s="1566" customFormat="1" ht="11.45" customHeight="1">
      <c r="A196" s="915"/>
      <c r="B196" s="1561"/>
      <c r="C196" s="1561"/>
      <c r="D196" s="286"/>
      <c r="K196" s="1085"/>
      <c r="L196" s="1561"/>
      <c r="M196" s="1561"/>
      <c r="N196" s="1085"/>
      <c r="O196" s="1085"/>
      <c r="P196" s="1085"/>
      <c r="Q196" s="1085"/>
      <c r="R196" s="1561"/>
      <c r="S196" s="1085"/>
      <c r="T196" s="1085"/>
      <c r="U196" s="479"/>
      <c r="V196" s="1085"/>
      <c r="W196" s="1085"/>
      <c r="X196" s="1085"/>
      <c r="Y196" s="1085"/>
      <c r="Z196" s="1085"/>
      <c r="AA196" s="1557"/>
      <c r="AB196" s="501"/>
      <c r="AC196" s="501"/>
      <c r="AD196" s="501"/>
      <c r="AE196" s="501"/>
      <c r="AF196" s="1566">
        <v>11</v>
      </c>
    </row>
    <row r="197" spans="1:32" s="1566" customFormat="1" ht="11.45" customHeight="1">
      <c r="A197" s="915"/>
      <c r="B197" s="1561"/>
      <c r="C197" s="1561"/>
      <c r="D197" s="286"/>
      <c r="K197" s="1085"/>
      <c r="L197" s="1561"/>
      <c r="M197" s="1561"/>
      <c r="N197" s="1085"/>
      <c r="O197" s="1085"/>
      <c r="P197" s="1085"/>
      <c r="Q197" s="1085"/>
      <c r="R197" s="1561"/>
      <c r="S197" s="1085"/>
      <c r="T197" s="1085"/>
      <c r="U197" s="479"/>
      <c r="V197" s="1085"/>
      <c r="W197" s="1085"/>
      <c r="X197" s="1085"/>
      <c r="Y197" s="1085"/>
      <c r="Z197" s="1085"/>
      <c r="AA197" s="1557"/>
      <c r="AB197" s="501"/>
      <c r="AC197" s="501"/>
      <c r="AD197" s="501"/>
      <c r="AE197" s="501"/>
      <c r="AF197" s="1566">
        <v>11</v>
      </c>
    </row>
    <row r="198" spans="1:32" s="1566" customFormat="1" ht="11.45" customHeight="1">
      <c r="A198" s="915"/>
      <c r="B198" s="1561"/>
      <c r="C198" s="1561"/>
      <c r="D198" s="286"/>
      <c r="K198" s="1085"/>
      <c r="L198" s="1561"/>
      <c r="M198" s="1561"/>
      <c r="N198" s="1085"/>
      <c r="O198" s="1085"/>
      <c r="P198" s="1085"/>
      <c r="Q198" s="1085"/>
      <c r="R198" s="1561"/>
      <c r="S198" s="1085"/>
      <c r="T198" s="1085"/>
      <c r="U198" s="479"/>
      <c r="V198" s="1085"/>
      <c r="W198" s="1085"/>
      <c r="X198" s="1085"/>
      <c r="Y198" s="1085"/>
      <c r="Z198" s="1085"/>
      <c r="AA198" s="1557"/>
      <c r="AB198" s="501"/>
      <c r="AC198" s="501"/>
      <c r="AD198" s="501"/>
      <c r="AE198" s="501"/>
      <c r="AF198" s="1566">
        <v>11</v>
      </c>
    </row>
    <row r="199" spans="1:32" s="1566" customFormat="1" ht="11.45" customHeight="1">
      <c r="A199" s="915"/>
      <c r="B199" s="1561"/>
      <c r="C199" s="1561"/>
      <c r="D199" s="286"/>
      <c r="K199" s="1085"/>
      <c r="L199" s="1561"/>
      <c r="M199" s="1561"/>
      <c r="N199" s="1085"/>
      <c r="O199" s="1085"/>
      <c r="P199" s="1085"/>
      <c r="Q199" s="1085"/>
      <c r="R199" s="1561"/>
      <c r="S199" s="1085"/>
      <c r="T199" s="1085"/>
      <c r="U199" s="479"/>
      <c r="V199" s="1085"/>
      <c r="W199" s="1085"/>
      <c r="X199" s="1085"/>
      <c r="Y199" s="1085"/>
      <c r="Z199" s="1085"/>
      <c r="AA199" s="1557"/>
      <c r="AB199" s="501"/>
      <c r="AC199" s="501"/>
      <c r="AD199" s="501"/>
      <c r="AE199" s="501"/>
      <c r="AF199" s="1566">
        <v>11</v>
      </c>
    </row>
    <row r="200" spans="1:32" s="1566" customFormat="1" ht="11.45" customHeight="1">
      <c r="A200" s="915"/>
      <c r="B200" s="1561"/>
      <c r="C200" s="1561"/>
      <c r="D200" s="286"/>
      <c r="K200" s="1085"/>
      <c r="L200" s="1561"/>
      <c r="M200" s="1561"/>
      <c r="N200" s="1085"/>
      <c r="O200" s="1085"/>
      <c r="P200" s="1085"/>
      <c r="Q200" s="1085"/>
      <c r="R200" s="1561"/>
      <c r="S200" s="1085"/>
      <c r="T200" s="1085"/>
      <c r="U200" s="479"/>
      <c r="V200" s="1085"/>
      <c r="W200" s="1085"/>
      <c r="X200" s="1085"/>
      <c r="Y200" s="1085"/>
      <c r="Z200" s="1085"/>
      <c r="AA200" s="1557"/>
      <c r="AB200" s="501"/>
      <c r="AC200" s="501"/>
      <c r="AD200" s="501"/>
      <c r="AE200" s="501"/>
      <c r="AF200" s="1566">
        <v>11</v>
      </c>
    </row>
    <row r="201" spans="1:32" s="1566" customFormat="1" ht="11.45" customHeight="1">
      <c r="A201" s="915"/>
      <c r="B201" s="1561"/>
      <c r="C201" s="1561"/>
      <c r="D201" s="286"/>
      <c r="K201" s="1085"/>
      <c r="L201" s="1561"/>
      <c r="M201" s="1561"/>
      <c r="N201" s="1085"/>
      <c r="O201" s="1085"/>
      <c r="P201" s="1085"/>
      <c r="Q201" s="1085"/>
      <c r="R201" s="1561"/>
      <c r="S201" s="1085"/>
      <c r="T201" s="1085"/>
      <c r="U201" s="479"/>
      <c r="V201" s="1085"/>
      <c r="W201" s="1085"/>
      <c r="X201" s="1085"/>
      <c r="Y201" s="1085"/>
      <c r="Z201" s="1085"/>
      <c r="AA201" s="1557"/>
      <c r="AB201" s="501"/>
      <c r="AC201" s="501"/>
      <c r="AD201" s="501"/>
      <c r="AE201" s="501"/>
      <c r="AF201" s="1566">
        <v>11</v>
      </c>
    </row>
    <row r="202" spans="1:32" s="1566" customFormat="1" ht="11.45" customHeight="1">
      <c r="A202" s="915"/>
      <c r="B202" s="1561"/>
      <c r="C202" s="1561"/>
      <c r="D202" s="286"/>
      <c r="K202" s="1085"/>
      <c r="L202" s="1561"/>
      <c r="M202" s="1561"/>
      <c r="N202" s="1085"/>
      <c r="O202" s="1085"/>
      <c r="P202" s="1085"/>
      <c r="Q202" s="1085"/>
      <c r="R202" s="1561"/>
      <c r="S202" s="1085"/>
      <c r="T202" s="1085"/>
      <c r="U202" s="479"/>
      <c r="V202" s="1085"/>
      <c r="W202" s="1085"/>
      <c r="X202" s="1085"/>
      <c r="Y202" s="1085"/>
      <c r="Z202" s="1085"/>
      <c r="AA202" s="1557"/>
      <c r="AB202" s="501"/>
      <c r="AC202" s="501"/>
      <c r="AD202" s="501"/>
      <c r="AE202" s="501"/>
      <c r="AF202" s="1566">
        <v>11</v>
      </c>
    </row>
    <row r="203" spans="1:32" ht="11.45" customHeight="1">
      <c r="AF203" s="1556">
        <v>11</v>
      </c>
    </row>
    <row r="204" spans="1:32" ht="11.45" customHeight="1">
      <c r="AF204" s="1556">
        <v>11</v>
      </c>
    </row>
    <row r="205" spans="1:32" ht="11.45" customHeight="1">
      <c r="AF205" s="1556">
        <v>11</v>
      </c>
    </row>
    <row r="206" spans="1:32" ht="11.45" customHeight="1">
      <c r="A206" s="918"/>
      <c r="B206" s="1556"/>
      <c r="D206" s="1556"/>
      <c r="K206" s="1556"/>
      <c r="N206" s="1556"/>
      <c r="O206" s="1556"/>
      <c r="P206" s="1556"/>
      <c r="Q206" s="1556"/>
      <c r="S206" s="1556"/>
      <c r="T206" s="1556"/>
      <c r="U206" s="1556"/>
      <c r="V206" s="1556"/>
      <c r="W206" s="1556"/>
      <c r="X206" s="1556"/>
      <c r="Y206" s="1556"/>
      <c r="Z206" s="1556"/>
      <c r="AA206" s="1556"/>
      <c r="AB206" s="1556"/>
      <c r="AC206" s="1556"/>
      <c r="AD206" s="1556"/>
      <c r="AE206" s="1556"/>
      <c r="AF206" s="1556">
        <v>11</v>
      </c>
    </row>
    <row r="207" spans="1:32" ht="11.45" customHeight="1">
      <c r="A207" s="918"/>
      <c r="B207" s="1556"/>
      <c r="D207" s="1556"/>
      <c r="K207" s="1556"/>
      <c r="N207" s="1556"/>
      <c r="O207" s="1556"/>
      <c r="P207" s="1556"/>
      <c r="Q207" s="1556"/>
      <c r="S207" s="1556"/>
      <c r="T207" s="1556"/>
      <c r="U207" s="1556"/>
      <c r="V207" s="1556"/>
      <c r="W207" s="1556"/>
      <c r="X207" s="1556"/>
      <c r="Y207" s="1556"/>
      <c r="Z207" s="1556"/>
      <c r="AA207" s="1556"/>
      <c r="AB207" s="1556"/>
      <c r="AC207" s="1556"/>
      <c r="AD207" s="1556"/>
      <c r="AE207" s="1556"/>
      <c r="AF207" s="1556">
        <v>11</v>
      </c>
    </row>
    <row r="208" spans="1:32" ht="11.45" customHeight="1">
      <c r="A208" s="918"/>
      <c r="B208" s="1556"/>
      <c r="D208" s="1556"/>
      <c r="K208" s="1556"/>
      <c r="N208" s="1556"/>
      <c r="O208" s="1556"/>
      <c r="P208" s="1556"/>
      <c r="Q208" s="1556"/>
      <c r="S208" s="1556"/>
      <c r="T208" s="1556"/>
      <c r="U208" s="1556"/>
      <c r="V208" s="1556"/>
      <c r="W208" s="1556"/>
      <c r="X208" s="1556"/>
      <c r="Y208" s="1556"/>
      <c r="Z208" s="1556"/>
      <c r="AA208" s="1556"/>
      <c r="AB208" s="1556"/>
      <c r="AC208" s="1556"/>
      <c r="AD208" s="1556"/>
      <c r="AE208" s="1556"/>
      <c r="AF208" s="1556">
        <v>11</v>
      </c>
    </row>
    <row r="209" spans="1:32" ht="11.45" customHeight="1">
      <c r="A209" s="918"/>
      <c r="B209" s="1556"/>
      <c r="D209" s="1556"/>
      <c r="K209" s="1556"/>
      <c r="N209" s="1556"/>
      <c r="O209" s="1556"/>
      <c r="P209" s="1556"/>
      <c r="Q209" s="1556"/>
      <c r="S209" s="1556"/>
      <c r="T209" s="1556"/>
      <c r="U209" s="1556"/>
      <c r="V209" s="1556"/>
      <c r="W209" s="1556"/>
      <c r="X209" s="1556"/>
      <c r="Y209" s="1556"/>
      <c r="Z209" s="1556"/>
      <c r="AA209" s="1556"/>
      <c r="AB209" s="1556"/>
      <c r="AC209" s="1556"/>
      <c r="AD209" s="1556"/>
      <c r="AE209" s="1556"/>
      <c r="AF209" s="1556">
        <v>11</v>
      </c>
    </row>
    <row r="210" spans="1:32" ht="11.45" customHeight="1">
      <c r="A210" s="918"/>
      <c r="B210" s="1556"/>
      <c r="D210" s="1556"/>
      <c r="K210" s="1556"/>
      <c r="N210" s="1556"/>
      <c r="O210" s="1556"/>
      <c r="P210" s="1556"/>
      <c r="Q210" s="1556"/>
      <c r="S210" s="1556"/>
      <c r="T210" s="1556"/>
      <c r="U210" s="1556"/>
      <c r="V210" s="1556"/>
      <c r="W210" s="1556"/>
      <c r="X210" s="1556"/>
      <c r="Y210" s="1556"/>
      <c r="Z210" s="1556"/>
      <c r="AA210" s="1556"/>
      <c r="AB210" s="1556"/>
      <c r="AC210" s="1556"/>
      <c r="AD210" s="1556"/>
      <c r="AE210" s="1556"/>
      <c r="AF210" s="1556">
        <v>11</v>
      </c>
    </row>
    <row r="211" spans="1:32" ht="11.45" customHeight="1">
      <c r="A211" s="918"/>
      <c r="B211" s="1556"/>
      <c r="D211" s="1556"/>
      <c r="K211" s="1556"/>
      <c r="N211" s="1556"/>
      <c r="O211" s="1556"/>
      <c r="P211" s="1556"/>
      <c r="Q211" s="1556"/>
      <c r="S211" s="1556"/>
      <c r="T211" s="1556"/>
      <c r="U211" s="1556"/>
      <c r="V211" s="1556"/>
      <c r="W211" s="1556"/>
      <c r="X211" s="1556"/>
      <c r="Y211" s="1556"/>
      <c r="Z211" s="1556"/>
      <c r="AA211" s="1556"/>
      <c r="AB211" s="1556"/>
      <c r="AC211" s="1556"/>
      <c r="AD211" s="1556"/>
      <c r="AE211" s="1556"/>
      <c r="AF211" s="1556">
        <v>11</v>
      </c>
    </row>
    <row r="212" spans="1:32" ht="11.45" customHeight="1">
      <c r="A212" s="918"/>
      <c r="B212" s="1556"/>
      <c r="D212" s="1556"/>
      <c r="K212" s="1556"/>
      <c r="N212" s="1556"/>
      <c r="O212" s="1556"/>
      <c r="P212" s="1556"/>
      <c r="Q212" s="1556"/>
      <c r="S212" s="1556"/>
      <c r="T212" s="1556"/>
      <c r="U212" s="1556"/>
      <c r="V212" s="1556"/>
      <c r="W212" s="1556"/>
      <c r="X212" s="1556"/>
      <c r="Y212" s="1556"/>
      <c r="Z212" s="1556"/>
      <c r="AA212" s="1556"/>
      <c r="AB212" s="1556"/>
      <c r="AC212" s="1556"/>
      <c r="AD212" s="1556"/>
      <c r="AE212" s="1556"/>
      <c r="AF212" s="1556">
        <v>11</v>
      </c>
    </row>
    <row r="213" spans="1:32" ht="11.45" customHeight="1">
      <c r="A213" s="918"/>
      <c r="B213" s="1556"/>
      <c r="D213" s="1556"/>
      <c r="K213" s="1556"/>
      <c r="N213" s="1556"/>
      <c r="O213" s="1556"/>
      <c r="P213" s="1556"/>
      <c r="Q213" s="1556"/>
      <c r="S213" s="1556"/>
      <c r="T213" s="1556"/>
      <c r="U213" s="1556"/>
      <c r="V213" s="1556"/>
      <c r="W213" s="1556"/>
      <c r="X213" s="1556"/>
      <c r="Y213" s="1556"/>
      <c r="Z213" s="1556"/>
      <c r="AA213" s="1556"/>
      <c r="AB213" s="1556"/>
      <c r="AC213" s="1556"/>
      <c r="AD213" s="1556"/>
      <c r="AE213" s="1556"/>
      <c r="AF213" s="1556">
        <v>11</v>
      </c>
    </row>
    <row r="214" spans="1:32" ht="11.45" customHeight="1">
      <c r="A214" s="918"/>
      <c r="B214" s="1556"/>
      <c r="D214" s="1556"/>
      <c r="K214" s="1556"/>
      <c r="N214" s="1556"/>
      <c r="O214" s="1556"/>
      <c r="P214" s="1556"/>
      <c r="Q214" s="1556"/>
      <c r="S214" s="1556"/>
      <c r="T214" s="1556"/>
      <c r="U214" s="1556"/>
      <c r="V214" s="1556"/>
      <c r="W214" s="1556"/>
      <c r="X214" s="1556"/>
      <c r="Y214" s="1556"/>
      <c r="Z214" s="1556"/>
      <c r="AA214" s="1556"/>
      <c r="AB214" s="1556"/>
      <c r="AC214" s="1556"/>
      <c r="AD214" s="1556"/>
      <c r="AE214" s="1556"/>
      <c r="AF214" s="1556">
        <v>11</v>
      </c>
    </row>
    <row r="215" spans="1:32" ht="11.45" customHeight="1">
      <c r="A215" s="918"/>
      <c r="B215" s="1556"/>
      <c r="D215" s="1556"/>
      <c r="K215" s="1556"/>
      <c r="N215" s="1556"/>
      <c r="O215" s="1556"/>
      <c r="P215" s="1556"/>
      <c r="Q215" s="1556"/>
      <c r="S215" s="1556"/>
      <c r="T215" s="1556"/>
      <c r="U215" s="1556"/>
      <c r="V215" s="1556"/>
      <c r="W215" s="1556"/>
      <c r="X215" s="1556"/>
      <c r="Y215" s="1556"/>
      <c r="Z215" s="1556"/>
      <c r="AA215" s="1556"/>
      <c r="AB215" s="1556"/>
      <c r="AC215" s="1556"/>
      <c r="AD215" s="1556"/>
      <c r="AE215" s="1556"/>
      <c r="AF215" s="1556">
        <v>11</v>
      </c>
    </row>
    <row r="216" spans="1:32" ht="11.45" customHeight="1">
      <c r="A216" s="918"/>
      <c r="B216" s="1556"/>
      <c r="D216" s="1556"/>
      <c r="K216" s="1556"/>
      <c r="N216" s="1556"/>
      <c r="O216" s="1556"/>
      <c r="P216" s="1556"/>
      <c r="Q216" s="1556"/>
      <c r="S216" s="1556"/>
      <c r="T216" s="1556"/>
      <c r="U216" s="1556"/>
      <c r="V216" s="1556"/>
      <c r="W216" s="1556"/>
      <c r="X216" s="1556"/>
      <c r="Y216" s="1556"/>
      <c r="Z216" s="1556"/>
      <c r="AA216" s="1556"/>
      <c r="AB216" s="1556"/>
      <c r="AC216" s="1556"/>
      <c r="AD216" s="1556"/>
      <c r="AE216" s="1556"/>
      <c r="AF216" s="1556">
        <v>11</v>
      </c>
    </row>
    <row r="217" spans="1:32" ht="11.25" hidden="1" customHeight="1">
      <c r="A217" s="915" t="s">
        <v>82</v>
      </c>
      <c r="B217" s="1085">
        <v>0</v>
      </c>
      <c r="C217" s="1561">
        <v>0</v>
      </c>
      <c r="D217" s="1560">
        <v>3</v>
      </c>
      <c r="E217" s="1556">
        <v>7</v>
      </c>
      <c r="F217" s="1556">
        <v>56</v>
      </c>
      <c r="G217" s="1556">
        <v>10</v>
      </c>
      <c r="H217" s="1556">
        <v>0</v>
      </c>
      <c r="I217" s="1556">
        <v>40</v>
      </c>
      <c r="J217" s="1556">
        <v>102</v>
      </c>
      <c r="K217" s="1085">
        <v>9</v>
      </c>
      <c r="L217" s="1561">
        <v>5</v>
      </c>
      <c r="M217" s="1561">
        <v>3</v>
      </c>
      <c r="N217" s="1085">
        <v>3</v>
      </c>
      <c r="O217" s="1085">
        <v>3</v>
      </c>
      <c r="P217" s="1085">
        <v>3</v>
      </c>
      <c r="Q217" s="1085">
        <v>3</v>
      </c>
      <c r="R217" s="1561">
        <v>10</v>
      </c>
      <c r="S217" s="1085">
        <v>34</v>
      </c>
      <c r="T217" s="1085">
        <v>9</v>
      </c>
      <c r="U217" s="479">
        <v>8</v>
      </c>
      <c r="V217" s="1085">
        <v>8</v>
      </c>
      <c r="W217" s="1085">
        <v>8</v>
      </c>
      <c r="X217" s="1085">
        <v>8</v>
      </c>
      <c r="Y217" s="1085">
        <v>8</v>
      </c>
      <c r="Z217" s="1085">
        <v>8</v>
      </c>
      <c r="AA217" s="1557">
        <v>8</v>
      </c>
      <c r="AB217" s="1557">
        <v>8</v>
      </c>
      <c r="AC217" s="1557">
        <v>8</v>
      </c>
      <c r="AD217" s="1557">
        <v>8</v>
      </c>
      <c r="AE217" s="1557">
        <v>8</v>
      </c>
      <c r="AF217" s="1556">
        <v>11</v>
      </c>
    </row>
  </sheetData>
  <sheetProtection formatColumns="0" formatRows="0" insertRows="0" deleteColumns="0" deleteRows="0" sort="0" autoFilter="0"/>
  <mergeCells count="7">
    <mergeCell ref="E6:I6"/>
    <mergeCell ref="E7:I7"/>
    <mergeCell ref="F10:G10"/>
    <mergeCell ref="J10:J14"/>
    <mergeCell ref="F11:G11"/>
    <mergeCell ref="F12:G12"/>
    <mergeCell ref="E13:G13"/>
  </mergeCells>
  <dataValidations count="5">
    <dataValidation type="decimal" allowBlank="1" showErrorMessage="1" errorTitle="Ошибка" error="Допускается ввод только действительных чисел!" sqref="H40:I42">
      <formula1>-9.99999999999999E+37</formula1>
      <formula2>9.99999999999999E+37</formula2>
    </dataValidation>
    <dataValidation type="decimal" allowBlank="1" showErrorMessage="1" errorTitle="Ошибка" error="Допускается ввод только действительных чисел!" sqref="H36:I37">
      <formula1>-9.99999999999999E+23</formula1>
      <formula2>9.99999999999999E+23</formula2>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H43:I43">
      <formula1>900</formula1>
    </dataValidation>
    <dataValidation type="decimal" allowBlank="1" showErrorMessage="1" errorTitle="Ошибка" error="Допускается ввод только неотрицательных чисел!" sqref="H38:I39 H2:I2 H15:I15 H17:I32 H35:I35 H44:I46">
      <formula1>0</formula1>
      <formula2>9.99999999999999E+23</formula2>
    </dataValidation>
    <dataValidation type="textLength" operator="lessThanOrEqual" allowBlank="1" showInputMessage="1" showErrorMessage="1" errorTitle="Ошибка" error="Допускается ввод не более 900 символов!" prompt="Введите наименование прочих расходов" sqref="H33:I33">
      <formula1>900</formula1>
    </dataValidation>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9" tint="-0.249977111117893"/>
  </sheetPr>
  <dimension ref="A1:AF210"/>
  <sheetViews>
    <sheetView showGridLines="0" zoomScale="90" workbookViewId="0">
      <pane xSplit="8" ySplit="14" topLeftCell="I15" activePane="bottomRight" state="frozen"/>
      <selection pane="topRight" activeCell="I1" sqref="I1"/>
      <selection pane="bottomLeft" activeCell="A15" sqref="A15"/>
      <selection pane="bottomRight"/>
    </sheetView>
  </sheetViews>
  <sheetFormatPr defaultColWidth="9.140625" defaultRowHeight="11.25" customHeight="1"/>
  <cols>
    <col min="1" max="1" width="10.7109375" style="915" hidden="1" customWidth="1"/>
    <col min="2" max="2" width="16.85546875" style="1291" hidden="1" customWidth="1"/>
    <col min="3" max="3" width="5.5703125" style="1567" hidden="1" customWidth="1"/>
    <col min="4" max="4" width="3" style="1560" customWidth="1"/>
    <col min="5" max="5" width="7" style="1560" customWidth="1"/>
    <col min="6" max="6" width="54" style="1560" customWidth="1"/>
    <col min="7" max="7" width="10" style="1560" customWidth="1"/>
    <col min="8" max="8" width="40.7109375" style="1560" hidden="1" customWidth="1"/>
    <col min="9" max="9" width="40" style="1560" customWidth="1"/>
    <col min="10" max="10" width="102" style="1560" customWidth="1"/>
    <col min="11" max="11" width="9" style="1291" customWidth="1"/>
    <col min="12" max="12" width="5" style="1567" customWidth="1"/>
    <col min="13" max="13" width="3" style="1567" customWidth="1"/>
    <col min="14" max="17" width="3" style="1291" customWidth="1"/>
    <col min="18" max="18" width="10" style="1567" customWidth="1"/>
    <col min="19" max="19" width="34" style="1291" customWidth="1"/>
    <col min="20" max="20" width="9" style="1291" customWidth="1"/>
    <col min="21" max="21" width="8" style="671" customWidth="1"/>
    <col min="22" max="26" width="8" style="1291" customWidth="1"/>
    <col min="27" max="31" width="8" style="1557" customWidth="1"/>
    <col min="32" max="32" width="9.140625" style="1560" hidden="1"/>
  </cols>
  <sheetData>
    <row r="1" spans="1:32" s="1291" customFormat="1" ht="22.5" hidden="1" customHeight="1">
      <c r="A1" s="915"/>
      <c r="C1" s="1561"/>
      <c r="D1" s="472"/>
      <c r="H1" s="1085">
        <v>4</v>
      </c>
      <c r="I1" s="1085">
        <v>4</v>
      </c>
      <c r="L1" s="1561"/>
      <c r="M1" s="1561"/>
      <c r="R1" s="1561"/>
      <c r="AF1" s="1085" t="s">
        <v>14</v>
      </c>
    </row>
    <row r="2" spans="1:32" s="1291" customFormat="1" ht="22.5" hidden="1" customHeight="1">
      <c r="A2" s="915"/>
      <c r="C2" s="1561"/>
      <c r="D2" s="473"/>
      <c r="E2" s="1583"/>
      <c r="F2" s="475"/>
      <c r="G2" s="1582" t="s">
        <v>551</v>
      </c>
      <c r="H2" s="476"/>
      <c r="I2" s="476"/>
      <c r="J2" s="477" t="s">
        <v>554</v>
      </c>
      <c r="K2" s="478"/>
      <c r="L2" s="1561"/>
      <c r="M2" s="1561"/>
      <c r="R2" s="1561"/>
      <c r="U2" s="479"/>
      <c r="AA2" s="1557"/>
      <c r="AB2" s="1557"/>
      <c r="AC2" s="1557"/>
      <c r="AD2" s="1557"/>
      <c r="AE2" s="1557"/>
      <c r="AF2" s="1085">
        <v>0</v>
      </c>
    </row>
    <row r="3" spans="1:32" ht="11.25" hidden="1" customHeight="1">
      <c r="AF3" s="1556">
        <v>0</v>
      </c>
    </row>
    <row r="4" spans="1:32" s="1557" customFormat="1" ht="11.25" hidden="1" customHeight="1">
      <c r="A4" s="915"/>
      <c r="B4" s="1085"/>
      <c r="C4" s="1561"/>
      <c r="D4" s="297"/>
      <c r="J4" s="1557">
        <v>4</v>
      </c>
      <c r="K4" s="1085"/>
      <c r="L4" s="1561"/>
      <c r="M4" s="1561"/>
      <c r="N4" s="1085"/>
      <c r="O4" s="1085"/>
      <c r="P4" s="1085"/>
      <c r="Q4" s="1085"/>
      <c r="R4" s="1561"/>
      <c r="S4" s="1085"/>
      <c r="T4" s="1085"/>
      <c r="U4" s="479"/>
      <c r="V4" s="1085"/>
      <c r="W4" s="1085"/>
      <c r="X4" s="1085"/>
      <c r="Y4" s="1085"/>
      <c r="Z4" s="1085"/>
      <c r="AF4" s="1557">
        <v>0</v>
      </c>
    </row>
    <row r="5" spans="1:32" ht="11.45" customHeight="1">
      <c r="AF5" s="1556">
        <v>11</v>
      </c>
    </row>
    <row r="6" spans="1:32" ht="33.75" customHeight="1">
      <c r="E6" s="2170" t="s">
        <v>774</v>
      </c>
      <c r="F6" s="2170"/>
      <c r="G6" s="2170"/>
      <c r="H6" s="2170"/>
      <c r="I6" s="2170"/>
      <c r="J6" s="491"/>
      <c r="AF6" s="1556">
        <v>32</v>
      </c>
    </row>
    <row r="7" spans="1:32" ht="25.15" customHeight="1">
      <c r="E7" s="2115" t="str">
        <f>IF(org=0,"Не определено",org)</f>
        <v>ООО "ЗЕНИТ ЭНЕРГО"</v>
      </c>
      <c r="F7" s="2115"/>
      <c r="G7" s="2115"/>
      <c r="H7" s="2115"/>
      <c r="I7" s="2115"/>
      <c r="AF7" s="1556">
        <v>24</v>
      </c>
    </row>
    <row r="8" spans="1:32" ht="11.45" customHeight="1">
      <c r="E8" s="1060"/>
      <c r="F8" s="1060"/>
      <c r="G8" s="1060"/>
      <c r="H8" s="1060"/>
      <c r="I8" s="1060"/>
      <c r="AF8" s="1556">
        <v>11</v>
      </c>
    </row>
    <row r="9" spans="1:32" s="1567" customFormat="1" ht="1.1499999999999999" customHeight="1">
      <c r="A9" s="1092"/>
      <c r="H9" s="817"/>
      <c r="I9" s="817" t="s">
        <v>117</v>
      </c>
      <c r="AF9" s="1561">
        <v>1</v>
      </c>
    </row>
    <row r="10" spans="1:32" ht="11.45" customHeight="1">
      <c r="E10" s="646"/>
      <c r="F10" s="2269" t="s">
        <v>105</v>
      </c>
      <c r="G10" s="2270"/>
      <c r="H10" s="1584" t="str">
        <f>IF(H9="","",INDEX(DIFFERENTIATION_UNMERGE_VD,MATCH(H9,DIFFERENTIATION_ID_DIFF,0)))</f>
        <v/>
      </c>
      <c r="I10" s="1584" t="str">
        <f>IF(I9="","",INDEX(DIFFERENTIATION_UNMERGE_VD,MATCH(I9,DIFFERENTIATION_ID_DIFF,0)))</f>
        <v>Производство тепловой энергии. Некомбинированная выработка; Передача. Тепловая энергия; Сбыт. Тепловая энергия</v>
      </c>
      <c r="J10" s="2066"/>
      <c r="AF10" s="1556">
        <v>11</v>
      </c>
    </row>
    <row r="11" spans="1:32" ht="11.45" customHeight="1">
      <c r="E11" s="646"/>
      <c r="F11" s="2269" t="s">
        <v>563</v>
      </c>
      <c r="G11" s="2270"/>
      <c r="H11" s="1584" t="str">
        <f>IF(H9="","",INDEX(DIFFERENTIATION_UNMERGE_AREA,MATCH(H9,DIFFERENTIATION_ID_DIFF,0)))</f>
        <v/>
      </c>
      <c r="I11" s="1584" t="str">
        <f>IF(I9="","",INDEX(DIFFERENTIATION_UNMERGE_AREA,MATCH(I9,DIFFERENTIATION_ID_DIFF,0)))</f>
        <v>Территория 1</v>
      </c>
      <c r="J11" s="2066"/>
      <c r="AF11" s="1556">
        <v>11</v>
      </c>
    </row>
    <row r="12" spans="1:32" ht="11.25" hidden="1" customHeight="1">
      <c r="E12" s="1587"/>
      <c r="F12" s="2289" t="s">
        <v>564</v>
      </c>
      <c r="G12" s="2290"/>
      <c r="H12" s="1588" t="str">
        <f>IF(H9="","",INDEX(DIFFERENTIATION_UNMERGE_SYSTEM,MATCH(H9,DIFFERENTIATION_ID_DIFF,0)))</f>
        <v/>
      </c>
      <c r="I12" s="1588" t="str">
        <f>IF(I9="","",INDEX(DIFFERENTIATION_UNMERGE_SYSTEM,MATCH(I9,DIFFERENTIATION_ID_DIFF,0)))</f>
        <v>без дифференциации</v>
      </c>
      <c r="J12" s="2066"/>
      <c r="AF12" s="1556">
        <v>0</v>
      </c>
    </row>
    <row r="13" spans="1:32" ht="11.45" customHeight="1">
      <c r="E13" s="2271" t="s">
        <v>299</v>
      </c>
      <c r="F13" s="2272"/>
      <c r="G13" s="2272"/>
      <c r="H13" s="1581"/>
      <c r="I13" s="1581"/>
      <c r="J13" s="2066"/>
      <c r="AF13" s="1556">
        <v>11</v>
      </c>
    </row>
    <row r="14" spans="1:32" ht="24" customHeight="1">
      <c r="E14" s="1582" t="s">
        <v>88</v>
      </c>
      <c r="F14" s="1585" t="s">
        <v>301</v>
      </c>
      <c r="G14" s="1585" t="s">
        <v>565</v>
      </c>
      <c r="H14" s="1585" t="s">
        <v>302</v>
      </c>
      <c r="I14" s="1585" t="s">
        <v>302</v>
      </c>
      <c r="J14" s="2066"/>
      <c r="AF14" s="1556">
        <v>23</v>
      </c>
    </row>
    <row r="15" spans="1:32" ht="19.899999999999999" customHeight="1">
      <c r="D15" s="1563"/>
      <c r="E15" s="1555" t="s">
        <v>109</v>
      </c>
      <c r="F15" s="642" t="s">
        <v>775</v>
      </c>
      <c r="G15" s="1582" t="s">
        <v>551</v>
      </c>
      <c r="H15" s="492"/>
      <c r="I15" s="492"/>
      <c r="J15" s="225" t="s">
        <v>776</v>
      </c>
      <c r="K15" s="478" t="s">
        <v>629</v>
      </c>
      <c r="AF15" s="1556">
        <v>19</v>
      </c>
    </row>
    <row r="16" spans="1:32" ht="24" customHeight="1">
      <c r="D16" s="1563"/>
      <c r="E16" s="1555" t="s">
        <v>110</v>
      </c>
      <c r="F16" s="1590" t="s">
        <v>777</v>
      </c>
      <c r="G16" s="1582" t="s">
        <v>551</v>
      </c>
      <c r="H16" s="493">
        <f>SUM(H17,H20:H27)</f>
        <v>0</v>
      </c>
      <c r="I16" s="493">
        <f>SUM(I17,I20:I27)</f>
        <v>0</v>
      </c>
      <c r="J16" s="225" t="s">
        <v>778</v>
      </c>
      <c r="K16" s="478" t="s">
        <v>629</v>
      </c>
      <c r="AF16" s="1556">
        <v>23</v>
      </c>
    </row>
    <row r="17" spans="1:32" ht="35.65" customHeight="1">
      <c r="D17" s="1563"/>
      <c r="E17" s="1589" t="s">
        <v>708</v>
      </c>
      <c r="F17" s="1592" t="s">
        <v>779</v>
      </c>
      <c r="G17" s="1579" t="s">
        <v>551</v>
      </c>
      <c r="H17" s="492"/>
      <c r="I17" s="492"/>
      <c r="J17" s="225" t="s">
        <v>780</v>
      </c>
      <c r="K17" s="478"/>
      <c r="AF17" s="1556">
        <v>34</v>
      </c>
    </row>
    <row r="18" spans="1:32" ht="19.899999999999999" customHeight="1">
      <c r="D18" s="1563"/>
      <c r="E18" s="1589" t="s">
        <v>711</v>
      </c>
      <c r="F18" s="1593" t="s">
        <v>781</v>
      </c>
      <c r="G18" s="1579" t="s">
        <v>551</v>
      </c>
      <c r="H18" s="492"/>
      <c r="I18" s="492"/>
      <c r="J18" s="225"/>
      <c r="K18" s="478"/>
      <c r="AF18" s="1556">
        <v>19</v>
      </c>
    </row>
    <row r="19" spans="1:32" ht="24" customHeight="1">
      <c r="D19" s="1563"/>
      <c r="E19" s="1589" t="s">
        <v>714</v>
      </c>
      <c r="F19" s="1593" t="s">
        <v>782</v>
      </c>
      <c r="G19" s="1579" t="s">
        <v>551</v>
      </c>
      <c r="H19" s="492"/>
      <c r="I19" s="492"/>
      <c r="J19" s="225"/>
      <c r="K19" s="478"/>
      <c r="AF19" s="1556">
        <v>23</v>
      </c>
    </row>
    <row r="20" spans="1:32" ht="35.65" customHeight="1">
      <c r="D20" s="1563"/>
      <c r="E20" s="1589" t="s">
        <v>306</v>
      </c>
      <c r="F20" s="1592" t="s">
        <v>783</v>
      </c>
      <c r="G20" s="1579" t="s">
        <v>551</v>
      </c>
      <c r="H20" s="492"/>
      <c r="I20" s="492"/>
      <c r="J20" s="225"/>
      <c r="K20" s="478"/>
      <c r="AF20" s="1556">
        <v>34</v>
      </c>
    </row>
    <row r="21" spans="1:32" ht="48.2" customHeight="1">
      <c r="D21" s="1563"/>
      <c r="E21" s="1589" t="s">
        <v>309</v>
      </c>
      <c r="F21" s="1592" t="s">
        <v>784</v>
      </c>
      <c r="G21" s="1579" t="s">
        <v>551</v>
      </c>
      <c r="H21" s="492"/>
      <c r="I21" s="492"/>
      <c r="J21" s="225"/>
      <c r="K21" s="478"/>
      <c r="AF21" s="1556">
        <v>46</v>
      </c>
    </row>
    <row r="22" spans="1:32" ht="60" customHeight="1">
      <c r="D22" s="1563"/>
      <c r="E22" s="1589" t="s">
        <v>728</v>
      </c>
      <c r="F22" s="1592" t="s">
        <v>785</v>
      </c>
      <c r="G22" s="1579" t="s">
        <v>551</v>
      </c>
      <c r="H22" s="492"/>
      <c r="I22" s="492"/>
      <c r="J22" s="225"/>
      <c r="K22" s="478"/>
      <c r="AF22" s="1556">
        <v>57</v>
      </c>
    </row>
    <row r="23" spans="1:32" ht="35.65" customHeight="1">
      <c r="D23" s="1563"/>
      <c r="E23" s="1589" t="s">
        <v>735</v>
      </c>
      <c r="F23" s="1592" t="s">
        <v>786</v>
      </c>
      <c r="G23" s="1579" t="s">
        <v>551</v>
      </c>
      <c r="H23" s="492"/>
      <c r="I23" s="492"/>
      <c r="J23" s="225"/>
      <c r="K23" s="478"/>
      <c r="AF23" s="1556">
        <v>34</v>
      </c>
    </row>
    <row r="24" spans="1:32" ht="35.65" customHeight="1">
      <c r="D24" s="1563"/>
      <c r="E24" s="1589" t="s">
        <v>737</v>
      </c>
      <c r="F24" s="1592" t="s">
        <v>787</v>
      </c>
      <c r="G24" s="1579" t="s">
        <v>551</v>
      </c>
      <c r="H24" s="492"/>
      <c r="I24" s="492"/>
      <c r="J24" s="225"/>
      <c r="K24" s="478"/>
      <c r="AF24" s="1556">
        <v>34</v>
      </c>
    </row>
    <row r="25" spans="1:32" ht="24" customHeight="1">
      <c r="D25" s="1563"/>
      <c r="E25" s="1589" t="s">
        <v>739</v>
      </c>
      <c r="F25" s="1592" t="s">
        <v>788</v>
      </c>
      <c r="G25" s="1579" t="s">
        <v>551</v>
      </c>
      <c r="H25" s="492"/>
      <c r="I25" s="492"/>
      <c r="J25" s="225"/>
      <c r="K25" s="478"/>
      <c r="AF25" s="1556">
        <v>23</v>
      </c>
    </row>
    <row r="26" spans="1:32" ht="76.5" customHeight="1">
      <c r="D26" s="1563"/>
      <c r="E26" s="1589" t="s">
        <v>741</v>
      </c>
      <c r="F26" s="1592" t="s">
        <v>789</v>
      </c>
      <c r="G26" s="1579" t="s">
        <v>551</v>
      </c>
      <c r="H26" s="492"/>
      <c r="I26" s="492"/>
      <c r="J26" s="225"/>
      <c r="K26" s="478"/>
      <c r="AF26" s="1556">
        <v>73</v>
      </c>
    </row>
    <row r="27" spans="1:32" s="1291" customFormat="1" ht="35.65" customHeight="1">
      <c r="A27" s="915"/>
      <c r="C27" s="1561"/>
      <c r="D27" s="1563"/>
      <c r="E27" s="1554" t="s">
        <v>745</v>
      </c>
      <c r="F27" s="1553" t="s">
        <v>790</v>
      </c>
      <c r="G27" s="1580" t="s">
        <v>551</v>
      </c>
      <c r="H27" s="514">
        <f>SUM(H28:H29)</f>
        <v>0</v>
      </c>
      <c r="I27" s="514">
        <f>SUM(I28:I29)</f>
        <v>0</v>
      </c>
      <c r="J27" s="225" t="s">
        <v>743</v>
      </c>
      <c r="K27" s="478"/>
      <c r="L27" s="1561"/>
      <c r="M27" s="1561"/>
      <c r="R27" s="1561"/>
      <c r="U27" s="479"/>
      <c r="AA27" s="1557"/>
      <c r="AB27" s="1557"/>
      <c r="AC27" s="1557"/>
      <c r="AD27" s="1557"/>
      <c r="AE27" s="1557"/>
      <c r="AF27" s="1085">
        <v>34</v>
      </c>
    </row>
    <row r="28" spans="1:32" s="1567" customFormat="1" ht="1.1499999999999999" customHeight="1">
      <c r="A28" s="1092"/>
      <c r="D28" s="483"/>
      <c r="E28" s="731" t="str">
        <f>E27&amp;".0"</f>
        <v>2.9.0</v>
      </c>
      <c r="F28" s="919"/>
      <c r="G28" s="486"/>
      <c r="H28" s="920"/>
      <c r="I28" s="920"/>
      <c r="J28" s="921"/>
      <c r="AF28" s="1561">
        <v>1</v>
      </c>
    </row>
    <row r="29" spans="1:32" s="1291" customFormat="1" ht="19.899999999999999" customHeight="1">
      <c r="A29" s="915"/>
      <c r="C29" s="1561"/>
      <c r="D29" s="1558"/>
      <c r="E29" s="505"/>
      <c r="F29" s="1591" t="s">
        <v>576</v>
      </c>
      <c r="G29" s="507"/>
      <c r="H29" s="508"/>
      <c r="I29" s="508"/>
      <c r="J29" s="237" t="s">
        <v>744</v>
      </c>
      <c r="K29" s="478"/>
      <c r="L29" s="1561"/>
      <c r="M29" s="1561"/>
      <c r="R29" s="1561"/>
      <c r="U29" s="479"/>
      <c r="AA29" s="1557"/>
      <c r="AB29" s="1557"/>
      <c r="AC29" s="1557"/>
      <c r="AD29" s="1557"/>
      <c r="AE29" s="1557"/>
      <c r="AF29" s="1085">
        <v>19</v>
      </c>
    </row>
    <row r="30" spans="1:32" s="1291" customFormat="1" ht="24" customHeight="1">
      <c r="A30" s="915"/>
      <c r="C30" s="1561"/>
      <c r="D30" s="1563"/>
      <c r="E30" s="1589" t="s">
        <v>90</v>
      </c>
      <c r="F30" s="1586" t="s">
        <v>791</v>
      </c>
      <c r="G30" s="1579" t="s">
        <v>551</v>
      </c>
      <c r="H30" s="492"/>
      <c r="I30" s="492"/>
      <c r="J30" s="225"/>
      <c r="K30" s="478"/>
      <c r="L30" s="1561"/>
      <c r="M30" s="1561"/>
      <c r="R30" s="1561"/>
      <c r="U30" s="479"/>
      <c r="AA30" s="1557"/>
      <c r="AB30" s="1557"/>
      <c r="AC30" s="1557"/>
      <c r="AD30" s="1557"/>
      <c r="AE30" s="1557"/>
      <c r="AF30" s="1085">
        <v>23</v>
      </c>
    </row>
    <row r="31" spans="1:32" s="1291" customFormat="1" ht="35.65" customHeight="1">
      <c r="A31" s="915"/>
      <c r="C31" s="1561"/>
      <c r="D31" s="510"/>
      <c r="E31" s="1589" t="s">
        <v>91</v>
      </c>
      <c r="F31" s="1586" t="s">
        <v>792</v>
      </c>
      <c r="G31" s="1579" t="s">
        <v>551</v>
      </c>
      <c r="H31" s="492"/>
      <c r="I31" s="492"/>
      <c r="J31" s="225" t="s">
        <v>793</v>
      </c>
      <c r="K31" s="478"/>
      <c r="L31" s="1561"/>
      <c r="M31" s="1561"/>
      <c r="R31" s="1561"/>
      <c r="U31" s="479"/>
      <c r="AA31" s="1557"/>
      <c r="AB31" s="1557"/>
      <c r="AC31" s="1557"/>
      <c r="AD31" s="1557"/>
      <c r="AE31" s="1557"/>
      <c r="AF31" s="1085">
        <v>34</v>
      </c>
    </row>
    <row r="32" spans="1:32" s="1291" customFormat="1" ht="24" customHeight="1">
      <c r="A32" s="915"/>
      <c r="C32" s="1561"/>
      <c r="D32" s="1563"/>
      <c r="E32" s="1589" t="s">
        <v>753</v>
      </c>
      <c r="F32" s="625" t="s">
        <v>757</v>
      </c>
      <c r="G32" s="1579" t="s">
        <v>551</v>
      </c>
      <c r="H32" s="492"/>
      <c r="I32" s="492"/>
      <c r="J32" s="225" t="s">
        <v>794</v>
      </c>
      <c r="K32" s="478"/>
      <c r="L32" s="1561"/>
      <c r="M32" s="1561"/>
      <c r="R32" s="1561"/>
      <c r="U32" s="479"/>
      <c r="AA32" s="1557"/>
      <c r="AB32" s="1557"/>
      <c r="AC32" s="1557"/>
      <c r="AD32" s="1557"/>
      <c r="AE32" s="1557"/>
      <c r="AF32" s="1085">
        <v>23</v>
      </c>
    </row>
    <row r="33" spans="1:32" s="1291" customFormat="1" ht="24" customHeight="1">
      <c r="A33" s="915"/>
      <c r="C33" s="1561"/>
      <c r="D33" s="1563"/>
      <c r="E33" s="1589" t="s">
        <v>795</v>
      </c>
      <c r="F33" s="625" t="s">
        <v>796</v>
      </c>
      <c r="G33" s="1579" t="s">
        <v>551</v>
      </c>
      <c r="H33" s="492"/>
      <c r="I33" s="492"/>
      <c r="J33" s="225" t="s">
        <v>797</v>
      </c>
      <c r="K33" s="478"/>
      <c r="L33" s="1561"/>
      <c r="M33" s="1561"/>
      <c r="R33" s="1561"/>
      <c r="U33" s="479"/>
      <c r="AA33" s="1557"/>
      <c r="AB33" s="1557"/>
      <c r="AC33" s="1557"/>
      <c r="AD33" s="1557"/>
      <c r="AE33" s="1557"/>
      <c r="AF33" s="1085">
        <v>23</v>
      </c>
    </row>
    <row r="34" spans="1:32" s="1291" customFormat="1" ht="24" customHeight="1">
      <c r="A34" s="915"/>
      <c r="C34" s="1561"/>
      <c r="D34" s="1563"/>
      <c r="E34" s="1589" t="s">
        <v>798</v>
      </c>
      <c r="F34" s="625" t="s">
        <v>763</v>
      </c>
      <c r="G34" s="1579" t="s">
        <v>551</v>
      </c>
      <c r="H34" s="492"/>
      <c r="I34" s="492"/>
      <c r="J34" s="225" t="s">
        <v>799</v>
      </c>
      <c r="K34" s="478"/>
      <c r="L34" s="1561"/>
      <c r="M34" s="1561"/>
      <c r="R34" s="1561"/>
      <c r="U34" s="479"/>
      <c r="AA34" s="1557"/>
      <c r="AB34" s="1557"/>
      <c r="AC34" s="1557"/>
      <c r="AD34" s="1557"/>
      <c r="AE34" s="1557"/>
      <c r="AF34" s="1085">
        <v>23</v>
      </c>
    </row>
    <row r="35" spans="1:32" s="1291" customFormat="1" ht="35.65" customHeight="1">
      <c r="A35" s="915"/>
      <c r="C35" s="1561" t="s">
        <v>587</v>
      </c>
      <c r="D35" s="1563"/>
      <c r="E35" s="1589" t="s">
        <v>111</v>
      </c>
      <c r="F35" s="1586" t="s">
        <v>628</v>
      </c>
      <c r="G35" s="1582" t="s">
        <v>305</v>
      </c>
      <c r="H35" s="336"/>
      <c r="I35" s="336"/>
      <c r="J35" s="225" t="s">
        <v>800</v>
      </c>
      <c r="K35" s="478"/>
      <c r="L35" s="1561"/>
      <c r="M35" s="1561"/>
      <c r="R35" s="1561"/>
      <c r="U35" s="479"/>
      <c r="AA35" s="1557"/>
      <c r="AB35" s="1557"/>
      <c r="AC35" s="1557"/>
      <c r="AD35" s="1557"/>
      <c r="AE35" s="1557"/>
      <c r="AF35" s="1085">
        <v>34</v>
      </c>
    </row>
    <row r="36" spans="1:32" s="1291" customFormat="1" ht="35.65" customHeight="1">
      <c r="A36" s="915"/>
      <c r="C36" s="1561"/>
      <c r="D36" s="1563"/>
      <c r="E36" s="1589" t="s">
        <v>92</v>
      </c>
      <c r="F36" s="1586" t="s">
        <v>801</v>
      </c>
      <c r="G36" s="1579" t="s">
        <v>768</v>
      </c>
      <c r="H36" s="480"/>
      <c r="I36" s="480"/>
      <c r="J36" s="225" t="s">
        <v>769</v>
      </c>
      <c r="K36" s="478"/>
      <c r="L36" s="1561"/>
      <c r="M36" s="1561"/>
      <c r="R36" s="1561"/>
      <c r="U36" s="479"/>
      <c r="AA36" s="1557"/>
      <c r="AB36" s="1557"/>
      <c r="AC36" s="1557"/>
      <c r="AD36" s="1557"/>
      <c r="AE36" s="1557"/>
      <c r="AF36" s="1085">
        <v>34</v>
      </c>
    </row>
    <row r="37" spans="1:32" s="1291" customFormat="1" ht="24" customHeight="1">
      <c r="A37" s="915"/>
      <c r="C37" s="1561"/>
      <c r="D37" s="1563"/>
      <c r="E37" s="1589" t="s">
        <v>93</v>
      </c>
      <c r="F37" s="1586" t="s">
        <v>802</v>
      </c>
      <c r="G37" s="1579" t="s">
        <v>771</v>
      </c>
      <c r="H37" s="480"/>
      <c r="I37" s="480"/>
      <c r="J37" s="225" t="s">
        <v>772</v>
      </c>
      <c r="K37" s="478"/>
      <c r="L37" s="1561"/>
      <c r="M37" s="1561"/>
      <c r="R37" s="1561"/>
      <c r="U37" s="479"/>
      <c r="AA37" s="1557"/>
      <c r="AB37" s="1557"/>
      <c r="AC37" s="1557"/>
      <c r="AD37" s="1557"/>
      <c r="AE37" s="1557"/>
      <c r="AF37" s="1085">
        <v>23</v>
      </c>
    </row>
    <row r="38" spans="1:32" ht="11.45" customHeight="1">
      <c r="D38" s="1563"/>
      <c r="AF38" s="1556">
        <v>11</v>
      </c>
    </row>
    <row r="39" spans="1:32" ht="27.4" customHeight="1">
      <c r="D39" s="1563"/>
      <c r="E39" s="1178" t="s">
        <v>803</v>
      </c>
      <c r="F39" s="2206" t="s">
        <v>804</v>
      </c>
      <c r="G39" s="2206"/>
      <c r="H39" s="304"/>
      <c r="I39" s="304"/>
      <c r="J39" s="304"/>
      <c r="AF39" s="1556">
        <v>26</v>
      </c>
    </row>
    <row r="40" spans="1:32" s="1566" customFormat="1" ht="39.75" customHeight="1">
      <c r="A40" s="915"/>
      <c r="B40" s="1561"/>
      <c r="C40" s="1561"/>
      <c r="D40" s="286"/>
      <c r="F40" s="2206" t="s">
        <v>805</v>
      </c>
      <c r="G40" s="2206"/>
      <c r="H40" s="304"/>
      <c r="I40" s="304"/>
      <c r="J40" s="304"/>
      <c r="K40" s="1085"/>
      <c r="L40" s="1561"/>
      <c r="M40" s="1561"/>
      <c r="N40" s="1085"/>
      <c r="O40" s="1085"/>
      <c r="P40" s="1085"/>
      <c r="Q40" s="1085"/>
      <c r="R40" s="1561"/>
      <c r="S40" s="1085"/>
      <c r="T40" s="1085"/>
      <c r="U40" s="479"/>
      <c r="V40" s="1085"/>
      <c r="W40" s="1085"/>
      <c r="X40" s="1085"/>
      <c r="Y40" s="1085"/>
      <c r="Z40" s="1085"/>
      <c r="AA40" s="1557"/>
      <c r="AB40" s="501"/>
      <c r="AC40" s="501"/>
      <c r="AD40" s="501"/>
      <c r="AE40" s="501"/>
      <c r="AF40" s="1566">
        <v>38</v>
      </c>
    </row>
    <row r="41" spans="1:32" s="1566" customFormat="1" ht="11.45" customHeight="1">
      <c r="A41" s="915"/>
      <c r="B41" s="1561"/>
      <c r="C41" s="1561"/>
      <c r="D41" s="286"/>
      <c r="K41" s="1085"/>
      <c r="L41" s="1561"/>
      <c r="M41" s="1561"/>
      <c r="N41" s="1085"/>
      <c r="O41" s="1085"/>
      <c r="P41" s="1085"/>
      <c r="Q41" s="1085"/>
      <c r="R41" s="1561"/>
      <c r="S41" s="1085"/>
      <c r="T41" s="1085"/>
      <c r="U41" s="479"/>
      <c r="V41" s="1085"/>
      <c r="W41" s="1085"/>
      <c r="X41" s="1085"/>
      <c r="Y41" s="1085"/>
      <c r="Z41" s="1085"/>
      <c r="AA41" s="1557"/>
      <c r="AB41" s="501"/>
      <c r="AC41" s="501"/>
      <c r="AD41" s="501"/>
      <c r="AE41" s="501"/>
      <c r="AF41" s="1566">
        <v>11</v>
      </c>
    </row>
    <row r="42" spans="1:32" s="1566" customFormat="1" ht="11.45" customHeight="1">
      <c r="A42" s="915"/>
      <c r="B42" s="1561"/>
      <c r="C42" s="1561"/>
      <c r="D42" s="286"/>
      <c r="K42" s="1085"/>
      <c r="L42" s="1561"/>
      <c r="M42" s="1561"/>
      <c r="N42" s="1085"/>
      <c r="O42" s="1085"/>
      <c r="P42" s="1085"/>
      <c r="Q42" s="1085"/>
      <c r="R42" s="1561"/>
      <c r="S42" s="1085"/>
      <c r="T42" s="1085"/>
      <c r="U42" s="479"/>
      <c r="V42" s="1085"/>
      <c r="W42" s="1085"/>
      <c r="X42" s="1085"/>
      <c r="Y42" s="1085"/>
      <c r="Z42" s="1085"/>
      <c r="AA42" s="1557"/>
      <c r="AB42" s="501"/>
      <c r="AC42" s="501"/>
      <c r="AD42" s="501"/>
      <c r="AE42" s="501"/>
      <c r="AF42" s="1566">
        <v>11</v>
      </c>
    </row>
    <row r="43" spans="1:32" s="1566" customFormat="1" ht="11.45" customHeight="1">
      <c r="A43" s="915"/>
      <c r="B43" s="1561"/>
      <c r="C43" s="1561"/>
      <c r="D43" s="286"/>
      <c r="H43" s="501"/>
      <c r="I43" s="501"/>
      <c r="K43" s="1085"/>
      <c r="L43" s="1561"/>
      <c r="M43" s="1561"/>
      <c r="N43" s="1085"/>
      <c r="O43" s="1085"/>
      <c r="P43" s="1085"/>
      <c r="Q43" s="1085"/>
      <c r="R43" s="1561"/>
      <c r="S43" s="1085"/>
      <c r="T43" s="1085"/>
      <c r="U43" s="479"/>
      <c r="V43" s="1085"/>
      <c r="W43" s="1085"/>
      <c r="X43" s="1085"/>
      <c r="Y43" s="1085"/>
      <c r="Z43" s="1085"/>
      <c r="AA43" s="1557"/>
      <c r="AB43" s="501"/>
      <c r="AC43" s="501"/>
      <c r="AD43" s="501"/>
      <c r="AE43" s="501"/>
      <c r="AF43" s="1566">
        <v>11</v>
      </c>
    </row>
    <row r="44" spans="1:32" s="1566" customFormat="1" ht="11.45" customHeight="1">
      <c r="A44" s="915"/>
      <c r="B44" s="1561"/>
      <c r="C44" s="1561"/>
      <c r="D44" s="286"/>
      <c r="K44" s="1085"/>
      <c r="L44" s="1561"/>
      <c r="M44" s="1561"/>
      <c r="N44" s="1085"/>
      <c r="O44" s="1085"/>
      <c r="P44" s="1085"/>
      <c r="Q44" s="1085"/>
      <c r="R44" s="1561"/>
      <c r="S44" s="1085"/>
      <c r="T44" s="1085"/>
      <c r="U44" s="479"/>
      <c r="V44" s="1085"/>
      <c r="W44" s="1085"/>
      <c r="X44" s="1085"/>
      <c r="Y44" s="1085"/>
      <c r="Z44" s="1085"/>
      <c r="AA44" s="1557"/>
      <c r="AB44" s="501"/>
      <c r="AC44" s="501"/>
      <c r="AD44" s="501"/>
      <c r="AE44" s="501"/>
      <c r="AF44" s="1566">
        <v>11</v>
      </c>
    </row>
    <row r="45" spans="1:32" s="1566" customFormat="1" ht="11.45" customHeight="1">
      <c r="A45" s="915"/>
      <c r="B45" s="1561"/>
      <c r="C45" s="1561"/>
      <c r="D45" s="286"/>
      <c r="K45" s="1085"/>
      <c r="L45" s="1561"/>
      <c r="M45" s="1561"/>
      <c r="N45" s="1085"/>
      <c r="O45" s="1085"/>
      <c r="P45" s="1085"/>
      <c r="Q45" s="1085"/>
      <c r="R45" s="1561"/>
      <c r="S45" s="1085"/>
      <c r="T45" s="1085"/>
      <c r="U45" s="479"/>
      <c r="V45" s="1085"/>
      <c r="W45" s="1085"/>
      <c r="X45" s="1085"/>
      <c r="Y45" s="1085"/>
      <c r="Z45" s="1085"/>
      <c r="AA45" s="1557"/>
      <c r="AB45" s="501"/>
      <c r="AC45" s="501"/>
      <c r="AD45" s="501"/>
      <c r="AE45" s="501"/>
      <c r="AF45" s="1566">
        <v>11</v>
      </c>
    </row>
    <row r="46" spans="1:32" s="1566" customFormat="1" ht="11.45" customHeight="1">
      <c r="A46" s="915"/>
      <c r="B46" s="1561"/>
      <c r="C46" s="1561"/>
      <c r="D46" s="286"/>
      <c r="K46" s="1085"/>
      <c r="L46" s="1561"/>
      <c r="M46" s="1561"/>
      <c r="N46" s="1085"/>
      <c r="O46" s="1085"/>
      <c r="P46" s="1085"/>
      <c r="Q46" s="1085"/>
      <c r="R46" s="1561"/>
      <c r="S46" s="1085"/>
      <c r="T46" s="1085"/>
      <c r="U46" s="479"/>
      <c r="V46" s="1085"/>
      <c r="W46" s="1085"/>
      <c r="X46" s="1085"/>
      <c r="Y46" s="1085"/>
      <c r="Z46" s="1085"/>
      <c r="AA46" s="1557"/>
      <c r="AB46" s="501"/>
      <c r="AC46" s="501"/>
      <c r="AD46" s="501"/>
      <c r="AE46" s="501"/>
      <c r="AF46" s="1566">
        <v>11</v>
      </c>
    </row>
    <row r="47" spans="1:32" s="1566" customFormat="1" ht="11.45" customHeight="1">
      <c r="A47" s="915"/>
      <c r="B47" s="1561"/>
      <c r="C47" s="1561"/>
      <c r="D47" s="286"/>
      <c r="K47" s="1085"/>
      <c r="L47" s="1561"/>
      <c r="M47" s="1561"/>
      <c r="N47" s="1085"/>
      <c r="O47" s="1085"/>
      <c r="P47" s="1085"/>
      <c r="Q47" s="1085"/>
      <c r="R47" s="1561"/>
      <c r="S47" s="1085"/>
      <c r="T47" s="1085"/>
      <c r="U47" s="479"/>
      <c r="V47" s="1085"/>
      <c r="W47" s="1085"/>
      <c r="X47" s="1085"/>
      <c r="Y47" s="1085"/>
      <c r="Z47" s="1085"/>
      <c r="AA47" s="1557"/>
      <c r="AB47" s="501"/>
      <c r="AC47" s="501"/>
      <c r="AD47" s="501"/>
      <c r="AE47" s="501"/>
      <c r="AF47" s="1566">
        <v>11</v>
      </c>
    </row>
    <row r="48" spans="1:32" s="1566" customFormat="1" ht="11.45" customHeight="1">
      <c r="A48" s="915"/>
      <c r="B48" s="1561"/>
      <c r="C48" s="1561"/>
      <c r="D48" s="286"/>
      <c r="K48" s="1085"/>
      <c r="L48" s="1561"/>
      <c r="M48" s="1561"/>
      <c r="N48" s="1085"/>
      <c r="O48" s="1085"/>
      <c r="P48" s="1085"/>
      <c r="Q48" s="1085"/>
      <c r="R48" s="1561"/>
      <c r="S48" s="1085"/>
      <c r="T48" s="1085"/>
      <c r="U48" s="479"/>
      <c r="V48" s="1085"/>
      <c r="W48" s="1085"/>
      <c r="X48" s="1085"/>
      <c r="Y48" s="1085"/>
      <c r="Z48" s="1085"/>
      <c r="AA48" s="1557"/>
      <c r="AB48" s="501"/>
      <c r="AC48" s="501"/>
      <c r="AD48" s="501"/>
      <c r="AE48" s="501"/>
      <c r="AF48" s="1566">
        <v>11</v>
      </c>
    </row>
    <row r="49" spans="1:32" s="1566" customFormat="1" ht="11.45" customHeight="1">
      <c r="A49" s="915"/>
      <c r="B49" s="1561"/>
      <c r="C49" s="1561"/>
      <c r="D49" s="286"/>
      <c r="K49" s="1085"/>
      <c r="L49" s="1561"/>
      <c r="M49" s="1561"/>
      <c r="N49" s="1085"/>
      <c r="O49" s="1085"/>
      <c r="P49" s="1085"/>
      <c r="Q49" s="1085"/>
      <c r="R49" s="1561"/>
      <c r="S49" s="1085"/>
      <c r="T49" s="1085"/>
      <c r="U49" s="479"/>
      <c r="V49" s="1085"/>
      <c r="W49" s="1085"/>
      <c r="X49" s="1085"/>
      <c r="Y49" s="1085"/>
      <c r="Z49" s="1085"/>
      <c r="AA49" s="1557"/>
      <c r="AB49" s="501"/>
      <c r="AC49" s="501"/>
      <c r="AD49" s="501"/>
      <c r="AE49" s="501"/>
      <c r="AF49" s="1566">
        <v>11</v>
      </c>
    </row>
    <row r="50" spans="1:32" s="1566" customFormat="1" ht="11.45" customHeight="1">
      <c r="A50" s="915"/>
      <c r="B50" s="1561"/>
      <c r="C50" s="1561"/>
      <c r="D50" s="286"/>
      <c r="K50" s="1085"/>
      <c r="L50" s="1561"/>
      <c r="M50" s="1561"/>
      <c r="N50" s="1085"/>
      <c r="O50" s="1085"/>
      <c r="P50" s="1085"/>
      <c r="Q50" s="1085"/>
      <c r="R50" s="1561"/>
      <c r="S50" s="1085"/>
      <c r="T50" s="1085"/>
      <c r="U50" s="479"/>
      <c r="V50" s="1085"/>
      <c r="W50" s="1085"/>
      <c r="X50" s="1085"/>
      <c r="Y50" s="1085"/>
      <c r="Z50" s="1085"/>
      <c r="AA50" s="1557"/>
      <c r="AB50" s="501"/>
      <c r="AC50" s="501"/>
      <c r="AD50" s="501"/>
      <c r="AE50" s="501"/>
      <c r="AF50" s="1566">
        <v>11</v>
      </c>
    </row>
    <row r="51" spans="1:32" s="1566" customFormat="1" ht="11.45" customHeight="1">
      <c r="A51" s="915"/>
      <c r="B51" s="1561"/>
      <c r="C51" s="1561"/>
      <c r="D51" s="286"/>
      <c r="K51" s="1085"/>
      <c r="L51" s="1561"/>
      <c r="M51" s="1561"/>
      <c r="N51" s="1085"/>
      <c r="O51" s="1085"/>
      <c r="P51" s="1085"/>
      <c r="Q51" s="1085"/>
      <c r="R51" s="1561"/>
      <c r="S51" s="1085"/>
      <c r="T51" s="1085"/>
      <c r="U51" s="479"/>
      <c r="V51" s="1085"/>
      <c r="W51" s="1085"/>
      <c r="X51" s="1085"/>
      <c r="Y51" s="1085"/>
      <c r="Z51" s="1085"/>
      <c r="AA51" s="1557"/>
      <c r="AB51" s="501"/>
      <c r="AC51" s="501"/>
      <c r="AD51" s="501"/>
      <c r="AE51" s="501"/>
      <c r="AF51" s="1566">
        <v>11</v>
      </c>
    </row>
    <row r="52" spans="1:32" s="1566" customFormat="1" ht="11.45" customHeight="1">
      <c r="A52" s="915"/>
      <c r="B52" s="1561"/>
      <c r="C52" s="1561"/>
      <c r="D52" s="286"/>
      <c r="K52" s="1085"/>
      <c r="L52" s="1561"/>
      <c r="M52" s="1561"/>
      <c r="N52" s="1085"/>
      <c r="O52" s="1085"/>
      <c r="P52" s="1085"/>
      <c r="Q52" s="1085"/>
      <c r="R52" s="1561"/>
      <c r="S52" s="1085"/>
      <c r="T52" s="1085"/>
      <c r="U52" s="479"/>
      <c r="V52" s="1085"/>
      <c r="W52" s="1085"/>
      <c r="X52" s="1085"/>
      <c r="Y52" s="1085"/>
      <c r="Z52" s="1085"/>
      <c r="AA52" s="1557"/>
      <c r="AB52" s="501"/>
      <c r="AC52" s="501"/>
      <c r="AD52" s="501"/>
      <c r="AE52" s="501"/>
      <c r="AF52" s="1566">
        <v>11</v>
      </c>
    </row>
    <row r="53" spans="1:32" s="1566" customFormat="1" ht="11.45" customHeight="1">
      <c r="A53" s="915"/>
      <c r="B53" s="1561"/>
      <c r="C53" s="1561"/>
      <c r="D53" s="286"/>
      <c r="K53" s="1085"/>
      <c r="L53" s="1561"/>
      <c r="M53" s="1561"/>
      <c r="N53" s="1085"/>
      <c r="O53" s="1085"/>
      <c r="P53" s="1085"/>
      <c r="Q53" s="1085"/>
      <c r="R53" s="1561"/>
      <c r="S53" s="1085"/>
      <c r="T53" s="1085"/>
      <c r="U53" s="479"/>
      <c r="V53" s="1085"/>
      <c r="W53" s="1085"/>
      <c r="X53" s="1085"/>
      <c r="Y53" s="1085"/>
      <c r="Z53" s="1085"/>
      <c r="AA53" s="1557"/>
      <c r="AB53" s="501"/>
      <c r="AC53" s="501"/>
      <c r="AD53" s="501"/>
      <c r="AE53" s="501"/>
      <c r="AF53" s="1566">
        <v>11</v>
      </c>
    </row>
    <row r="54" spans="1:32" s="1566" customFormat="1" ht="11.45" customHeight="1">
      <c r="A54" s="915"/>
      <c r="B54" s="1561"/>
      <c r="C54" s="1561"/>
      <c r="D54" s="286"/>
      <c r="K54" s="1085"/>
      <c r="L54" s="1561"/>
      <c r="M54" s="1561"/>
      <c r="N54" s="1085"/>
      <c r="O54" s="1085"/>
      <c r="P54" s="1085"/>
      <c r="Q54" s="1085"/>
      <c r="R54" s="1561"/>
      <c r="S54" s="1085"/>
      <c r="T54" s="1085"/>
      <c r="U54" s="479"/>
      <c r="V54" s="1085"/>
      <c r="W54" s="1085"/>
      <c r="X54" s="1085"/>
      <c r="Y54" s="1085"/>
      <c r="Z54" s="1085"/>
      <c r="AA54" s="1557"/>
      <c r="AB54" s="501"/>
      <c r="AC54" s="501"/>
      <c r="AD54" s="501"/>
      <c r="AE54" s="501"/>
      <c r="AF54" s="1566">
        <v>11</v>
      </c>
    </row>
    <row r="55" spans="1:32" s="1566" customFormat="1" ht="11.45" customHeight="1">
      <c r="A55" s="915"/>
      <c r="B55" s="1561"/>
      <c r="C55" s="1561"/>
      <c r="D55" s="286"/>
      <c r="K55" s="1085"/>
      <c r="L55" s="1561"/>
      <c r="M55" s="1561"/>
      <c r="N55" s="1085"/>
      <c r="O55" s="1085"/>
      <c r="P55" s="1085"/>
      <c r="Q55" s="1085"/>
      <c r="R55" s="1561"/>
      <c r="S55" s="1085"/>
      <c r="T55" s="1085"/>
      <c r="U55" s="479"/>
      <c r="V55" s="1085"/>
      <c r="W55" s="1085"/>
      <c r="X55" s="1085"/>
      <c r="Y55" s="1085"/>
      <c r="Z55" s="1085"/>
      <c r="AA55" s="1557"/>
      <c r="AB55" s="501"/>
      <c r="AC55" s="501"/>
      <c r="AD55" s="501"/>
      <c r="AE55" s="501"/>
      <c r="AF55" s="1566">
        <v>11</v>
      </c>
    </row>
    <row r="56" spans="1:32" s="1566" customFormat="1" ht="11.45" customHeight="1">
      <c r="A56" s="915"/>
      <c r="B56" s="1561"/>
      <c r="C56" s="1561"/>
      <c r="D56" s="286"/>
      <c r="K56" s="1085"/>
      <c r="L56" s="1561"/>
      <c r="M56" s="1561"/>
      <c r="N56" s="1085"/>
      <c r="O56" s="1085"/>
      <c r="P56" s="1085"/>
      <c r="Q56" s="1085"/>
      <c r="R56" s="1561"/>
      <c r="S56" s="1085"/>
      <c r="T56" s="1085"/>
      <c r="U56" s="479"/>
      <c r="V56" s="1085"/>
      <c r="W56" s="1085"/>
      <c r="X56" s="1085"/>
      <c r="Y56" s="1085"/>
      <c r="Z56" s="1085"/>
      <c r="AA56" s="1557"/>
      <c r="AB56" s="501"/>
      <c r="AC56" s="501"/>
      <c r="AD56" s="501"/>
      <c r="AE56" s="501"/>
      <c r="AF56" s="1566">
        <v>11</v>
      </c>
    </row>
    <row r="57" spans="1:32" s="1566" customFormat="1" ht="11.45" customHeight="1">
      <c r="A57" s="915"/>
      <c r="B57" s="1561"/>
      <c r="C57" s="1561"/>
      <c r="D57" s="286"/>
      <c r="K57" s="1085"/>
      <c r="L57" s="1561"/>
      <c r="M57" s="1561"/>
      <c r="N57" s="1085"/>
      <c r="O57" s="1085"/>
      <c r="P57" s="1085"/>
      <c r="Q57" s="1085"/>
      <c r="R57" s="1561"/>
      <c r="S57" s="1085"/>
      <c r="T57" s="1085"/>
      <c r="U57" s="479"/>
      <c r="V57" s="1085"/>
      <c r="W57" s="1085"/>
      <c r="X57" s="1085"/>
      <c r="Y57" s="1085"/>
      <c r="Z57" s="1085"/>
      <c r="AA57" s="1557"/>
      <c r="AB57" s="501"/>
      <c r="AC57" s="501"/>
      <c r="AD57" s="501"/>
      <c r="AE57" s="501"/>
      <c r="AF57" s="1566">
        <v>11</v>
      </c>
    </row>
    <row r="58" spans="1:32" s="1566" customFormat="1" ht="11.45" customHeight="1">
      <c r="A58" s="915"/>
      <c r="B58" s="1561"/>
      <c r="C58" s="1561"/>
      <c r="D58" s="286"/>
      <c r="K58" s="1085"/>
      <c r="L58" s="1561"/>
      <c r="M58" s="1561"/>
      <c r="N58" s="1085"/>
      <c r="O58" s="1085"/>
      <c r="P58" s="1085"/>
      <c r="Q58" s="1085"/>
      <c r="R58" s="1561"/>
      <c r="S58" s="1085"/>
      <c r="T58" s="1085"/>
      <c r="U58" s="479"/>
      <c r="V58" s="1085"/>
      <c r="W58" s="1085"/>
      <c r="X58" s="1085"/>
      <c r="Y58" s="1085"/>
      <c r="Z58" s="1085"/>
      <c r="AA58" s="1557"/>
      <c r="AB58" s="501"/>
      <c r="AC58" s="501"/>
      <c r="AD58" s="501"/>
      <c r="AE58" s="501"/>
      <c r="AF58" s="1566">
        <v>11</v>
      </c>
    </row>
    <row r="59" spans="1:32" s="1566" customFormat="1" ht="11.45" customHeight="1">
      <c r="A59" s="915"/>
      <c r="B59" s="1561"/>
      <c r="C59" s="1561"/>
      <c r="D59" s="286"/>
      <c r="K59" s="1085"/>
      <c r="L59" s="1561"/>
      <c r="M59" s="1561"/>
      <c r="N59" s="1085"/>
      <c r="O59" s="1085"/>
      <c r="P59" s="1085"/>
      <c r="Q59" s="1085"/>
      <c r="R59" s="1561"/>
      <c r="S59" s="1085"/>
      <c r="T59" s="1085"/>
      <c r="U59" s="479"/>
      <c r="V59" s="1085"/>
      <c r="W59" s="1085"/>
      <c r="X59" s="1085"/>
      <c r="Y59" s="1085"/>
      <c r="Z59" s="1085"/>
      <c r="AA59" s="1557"/>
      <c r="AB59" s="501"/>
      <c r="AC59" s="501"/>
      <c r="AD59" s="501"/>
      <c r="AE59" s="501"/>
      <c r="AF59" s="1566">
        <v>11</v>
      </c>
    </row>
    <row r="60" spans="1:32" s="1566" customFormat="1" ht="11.45" customHeight="1">
      <c r="A60" s="915"/>
      <c r="B60" s="1561"/>
      <c r="C60" s="1561"/>
      <c r="D60" s="286"/>
      <c r="K60" s="1085"/>
      <c r="L60" s="1561"/>
      <c r="M60" s="1561"/>
      <c r="N60" s="1085"/>
      <c r="O60" s="1085"/>
      <c r="P60" s="1085"/>
      <c r="Q60" s="1085"/>
      <c r="R60" s="1561"/>
      <c r="S60" s="1085"/>
      <c r="T60" s="1085"/>
      <c r="U60" s="479"/>
      <c r="V60" s="1085"/>
      <c r="W60" s="1085"/>
      <c r="X60" s="1085"/>
      <c r="Y60" s="1085"/>
      <c r="Z60" s="1085"/>
      <c r="AA60" s="1557"/>
      <c r="AB60" s="501"/>
      <c r="AC60" s="501"/>
      <c r="AD60" s="501"/>
      <c r="AE60" s="501"/>
      <c r="AF60" s="1566">
        <v>11</v>
      </c>
    </row>
    <row r="61" spans="1:32" s="1566" customFormat="1" ht="11.45" customHeight="1">
      <c r="A61" s="915"/>
      <c r="B61" s="1561"/>
      <c r="C61" s="1561"/>
      <c r="D61" s="286"/>
      <c r="K61" s="1085"/>
      <c r="L61" s="1561"/>
      <c r="M61" s="1561"/>
      <c r="N61" s="1085"/>
      <c r="O61" s="1085"/>
      <c r="P61" s="1085"/>
      <c r="Q61" s="1085"/>
      <c r="R61" s="1561"/>
      <c r="S61" s="1085"/>
      <c r="T61" s="1085"/>
      <c r="U61" s="479"/>
      <c r="V61" s="1085"/>
      <c r="W61" s="1085"/>
      <c r="X61" s="1085"/>
      <c r="Y61" s="1085"/>
      <c r="Z61" s="1085"/>
      <c r="AA61" s="1557"/>
      <c r="AB61" s="501"/>
      <c r="AC61" s="501"/>
      <c r="AD61" s="501"/>
      <c r="AE61" s="501"/>
      <c r="AF61" s="1566">
        <v>11</v>
      </c>
    </row>
    <row r="62" spans="1:32" s="1566" customFormat="1" ht="11.45" customHeight="1">
      <c r="A62" s="915"/>
      <c r="B62" s="1561"/>
      <c r="C62" s="1561"/>
      <c r="D62" s="286"/>
      <c r="K62" s="1085"/>
      <c r="L62" s="1561"/>
      <c r="M62" s="1561"/>
      <c r="N62" s="1085"/>
      <c r="O62" s="1085"/>
      <c r="P62" s="1085"/>
      <c r="Q62" s="1085"/>
      <c r="R62" s="1561"/>
      <c r="S62" s="1085"/>
      <c r="T62" s="1085"/>
      <c r="U62" s="479"/>
      <c r="V62" s="1085"/>
      <c r="W62" s="1085"/>
      <c r="X62" s="1085"/>
      <c r="Y62" s="1085"/>
      <c r="Z62" s="1085"/>
      <c r="AA62" s="1557"/>
      <c r="AB62" s="501"/>
      <c r="AC62" s="501"/>
      <c r="AD62" s="501"/>
      <c r="AE62" s="501"/>
      <c r="AF62" s="1566">
        <v>11</v>
      </c>
    </row>
    <row r="63" spans="1:32" s="1566" customFormat="1" ht="11.45" customHeight="1">
      <c r="A63" s="915"/>
      <c r="B63" s="1561"/>
      <c r="C63" s="1561"/>
      <c r="D63" s="286"/>
      <c r="K63" s="1085"/>
      <c r="L63" s="1561"/>
      <c r="M63" s="1561"/>
      <c r="N63" s="1085"/>
      <c r="O63" s="1085"/>
      <c r="P63" s="1085"/>
      <c r="Q63" s="1085"/>
      <c r="R63" s="1561"/>
      <c r="S63" s="1085"/>
      <c r="T63" s="1085"/>
      <c r="U63" s="479"/>
      <c r="V63" s="1085"/>
      <c r="W63" s="1085"/>
      <c r="X63" s="1085"/>
      <c r="Y63" s="1085"/>
      <c r="Z63" s="1085"/>
      <c r="AA63" s="1557"/>
      <c r="AB63" s="501"/>
      <c r="AC63" s="501"/>
      <c r="AD63" s="501"/>
      <c r="AE63" s="501"/>
      <c r="AF63" s="1566">
        <v>11</v>
      </c>
    </row>
    <row r="64" spans="1:32" s="1566" customFormat="1" ht="11.45" customHeight="1">
      <c r="A64" s="915"/>
      <c r="B64" s="1561"/>
      <c r="C64" s="1561"/>
      <c r="D64" s="286"/>
      <c r="K64" s="1085"/>
      <c r="L64" s="1561"/>
      <c r="M64" s="1561"/>
      <c r="N64" s="1085"/>
      <c r="O64" s="1085"/>
      <c r="P64" s="1085"/>
      <c r="Q64" s="1085"/>
      <c r="R64" s="1561"/>
      <c r="S64" s="1085"/>
      <c r="T64" s="1085"/>
      <c r="U64" s="479"/>
      <c r="V64" s="1085"/>
      <c r="W64" s="1085"/>
      <c r="X64" s="1085"/>
      <c r="Y64" s="1085"/>
      <c r="Z64" s="1085"/>
      <c r="AA64" s="1557"/>
      <c r="AB64" s="501"/>
      <c r="AC64" s="501"/>
      <c r="AD64" s="501"/>
      <c r="AE64" s="501"/>
      <c r="AF64" s="1566">
        <v>11</v>
      </c>
    </row>
    <row r="65" spans="1:32" s="1566" customFormat="1" ht="11.45" customHeight="1">
      <c r="A65" s="915"/>
      <c r="B65" s="1561"/>
      <c r="C65" s="1561"/>
      <c r="D65" s="286"/>
      <c r="K65" s="1085"/>
      <c r="L65" s="1561"/>
      <c r="M65" s="1561"/>
      <c r="N65" s="1085"/>
      <c r="O65" s="1085"/>
      <c r="P65" s="1085"/>
      <c r="Q65" s="1085"/>
      <c r="R65" s="1561"/>
      <c r="S65" s="1085"/>
      <c r="T65" s="1085"/>
      <c r="U65" s="479"/>
      <c r="V65" s="1085"/>
      <c r="W65" s="1085"/>
      <c r="X65" s="1085"/>
      <c r="Y65" s="1085"/>
      <c r="Z65" s="1085"/>
      <c r="AA65" s="1557"/>
      <c r="AB65" s="501"/>
      <c r="AC65" s="501"/>
      <c r="AD65" s="501"/>
      <c r="AE65" s="501"/>
      <c r="AF65" s="1566">
        <v>11</v>
      </c>
    </row>
    <row r="66" spans="1:32" s="1566" customFormat="1" ht="11.45" customHeight="1">
      <c r="A66" s="915"/>
      <c r="B66" s="1561"/>
      <c r="C66" s="1561"/>
      <c r="D66" s="286"/>
      <c r="K66" s="1085"/>
      <c r="L66" s="1561"/>
      <c r="M66" s="1561"/>
      <c r="N66" s="1085"/>
      <c r="O66" s="1085"/>
      <c r="P66" s="1085"/>
      <c r="Q66" s="1085"/>
      <c r="R66" s="1561"/>
      <c r="S66" s="1085"/>
      <c r="T66" s="1085"/>
      <c r="U66" s="479"/>
      <c r="V66" s="1085"/>
      <c r="W66" s="1085"/>
      <c r="X66" s="1085"/>
      <c r="Y66" s="1085"/>
      <c r="Z66" s="1085"/>
      <c r="AA66" s="1557"/>
      <c r="AB66" s="501"/>
      <c r="AC66" s="501"/>
      <c r="AD66" s="501"/>
      <c r="AE66" s="501"/>
      <c r="AF66" s="1566">
        <v>11</v>
      </c>
    </row>
    <row r="67" spans="1:32" s="1566" customFormat="1" ht="11.45" customHeight="1">
      <c r="A67" s="915"/>
      <c r="B67" s="1561"/>
      <c r="C67" s="1561"/>
      <c r="D67" s="286"/>
      <c r="K67" s="1085"/>
      <c r="L67" s="1561"/>
      <c r="M67" s="1561"/>
      <c r="N67" s="1085"/>
      <c r="O67" s="1085"/>
      <c r="P67" s="1085"/>
      <c r="Q67" s="1085"/>
      <c r="R67" s="1561"/>
      <c r="S67" s="1085"/>
      <c r="T67" s="1085"/>
      <c r="U67" s="479"/>
      <c r="V67" s="1085"/>
      <c r="W67" s="1085"/>
      <c r="X67" s="1085"/>
      <c r="Y67" s="1085"/>
      <c r="Z67" s="1085"/>
      <c r="AA67" s="1557"/>
      <c r="AB67" s="501"/>
      <c r="AC67" s="501"/>
      <c r="AD67" s="501"/>
      <c r="AE67" s="501"/>
      <c r="AF67" s="1566">
        <v>11</v>
      </c>
    </row>
    <row r="68" spans="1:32" s="1566" customFormat="1" ht="11.45" customHeight="1">
      <c r="A68" s="915"/>
      <c r="B68" s="1561"/>
      <c r="C68" s="1561"/>
      <c r="D68" s="286"/>
      <c r="K68" s="1085"/>
      <c r="L68" s="1561"/>
      <c r="M68" s="1561"/>
      <c r="N68" s="1085"/>
      <c r="O68" s="1085"/>
      <c r="P68" s="1085"/>
      <c r="Q68" s="1085"/>
      <c r="R68" s="1561"/>
      <c r="S68" s="1085"/>
      <c r="T68" s="1085"/>
      <c r="U68" s="479"/>
      <c r="V68" s="1085"/>
      <c r="W68" s="1085"/>
      <c r="X68" s="1085"/>
      <c r="Y68" s="1085"/>
      <c r="Z68" s="1085"/>
      <c r="AA68" s="1557"/>
      <c r="AB68" s="501"/>
      <c r="AC68" s="501"/>
      <c r="AD68" s="501"/>
      <c r="AE68" s="501"/>
      <c r="AF68" s="1566">
        <v>11</v>
      </c>
    </row>
    <row r="69" spans="1:32" s="1566" customFormat="1" ht="11.45" customHeight="1">
      <c r="A69" s="915"/>
      <c r="B69" s="1561"/>
      <c r="C69" s="1561"/>
      <c r="D69" s="286"/>
      <c r="K69" s="1085"/>
      <c r="L69" s="1561"/>
      <c r="M69" s="1561"/>
      <c r="N69" s="1085"/>
      <c r="O69" s="1085"/>
      <c r="P69" s="1085"/>
      <c r="Q69" s="1085"/>
      <c r="R69" s="1561"/>
      <c r="S69" s="1085"/>
      <c r="T69" s="1085"/>
      <c r="U69" s="479"/>
      <c r="V69" s="1085"/>
      <c r="W69" s="1085"/>
      <c r="X69" s="1085"/>
      <c r="Y69" s="1085"/>
      <c r="Z69" s="1085"/>
      <c r="AA69" s="1557"/>
      <c r="AB69" s="501"/>
      <c r="AC69" s="501"/>
      <c r="AD69" s="501"/>
      <c r="AE69" s="501"/>
      <c r="AF69" s="1566">
        <v>11</v>
      </c>
    </row>
    <row r="70" spans="1:32" s="1566" customFormat="1" ht="11.45" customHeight="1">
      <c r="A70" s="915"/>
      <c r="B70" s="1561"/>
      <c r="C70" s="1561"/>
      <c r="D70" s="286"/>
      <c r="K70" s="1085"/>
      <c r="L70" s="1561"/>
      <c r="M70" s="1561"/>
      <c r="N70" s="1085"/>
      <c r="O70" s="1085"/>
      <c r="P70" s="1085"/>
      <c r="Q70" s="1085"/>
      <c r="R70" s="1561"/>
      <c r="S70" s="1085"/>
      <c r="T70" s="1085"/>
      <c r="U70" s="479"/>
      <c r="V70" s="1085"/>
      <c r="W70" s="1085"/>
      <c r="X70" s="1085"/>
      <c r="Y70" s="1085"/>
      <c r="Z70" s="1085"/>
      <c r="AA70" s="1557"/>
      <c r="AB70" s="501"/>
      <c r="AC70" s="501"/>
      <c r="AD70" s="501"/>
      <c r="AE70" s="501"/>
      <c r="AF70" s="1566">
        <v>11</v>
      </c>
    </row>
    <row r="71" spans="1:32" s="1566" customFormat="1" ht="11.45" customHeight="1">
      <c r="A71" s="915"/>
      <c r="B71" s="1561"/>
      <c r="C71" s="1561"/>
      <c r="D71" s="286"/>
      <c r="K71" s="1085"/>
      <c r="L71" s="1561"/>
      <c r="M71" s="1561"/>
      <c r="N71" s="1085"/>
      <c r="O71" s="1085"/>
      <c r="P71" s="1085"/>
      <c r="Q71" s="1085"/>
      <c r="R71" s="1561"/>
      <c r="S71" s="1085"/>
      <c r="T71" s="1085"/>
      <c r="U71" s="479"/>
      <c r="V71" s="1085"/>
      <c r="W71" s="1085"/>
      <c r="X71" s="1085"/>
      <c r="Y71" s="1085"/>
      <c r="Z71" s="1085"/>
      <c r="AA71" s="1557"/>
      <c r="AB71" s="501"/>
      <c r="AC71" s="501"/>
      <c r="AD71" s="501"/>
      <c r="AE71" s="501"/>
      <c r="AF71" s="1566">
        <v>11</v>
      </c>
    </row>
    <row r="72" spans="1:32" s="1566" customFormat="1" ht="11.45" customHeight="1">
      <c r="A72" s="915"/>
      <c r="B72" s="1561"/>
      <c r="C72" s="1561"/>
      <c r="D72" s="286"/>
      <c r="K72" s="1085"/>
      <c r="L72" s="1561"/>
      <c r="M72" s="1561"/>
      <c r="N72" s="1085"/>
      <c r="O72" s="1085"/>
      <c r="P72" s="1085"/>
      <c r="Q72" s="1085"/>
      <c r="R72" s="1561"/>
      <c r="S72" s="1085"/>
      <c r="T72" s="1085"/>
      <c r="U72" s="479"/>
      <c r="V72" s="1085"/>
      <c r="W72" s="1085"/>
      <c r="X72" s="1085"/>
      <c r="Y72" s="1085"/>
      <c r="Z72" s="1085"/>
      <c r="AA72" s="1557"/>
      <c r="AB72" s="501"/>
      <c r="AC72" s="501"/>
      <c r="AD72" s="501"/>
      <c r="AE72" s="501"/>
      <c r="AF72" s="1566">
        <v>11</v>
      </c>
    </row>
    <row r="73" spans="1:32" s="1566" customFormat="1" ht="11.45" customHeight="1">
      <c r="A73" s="915"/>
      <c r="B73" s="1561"/>
      <c r="C73" s="1561"/>
      <c r="D73" s="286"/>
      <c r="K73" s="1085"/>
      <c r="L73" s="1561"/>
      <c r="M73" s="1561"/>
      <c r="N73" s="1085"/>
      <c r="O73" s="1085"/>
      <c r="P73" s="1085"/>
      <c r="Q73" s="1085"/>
      <c r="R73" s="1561"/>
      <c r="S73" s="1085"/>
      <c r="T73" s="1085"/>
      <c r="U73" s="479"/>
      <c r="V73" s="1085"/>
      <c r="W73" s="1085"/>
      <c r="X73" s="1085"/>
      <c r="Y73" s="1085"/>
      <c r="Z73" s="1085"/>
      <c r="AA73" s="1557"/>
      <c r="AB73" s="501"/>
      <c r="AC73" s="501"/>
      <c r="AD73" s="501"/>
      <c r="AE73" s="501"/>
      <c r="AF73" s="1566">
        <v>11</v>
      </c>
    </row>
    <row r="74" spans="1:32" s="1566" customFormat="1" ht="11.45" customHeight="1">
      <c r="A74" s="915"/>
      <c r="B74" s="1561"/>
      <c r="C74" s="1561"/>
      <c r="D74" s="286"/>
      <c r="K74" s="1085"/>
      <c r="L74" s="1561"/>
      <c r="M74" s="1561"/>
      <c r="N74" s="1085"/>
      <c r="O74" s="1085"/>
      <c r="P74" s="1085"/>
      <c r="Q74" s="1085"/>
      <c r="R74" s="1561"/>
      <c r="S74" s="1085"/>
      <c r="T74" s="1085"/>
      <c r="U74" s="479"/>
      <c r="V74" s="1085"/>
      <c r="W74" s="1085"/>
      <c r="X74" s="1085"/>
      <c r="Y74" s="1085"/>
      <c r="Z74" s="1085"/>
      <c r="AA74" s="1557"/>
      <c r="AB74" s="501"/>
      <c r="AC74" s="501"/>
      <c r="AD74" s="501"/>
      <c r="AE74" s="501"/>
      <c r="AF74" s="1566">
        <v>11</v>
      </c>
    </row>
    <row r="75" spans="1:32" s="1566" customFormat="1" ht="11.45" customHeight="1">
      <c r="A75" s="915"/>
      <c r="B75" s="1561"/>
      <c r="C75" s="1561"/>
      <c r="D75" s="286"/>
      <c r="K75" s="1085"/>
      <c r="L75" s="1561"/>
      <c r="M75" s="1561"/>
      <c r="N75" s="1085"/>
      <c r="O75" s="1085"/>
      <c r="P75" s="1085"/>
      <c r="Q75" s="1085"/>
      <c r="R75" s="1561"/>
      <c r="S75" s="1085"/>
      <c r="T75" s="1085"/>
      <c r="U75" s="479"/>
      <c r="V75" s="1085"/>
      <c r="W75" s="1085"/>
      <c r="X75" s="1085"/>
      <c r="Y75" s="1085"/>
      <c r="Z75" s="1085"/>
      <c r="AA75" s="1557"/>
      <c r="AB75" s="501"/>
      <c r="AC75" s="501"/>
      <c r="AD75" s="501"/>
      <c r="AE75" s="501"/>
      <c r="AF75" s="1566">
        <v>11</v>
      </c>
    </row>
    <row r="76" spans="1:32" s="1566" customFormat="1" ht="11.45" customHeight="1">
      <c r="A76" s="915"/>
      <c r="B76" s="1561"/>
      <c r="C76" s="1561"/>
      <c r="D76" s="286"/>
      <c r="K76" s="1085"/>
      <c r="L76" s="1561"/>
      <c r="M76" s="1561"/>
      <c r="N76" s="1085"/>
      <c r="O76" s="1085"/>
      <c r="P76" s="1085"/>
      <c r="Q76" s="1085"/>
      <c r="R76" s="1561"/>
      <c r="S76" s="1085"/>
      <c r="T76" s="1085"/>
      <c r="U76" s="479"/>
      <c r="V76" s="1085"/>
      <c r="W76" s="1085"/>
      <c r="X76" s="1085"/>
      <c r="Y76" s="1085"/>
      <c r="Z76" s="1085"/>
      <c r="AA76" s="1557"/>
      <c r="AB76" s="501"/>
      <c r="AC76" s="501"/>
      <c r="AD76" s="501"/>
      <c r="AE76" s="501"/>
      <c r="AF76" s="1566">
        <v>11</v>
      </c>
    </row>
    <row r="77" spans="1:32" s="1566" customFormat="1" ht="11.45" customHeight="1">
      <c r="A77" s="915"/>
      <c r="B77" s="1561"/>
      <c r="C77" s="1561"/>
      <c r="D77" s="286"/>
      <c r="K77" s="1085"/>
      <c r="L77" s="1561"/>
      <c r="M77" s="1561"/>
      <c r="N77" s="1085"/>
      <c r="O77" s="1085"/>
      <c r="P77" s="1085"/>
      <c r="Q77" s="1085"/>
      <c r="R77" s="1561"/>
      <c r="S77" s="1085"/>
      <c r="T77" s="1085"/>
      <c r="U77" s="479"/>
      <c r="V77" s="1085"/>
      <c r="W77" s="1085"/>
      <c r="X77" s="1085"/>
      <c r="Y77" s="1085"/>
      <c r="Z77" s="1085"/>
      <c r="AA77" s="1557"/>
      <c r="AB77" s="501"/>
      <c r="AC77" s="501"/>
      <c r="AD77" s="501"/>
      <c r="AE77" s="501"/>
      <c r="AF77" s="1566">
        <v>11</v>
      </c>
    </row>
    <row r="78" spans="1:32" s="1566" customFormat="1" ht="11.45" customHeight="1">
      <c r="A78" s="915"/>
      <c r="B78" s="1561"/>
      <c r="C78" s="1561"/>
      <c r="D78" s="286"/>
      <c r="K78" s="1085"/>
      <c r="L78" s="1561"/>
      <c r="M78" s="1561"/>
      <c r="N78" s="1085"/>
      <c r="O78" s="1085"/>
      <c r="P78" s="1085"/>
      <c r="Q78" s="1085"/>
      <c r="R78" s="1561"/>
      <c r="S78" s="1085"/>
      <c r="T78" s="1085"/>
      <c r="U78" s="479"/>
      <c r="V78" s="1085"/>
      <c r="W78" s="1085"/>
      <c r="X78" s="1085"/>
      <c r="Y78" s="1085"/>
      <c r="Z78" s="1085"/>
      <c r="AA78" s="1557"/>
      <c r="AB78" s="501"/>
      <c r="AC78" s="501"/>
      <c r="AD78" s="501"/>
      <c r="AE78" s="501"/>
      <c r="AF78" s="1566">
        <v>11</v>
      </c>
    </row>
    <row r="79" spans="1:32" s="1566" customFormat="1" ht="11.45" customHeight="1">
      <c r="A79" s="915"/>
      <c r="B79" s="1561"/>
      <c r="C79" s="1561"/>
      <c r="D79" s="286"/>
      <c r="K79" s="1085"/>
      <c r="L79" s="1561"/>
      <c r="M79" s="1561"/>
      <c r="N79" s="1085"/>
      <c r="O79" s="1085"/>
      <c r="P79" s="1085"/>
      <c r="Q79" s="1085"/>
      <c r="R79" s="1561"/>
      <c r="S79" s="1085"/>
      <c r="T79" s="1085"/>
      <c r="U79" s="479"/>
      <c r="V79" s="1085"/>
      <c r="W79" s="1085"/>
      <c r="X79" s="1085"/>
      <c r="Y79" s="1085"/>
      <c r="Z79" s="1085"/>
      <c r="AA79" s="1557"/>
      <c r="AB79" s="501"/>
      <c r="AC79" s="501"/>
      <c r="AD79" s="501"/>
      <c r="AE79" s="501"/>
      <c r="AF79" s="1566">
        <v>11</v>
      </c>
    </row>
    <row r="80" spans="1:32" s="1566" customFormat="1" ht="11.45" customHeight="1">
      <c r="A80" s="915"/>
      <c r="B80" s="1561"/>
      <c r="C80" s="1561"/>
      <c r="D80" s="286"/>
      <c r="K80" s="1085"/>
      <c r="L80" s="1561"/>
      <c r="M80" s="1561"/>
      <c r="N80" s="1085"/>
      <c r="O80" s="1085"/>
      <c r="P80" s="1085"/>
      <c r="Q80" s="1085"/>
      <c r="R80" s="1561"/>
      <c r="S80" s="1085"/>
      <c r="T80" s="1085"/>
      <c r="U80" s="479"/>
      <c r="V80" s="1085"/>
      <c r="W80" s="1085"/>
      <c r="X80" s="1085"/>
      <c r="Y80" s="1085"/>
      <c r="Z80" s="1085"/>
      <c r="AA80" s="1557"/>
      <c r="AB80" s="501"/>
      <c r="AC80" s="501"/>
      <c r="AD80" s="501"/>
      <c r="AE80" s="501"/>
      <c r="AF80" s="1566">
        <v>11</v>
      </c>
    </row>
    <row r="81" spans="1:32" s="1566" customFormat="1" ht="11.45" customHeight="1">
      <c r="A81" s="915"/>
      <c r="B81" s="1561"/>
      <c r="C81" s="1561"/>
      <c r="D81" s="286"/>
      <c r="K81" s="1085"/>
      <c r="L81" s="1561"/>
      <c r="M81" s="1561"/>
      <c r="N81" s="1085"/>
      <c r="O81" s="1085"/>
      <c r="P81" s="1085"/>
      <c r="Q81" s="1085"/>
      <c r="R81" s="1561"/>
      <c r="S81" s="1085"/>
      <c r="T81" s="1085"/>
      <c r="U81" s="479"/>
      <c r="V81" s="1085"/>
      <c r="W81" s="1085"/>
      <c r="X81" s="1085"/>
      <c r="Y81" s="1085"/>
      <c r="Z81" s="1085"/>
      <c r="AA81" s="1557"/>
      <c r="AB81" s="501"/>
      <c r="AC81" s="501"/>
      <c r="AD81" s="501"/>
      <c r="AE81" s="501"/>
      <c r="AF81" s="1566">
        <v>11</v>
      </c>
    </row>
    <row r="82" spans="1:32" s="1566" customFormat="1" ht="11.45" customHeight="1">
      <c r="A82" s="915"/>
      <c r="B82" s="1561"/>
      <c r="C82" s="1561"/>
      <c r="D82" s="286"/>
      <c r="K82" s="1085"/>
      <c r="L82" s="1561"/>
      <c r="M82" s="1561"/>
      <c r="N82" s="1085"/>
      <c r="O82" s="1085"/>
      <c r="P82" s="1085"/>
      <c r="Q82" s="1085"/>
      <c r="R82" s="1561"/>
      <c r="S82" s="1085"/>
      <c r="T82" s="1085"/>
      <c r="U82" s="479"/>
      <c r="V82" s="1085"/>
      <c r="W82" s="1085"/>
      <c r="X82" s="1085"/>
      <c r="Y82" s="1085"/>
      <c r="Z82" s="1085"/>
      <c r="AA82" s="1557"/>
      <c r="AB82" s="501"/>
      <c r="AC82" s="501"/>
      <c r="AD82" s="501"/>
      <c r="AE82" s="501"/>
      <c r="AF82" s="1566">
        <v>11</v>
      </c>
    </row>
    <row r="83" spans="1:32" s="1566" customFormat="1" ht="11.45" customHeight="1">
      <c r="A83" s="915"/>
      <c r="B83" s="1561"/>
      <c r="C83" s="1561"/>
      <c r="D83" s="286"/>
      <c r="K83" s="1085"/>
      <c r="L83" s="1561"/>
      <c r="M83" s="1561"/>
      <c r="N83" s="1085"/>
      <c r="O83" s="1085"/>
      <c r="P83" s="1085"/>
      <c r="Q83" s="1085"/>
      <c r="R83" s="1561"/>
      <c r="S83" s="1085"/>
      <c r="T83" s="1085"/>
      <c r="U83" s="479"/>
      <c r="V83" s="1085"/>
      <c r="W83" s="1085"/>
      <c r="X83" s="1085"/>
      <c r="Y83" s="1085"/>
      <c r="Z83" s="1085"/>
      <c r="AA83" s="1557"/>
      <c r="AB83" s="501"/>
      <c r="AC83" s="501"/>
      <c r="AD83" s="501"/>
      <c r="AE83" s="501"/>
      <c r="AF83" s="1566">
        <v>11</v>
      </c>
    </row>
    <row r="84" spans="1:32" s="1566" customFormat="1" ht="11.45" customHeight="1">
      <c r="A84" s="915"/>
      <c r="B84" s="1561"/>
      <c r="C84" s="1561"/>
      <c r="D84" s="286"/>
      <c r="K84" s="1085"/>
      <c r="L84" s="1561"/>
      <c r="M84" s="1561"/>
      <c r="N84" s="1085"/>
      <c r="O84" s="1085"/>
      <c r="P84" s="1085"/>
      <c r="Q84" s="1085"/>
      <c r="R84" s="1561"/>
      <c r="S84" s="1085"/>
      <c r="T84" s="1085"/>
      <c r="U84" s="479"/>
      <c r="V84" s="1085"/>
      <c r="W84" s="1085"/>
      <c r="X84" s="1085"/>
      <c r="Y84" s="1085"/>
      <c r="Z84" s="1085"/>
      <c r="AA84" s="1557"/>
      <c r="AB84" s="501"/>
      <c r="AC84" s="501"/>
      <c r="AD84" s="501"/>
      <c r="AE84" s="501"/>
      <c r="AF84" s="1566">
        <v>11</v>
      </c>
    </row>
    <row r="85" spans="1:32" s="1566" customFormat="1" ht="11.45" customHeight="1">
      <c r="A85" s="915"/>
      <c r="B85" s="1561"/>
      <c r="C85" s="1561"/>
      <c r="D85" s="286"/>
      <c r="K85" s="1085"/>
      <c r="L85" s="1561"/>
      <c r="M85" s="1561"/>
      <c r="N85" s="1085"/>
      <c r="O85" s="1085"/>
      <c r="P85" s="1085"/>
      <c r="Q85" s="1085"/>
      <c r="R85" s="1561"/>
      <c r="S85" s="1085"/>
      <c r="T85" s="1085"/>
      <c r="U85" s="479"/>
      <c r="V85" s="1085"/>
      <c r="W85" s="1085"/>
      <c r="X85" s="1085"/>
      <c r="Y85" s="1085"/>
      <c r="Z85" s="1085"/>
      <c r="AA85" s="1557"/>
      <c r="AB85" s="501"/>
      <c r="AC85" s="501"/>
      <c r="AD85" s="501"/>
      <c r="AE85" s="501"/>
      <c r="AF85" s="1566">
        <v>11</v>
      </c>
    </row>
    <row r="86" spans="1:32" s="1566" customFormat="1" ht="11.45" customHeight="1">
      <c r="A86" s="915"/>
      <c r="B86" s="1561"/>
      <c r="C86" s="1561"/>
      <c r="D86" s="286"/>
      <c r="K86" s="1085"/>
      <c r="L86" s="1561"/>
      <c r="M86" s="1561"/>
      <c r="N86" s="1085"/>
      <c r="O86" s="1085"/>
      <c r="P86" s="1085"/>
      <c r="Q86" s="1085"/>
      <c r="R86" s="1561"/>
      <c r="S86" s="1085"/>
      <c r="T86" s="1085"/>
      <c r="U86" s="479"/>
      <c r="V86" s="1085"/>
      <c r="W86" s="1085"/>
      <c r="X86" s="1085"/>
      <c r="Y86" s="1085"/>
      <c r="Z86" s="1085"/>
      <c r="AA86" s="1557"/>
      <c r="AB86" s="501"/>
      <c r="AC86" s="501"/>
      <c r="AD86" s="501"/>
      <c r="AE86" s="501"/>
      <c r="AF86" s="1566">
        <v>11</v>
      </c>
    </row>
    <row r="87" spans="1:32" s="1566" customFormat="1" ht="11.45" customHeight="1">
      <c r="A87" s="915"/>
      <c r="B87" s="1561"/>
      <c r="C87" s="1561"/>
      <c r="D87" s="286"/>
      <c r="K87" s="1085"/>
      <c r="L87" s="1561"/>
      <c r="M87" s="1561"/>
      <c r="N87" s="1085"/>
      <c r="O87" s="1085"/>
      <c r="P87" s="1085"/>
      <c r="Q87" s="1085"/>
      <c r="R87" s="1561"/>
      <c r="S87" s="1085"/>
      <c r="T87" s="1085"/>
      <c r="U87" s="479"/>
      <c r="V87" s="1085"/>
      <c r="W87" s="1085"/>
      <c r="X87" s="1085"/>
      <c r="Y87" s="1085"/>
      <c r="Z87" s="1085"/>
      <c r="AA87" s="1557"/>
      <c r="AB87" s="501"/>
      <c r="AC87" s="501"/>
      <c r="AD87" s="501"/>
      <c r="AE87" s="501"/>
      <c r="AF87" s="1566">
        <v>11</v>
      </c>
    </row>
    <row r="88" spans="1:32" s="1566" customFormat="1" ht="11.45" customHeight="1">
      <c r="A88" s="915"/>
      <c r="B88" s="1561"/>
      <c r="C88" s="1561"/>
      <c r="D88" s="286"/>
      <c r="K88" s="1085"/>
      <c r="L88" s="1561"/>
      <c r="M88" s="1561"/>
      <c r="N88" s="1085"/>
      <c r="O88" s="1085"/>
      <c r="P88" s="1085"/>
      <c r="Q88" s="1085"/>
      <c r="R88" s="1561"/>
      <c r="S88" s="1085"/>
      <c r="T88" s="1085"/>
      <c r="U88" s="479"/>
      <c r="V88" s="1085"/>
      <c r="W88" s="1085"/>
      <c r="X88" s="1085"/>
      <c r="Y88" s="1085"/>
      <c r="Z88" s="1085"/>
      <c r="AA88" s="1557"/>
      <c r="AB88" s="501"/>
      <c r="AC88" s="501"/>
      <c r="AD88" s="501"/>
      <c r="AE88" s="501"/>
      <c r="AF88" s="1566">
        <v>11</v>
      </c>
    </row>
    <row r="89" spans="1:32" s="1566" customFormat="1" ht="11.45" customHeight="1">
      <c r="A89" s="915"/>
      <c r="B89" s="1561"/>
      <c r="C89" s="1561"/>
      <c r="D89" s="286"/>
      <c r="K89" s="1085"/>
      <c r="L89" s="1561"/>
      <c r="M89" s="1561"/>
      <c r="N89" s="1085"/>
      <c r="O89" s="1085"/>
      <c r="P89" s="1085"/>
      <c r="Q89" s="1085"/>
      <c r="R89" s="1561"/>
      <c r="S89" s="1085"/>
      <c r="T89" s="1085"/>
      <c r="U89" s="479"/>
      <c r="V89" s="1085"/>
      <c r="W89" s="1085"/>
      <c r="X89" s="1085"/>
      <c r="Y89" s="1085"/>
      <c r="Z89" s="1085"/>
      <c r="AA89" s="1557"/>
      <c r="AB89" s="501"/>
      <c r="AC89" s="501"/>
      <c r="AD89" s="501"/>
      <c r="AE89" s="501"/>
      <c r="AF89" s="1566">
        <v>11</v>
      </c>
    </row>
    <row r="90" spans="1:32" s="1566" customFormat="1" ht="11.45" customHeight="1">
      <c r="A90" s="915"/>
      <c r="B90" s="1561"/>
      <c r="C90" s="1561"/>
      <c r="D90" s="286"/>
      <c r="K90" s="1085"/>
      <c r="L90" s="1561"/>
      <c r="M90" s="1561"/>
      <c r="N90" s="1085"/>
      <c r="O90" s="1085"/>
      <c r="P90" s="1085"/>
      <c r="Q90" s="1085"/>
      <c r="R90" s="1561"/>
      <c r="S90" s="1085"/>
      <c r="T90" s="1085"/>
      <c r="U90" s="479"/>
      <c r="V90" s="1085"/>
      <c r="W90" s="1085"/>
      <c r="X90" s="1085"/>
      <c r="Y90" s="1085"/>
      <c r="Z90" s="1085"/>
      <c r="AA90" s="1557"/>
      <c r="AB90" s="501"/>
      <c r="AC90" s="501"/>
      <c r="AD90" s="501"/>
      <c r="AE90" s="501"/>
      <c r="AF90" s="1566">
        <v>11</v>
      </c>
    </row>
    <row r="91" spans="1:32" s="1566" customFormat="1" ht="11.45" customHeight="1">
      <c r="A91" s="915"/>
      <c r="B91" s="1561"/>
      <c r="C91" s="1561"/>
      <c r="D91" s="286"/>
      <c r="K91" s="1085"/>
      <c r="L91" s="1561"/>
      <c r="M91" s="1561"/>
      <c r="N91" s="1085"/>
      <c r="O91" s="1085"/>
      <c r="P91" s="1085"/>
      <c r="Q91" s="1085"/>
      <c r="R91" s="1561"/>
      <c r="S91" s="1085"/>
      <c r="T91" s="1085"/>
      <c r="U91" s="479"/>
      <c r="V91" s="1085"/>
      <c r="W91" s="1085"/>
      <c r="X91" s="1085"/>
      <c r="Y91" s="1085"/>
      <c r="Z91" s="1085"/>
      <c r="AA91" s="1557"/>
      <c r="AB91" s="501"/>
      <c r="AC91" s="501"/>
      <c r="AD91" s="501"/>
      <c r="AE91" s="501"/>
      <c r="AF91" s="1566">
        <v>11</v>
      </c>
    </row>
    <row r="92" spans="1:32" s="1566" customFormat="1" ht="11.45" customHeight="1">
      <c r="A92" s="915"/>
      <c r="B92" s="1561"/>
      <c r="C92" s="1561"/>
      <c r="D92" s="286"/>
      <c r="K92" s="1085"/>
      <c r="L92" s="1561"/>
      <c r="M92" s="1561"/>
      <c r="N92" s="1085"/>
      <c r="O92" s="1085"/>
      <c r="P92" s="1085"/>
      <c r="Q92" s="1085"/>
      <c r="R92" s="1561"/>
      <c r="S92" s="1085"/>
      <c r="T92" s="1085"/>
      <c r="U92" s="479"/>
      <c r="V92" s="1085"/>
      <c r="W92" s="1085"/>
      <c r="X92" s="1085"/>
      <c r="Y92" s="1085"/>
      <c r="Z92" s="1085"/>
      <c r="AA92" s="1557"/>
      <c r="AB92" s="501"/>
      <c r="AC92" s="501"/>
      <c r="AD92" s="501"/>
      <c r="AE92" s="501"/>
      <c r="AF92" s="1566">
        <v>11</v>
      </c>
    </row>
    <row r="93" spans="1:32" s="1566" customFormat="1" ht="11.45" customHeight="1">
      <c r="A93" s="915"/>
      <c r="B93" s="1561"/>
      <c r="C93" s="1561"/>
      <c r="D93" s="286"/>
      <c r="K93" s="1085"/>
      <c r="L93" s="1561"/>
      <c r="M93" s="1561"/>
      <c r="N93" s="1085"/>
      <c r="O93" s="1085"/>
      <c r="P93" s="1085"/>
      <c r="Q93" s="1085"/>
      <c r="R93" s="1561"/>
      <c r="S93" s="1085"/>
      <c r="T93" s="1085"/>
      <c r="U93" s="479"/>
      <c r="V93" s="1085"/>
      <c r="W93" s="1085"/>
      <c r="X93" s="1085"/>
      <c r="Y93" s="1085"/>
      <c r="Z93" s="1085"/>
      <c r="AA93" s="1557"/>
      <c r="AB93" s="501"/>
      <c r="AC93" s="501"/>
      <c r="AD93" s="501"/>
      <c r="AE93" s="501"/>
      <c r="AF93" s="1566">
        <v>11</v>
      </c>
    </row>
    <row r="94" spans="1:32" s="1566" customFormat="1" ht="11.45" customHeight="1">
      <c r="A94" s="915"/>
      <c r="B94" s="1561"/>
      <c r="C94" s="1561"/>
      <c r="D94" s="286"/>
      <c r="K94" s="1085"/>
      <c r="L94" s="1561"/>
      <c r="M94" s="1561"/>
      <c r="N94" s="1085"/>
      <c r="O94" s="1085"/>
      <c r="P94" s="1085"/>
      <c r="Q94" s="1085"/>
      <c r="R94" s="1561"/>
      <c r="S94" s="1085"/>
      <c r="T94" s="1085"/>
      <c r="U94" s="479"/>
      <c r="V94" s="1085"/>
      <c r="W94" s="1085"/>
      <c r="X94" s="1085"/>
      <c r="Y94" s="1085"/>
      <c r="Z94" s="1085"/>
      <c r="AA94" s="1557"/>
      <c r="AB94" s="501"/>
      <c r="AC94" s="501"/>
      <c r="AD94" s="501"/>
      <c r="AE94" s="501"/>
      <c r="AF94" s="1566">
        <v>11</v>
      </c>
    </row>
    <row r="95" spans="1:32" s="1566" customFormat="1" ht="11.45" customHeight="1">
      <c r="A95" s="915"/>
      <c r="B95" s="1561"/>
      <c r="C95" s="1561"/>
      <c r="D95" s="286"/>
      <c r="K95" s="1085"/>
      <c r="L95" s="1561"/>
      <c r="M95" s="1561"/>
      <c r="N95" s="1085"/>
      <c r="O95" s="1085"/>
      <c r="P95" s="1085"/>
      <c r="Q95" s="1085"/>
      <c r="R95" s="1561"/>
      <c r="S95" s="1085"/>
      <c r="T95" s="1085"/>
      <c r="U95" s="479"/>
      <c r="V95" s="1085"/>
      <c r="W95" s="1085"/>
      <c r="X95" s="1085"/>
      <c r="Y95" s="1085"/>
      <c r="Z95" s="1085"/>
      <c r="AA95" s="1557"/>
      <c r="AB95" s="501"/>
      <c r="AC95" s="501"/>
      <c r="AD95" s="501"/>
      <c r="AE95" s="501"/>
      <c r="AF95" s="1566">
        <v>11</v>
      </c>
    </row>
    <row r="96" spans="1:32" s="1566" customFormat="1" ht="11.45" customHeight="1">
      <c r="A96" s="915"/>
      <c r="B96" s="1561"/>
      <c r="C96" s="1561"/>
      <c r="D96" s="286"/>
      <c r="K96" s="1085"/>
      <c r="L96" s="1561"/>
      <c r="M96" s="1561"/>
      <c r="N96" s="1085"/>
      <c r="O96" s="1085"/>
      <c r="P96" s="1085"/>
      <c r="Q96" s="1085"/>
      <c r="R96" s="1561"/>
      <c r="S96" s="1085"/>
      <c r="T96" s="1085"/>
      <c r="U96" s="479"/>
      <c r="V96" s="1085"/>
      <c r="W96" s="1085"/>
      <c r="X96" s="1085"/>
      <c r="Y96" s="1085"/>
      <c r="Z96" s="1085"/>
      <c r="AA96" s="1557"/>
      <c r="AB96" s="501"/>
      <c r="AC96" s="501"/>
      <c r="AD96" s="501"/>
      <c r="AE96" s="501"/>
      <c r="AF96" s="1566">
        <v>11</v>
      </c>
    </row>
    <row r="97" spans="1:32" s="1566" customFormat="1" ht="11.45" customHeight="1">
      <c r="A97" s="915"/>
      <c r="B97" s="1561"/>
      <c r="C97" s="1561"/>
      <c r="D97" s="286"/>
      <c r="K97" s="1085"/>
      <c r="L97" s="1561"/>
      <c r="M97" s="1561"/>
      <c r="N97" s="1085"/>
      <c r="O97" s="1085"/>
      <c r="P97" s="1085"/>
      <c r="Q97" s="1085"/>
      <c r="R97" s="1561"/>
      <c r="S97" s="1085"/>
      <c r="T97" s="1085"/>
      <c r="U97" s="479"/>
      <c r="V97" s="1085"/>
      <c r="W97" s="1085"/>
      <c r="X97" s="1085"/>
      <c r="Y97" s="1085"/>
      <c r="Z97" s="1085"/>
      <c r="AA97" s="1557"/>
      <c r="AB97" s="501"/>
      <c r="AC97" s="501"/>
      <c r="AD97" s="501"/>
      <c r="AE97" s="501"/>
      <c r="AF97" s="1566">
        <v>11</v>
      </c>
    </row>
    <row r="98" spans="1:32" s="1566" customFormat="1" ht="11.45" customHeight="1">
      <c r="A98" s="915"/>
      <c r="B98" s="1561"/>
      <c r="C98" s="1561"/>
      <c r="D98" s="286"/>
      <c r="K98" s="1085"/>
      <c r="L98" s="1561"/>
      <c r="M98" s="1561"/>
      <c r="N98" s="1085"/>
      <c r="O98" s="1085"/>
      <c r="P98" s="1085"/>
      <c r="Q98" s="1085"/>
      <c r="R98" s="1561"/>
      <c r="S98" s="1085"/>
      <c r="T98" s="1085"/>
      <c r="U98" s="479"/>
      <c r="V98" s="1085"/>
      <c r="W98" s="1085"/>
      <c r="X98" s="1085"/>
      <c r="Y98" s="1085"/>
      <c r="Z98" s="1085"/>
      <c r="AA98" s="1557"/>
      <c r="AB98" s="501"/>
      <c r="AC98" s="501"/>
      <c r="AD98" s="501"/>
      <c r="AE98" s="501"/>
      <c r="AF98" s="1566">
        <v>11</v>
      </c>
    </row>
    <row r="99" spans="1:32" s="1566" customFormat="1" ht="11.45" customHeight="1">
      <c r="A99" s="915"/>
      <c r="B99" s="1561"/>
      <c r="C99" s="1561"/>
      <c r="D99" s="286"/>
      <c r="K99" s="1085"/>
      <c r="L99" s="1561"/>
      <c r="M99" s="1561"/>
      <c r="N99" s="1085"/>
      <c r="O99" s="1085"/>
      <c r="P99" s="1085"/>
      <c r="Q99" s="1085"/>
      <c r="R99" s="1561"/>
      <c r="S99" s="1085"/>
      <c r="T99" s="1085"/>
      <c r="U99" s="479"/>
      <c r="V99" s="1085"/>
      <c r="W99" s="1085"/>
      <c r="X99" s="1085"/>
      <c r="Y99" s="1085"/>
      <c r="Z99" s="1085"/>
      <c r="AA99" s="1557"/>
      <c r="AB99" s="501"/>
      <c r="AC99" s="501"/>
      <c r="AD99" s="501"/>
      <c r="AE99" s="501"/>
      <c r="AF99" s="1566">
        <v>11</v>
      </c>
    </row>
    <row r="100" spans="1:32" s="1566" customFormat="1" ht="11.45" customHeight="1">
      <c r="A100" s="915"/>
      <c r="B100" s="1561"/>
      <c r="C100" s="1561"/>
      <c r="D100" s="286"/>
      <c r="K100" s="1085"/>
      <c r="L100" s="1561"/>
      <c r="M100" s="1561"/>
      <c r="N100" s="1085"/>
      <c r="O100" s="1085"/>
      <c r="P100" s="1085"/>
      <c r="Q100" s="1085"/>
      <c r="R100" s="1561"/>
      <c r="S100" s="1085"/>
      <c r="T100" s="1085"/>
      <c r="U100" s="479"/>
      <c r="V100" s="1085"/>
      <c r="W100" s="1085"/>
      <c r="X100" s="1085"/>
      <c r="Y100" s="1085"/>
      <c r="Z100" s="1085"/>
      <c r="AA100" s="1557"/>
      <c r="AB100" s="501"/>
      <c r="AC100" s="501"/>
      <c r="AD100" s="501"/>
      <c r="AE100" s="501"/>
      <c r="AF100" s="1566">
        <v>11</v>
      </c>
    </row>
    <row r="101" spans="1:32" s="1566" customFormat="1" ht="11.45" customHeight="1">
      <c r="A101" s="915"/>
      <c r="B101" s="1561"/>
      <c r="C101" s="1561"/>
      <c r="D101" s="286"/>
      <c r="K101" s="1085"/>
      <c r="L101" s="1561"/>
      <c r="M101" s="1561"/>
      <c r="N101" s="1085"/>
      <c r="O101" s="1085"/>
      <c r="P101" s="1085"/>
      <c r="Q101" s="1085"/>
      <c r="R101" s="1561"/>
      <c r="S101" s="1085"/>
      <c r="T101" s="1085"/>
      <c r="U101" s="479"/>
      <c r="V101" s="1085"/>
      <c r="W101" s="1085"/>
      <c r="X101" s="1085"/>
      <c r="Y101" s="1085"/>
      <c r="Z101" s="1085"/>
      <c r="AA101" s="1557"/>
      <c r="AB101" s="501"/>
      <c r="AC101" s="501"/>
      <c r="AD101" s="501"/>
      <c r="AE101" s="501"/>
      <c r="AF101" s="1566">
        <v>11</v>
      </c>
    </row>
    <row r="102" spans="1:32" s="1566" customFormat="1" ht="11.45" customHeight="1">
      <c r="A102" s="915"/>
      <c r="B102" s="1561"/>
      <c r="C102" s="1561"/>
      <c r="D102" s="286"/>
      <c r="K102" s="1085"/>
      <c r="L102" s="1561"/>
      <c r="M102" s="1561"/>
      <c r="N102" s="1085"/>
      <c r="O102" s="1085"/>
      <c r="P102" s="1085"/>
      <c r="Q102" s="1085"/>
      <c r="R102" s="1561"/>
      <c r="S102" s="1085"/>
      <c r="T102" s="1085"/>
      <c r="U102" s="479"/>
      <c r="V102" s="1085"/>
      <c r="W102" s="1085"/>
      <c r="X102" s="1085"/>
      <c r="Y102" s="1085"/>
      <c r="Z102" s="1085"/>
      <c r="AA102" s="1557"/>
      <c r="AB102" s="501"/>
      <c r="AC102" s="501"/>
      <c r="AD102" s="501"/>
      <c r="AE102" s="501"/>
      <c r="AF102" s="1566">
        <v>11</v>
      </c>
    </row>
    <row r="103" spans="1:32" s="1566" customFormat="1" ht="11.45" customHeight="1">
      <c r="A103" s="915"/>
      <c r="B103" s="1561"/>
      <c r="C103" s="1561"/>
      <c r="D103" s="286"/>
      <c r="K103" s="1085"/>
      <c r="L103" s="1561"/>
      <c r="M103" s="1561"/>
      <c r="N103" s="1085"/>
      <c r="O103" s="1085"/>
      <c r="P103" s="1085"/>
      <c r="Q103" s="1085"/>
      <c r="R103" s="1561"/>
      <c r="S103" s="1085"/>
      <c r="T103" s="1085"/>
      <c r="U103" s="479"/>
      <c r="V103" s="1085"/>
      <c r="W103" s="1085"/>
      <c r="X103" s="1085"/>
      <c r="Y103" s="1085"/>
      <c r="Z103" s="1085"/>
      <c r="AA103" s="1557"/>
      <c r="AB103" s="501"/>
      <c r="AC103" s="501"/>
      <c r="AD103" s="501"/>
      <c r="AE103" s="501"/>
      <c r="AF103" s="1566">
        <v>11</v>
      </c>
    </row>
    <row r="104" spans="1:32" s="1566" customFormat="1" ht="11.45" customHeight="1">
      <c r="A104" s="915"/>
      <c r="B104" s="1561"/>
      <c r="C104" s="1561"/>
      <c r="D104" s="286"/>
      <c r="K104" s="1085"/>
      <c r="L104" s="1561"/>
      <c r="M104" s="1561"/>
      <c r="N104" s="1085"/>
      <c r="O104" s="1085"/>
      <c r="P104" s="1085"/>
      <c r="Q104" s="1085"/>
      <c r="R104" s="1561"/>
      <c r="S104" s="1085"/>
      <c r="T104" s="1085"/>
      <c r="U104" s="479"/>
      <c r="V104" s="1085"/>
      <c r="W104" s="1085"/>
      <c r="X104" s="1085"/>
      <c r="Y104" s="1085"/>
      <c r="Z104" s="1085"/>
      <c r="AA104" s="1557"/>
      <c r="AB104" s="501"/>
      <c r="AC104" s="501"/>
      <c r="AD104" s="501"/>
      <c r="AE104" s="501"/>
      <c r="AF104" s="1566">
        <v>11</v>
      </c>
    </row>
    <row r="105" spans="1:32" s="1566" customFormat="1" ht="11.45" customHeight="1">
      <c r="A105" s="915"/>
      <c r="B105" s="1561"/>
      <c r="C105" s="1561"/>
      <c r="D105" s="286"/>
      <c r="K105" s="1085"/>
      <c r="L105" s="1561"/>
      <c r="M105" s="1561"/>
      <c r="N105" s="1085"/>
      <c r="O105" s="1085"/>
      <c r="P105" s="1085"/>
      <c r="Q105" s="1085"/>
      <c r="R105" s="1561"/>
      <c r="S105" s="1085"/>
      <c r="T105" s="1085"/>
      <c r="U105" s="479"/>
      <c r="V105" s="1085"/>
      <c r="W105" s="1085"/>
      <c r="X105" s="1085"/>
      <c r="Y105" s="1085"/>
      <c r="Z105" s="1085"/>
      <c r="AA105" s="1557"/>
      <c r="AB105" s="501"/>
      <c r="AC105" s="501"/>
      <c r="AD105" s="501"/>
      <c r="AE105" s="501"/>
      <c r="AF105" s="1566">
        <v>11</v>
      </c>
    </row>
    <row r="106" spans="1:32" s="1566" customFormat="1" ht="11.45" customHeight="1">
      <c r="A106" s="915"/>
      <c r="B106" s="1561"/>
      <c r="C106" s="1561"/>
      <c r="D106" s="286"/>
      <c r="K106" s="1085"/>
      <c r="L106" s="1561"/>
      <c r="M106" s="1561"/>
      <c r="N106" s="1085"/>
      <c r="O106" s="1085"/>
      <c r="P106" s="1085"/>
      <c r="Q106" s="1085"/>
      <c r="R106" s="1561"/>
      <c r="S106" s="1085"/>
      <c r="T106" s="1085"/>
      <c r="U106" s="479"/>
      <c r="V106" s="1085"/>
      <c r="W106" s="1085"/>
      <c r="X106" s="1085"/>
      <c r="Y106" s="1085"/>
      <c r="Z106" s="1085"/>
      <c r="AA106" s="1557"/>
      <c r="AB106" s="501"/>
      <c r="AC106" s="501"/>
      <c r="AD106" s="501"/>
      <c r="AE106" s="501"/>
      <c r="AF106" s="1566">
        <v>11</v>
      </c>
    </row>
    <row r="107" spans="1:32" s="1566" customFormat="1" ht="11.45" customHeight="1">
      <c r="A107" s="915"/>
      <c r="B107" s="1561"/>
      <c r="C107" s="1561"/>
      <c r="D107" s="286"/>
      <c r="K107" s="1085"/>
      <c r="L107" s="1561"/>
      <c r="M107" s="1561"/>
      <c r="N107" s="1085"/>
      <c r="O107" s="1085"/>
      <c r="P107" s="1085"/>
      <c r="Q107" s="1085"/>
      <c r="R107" s="1561"/>
      <c r="S107" s="1085"/>
      <c r="T107" s="1085"/>
      <c r="U107" s="479"/>
      <c r="V107" s="1085"/>
      <c r="W107" s="1085"/>
      <c r="X107" s="1085"/>
      <c r="Y107" s="1085"/>
      <c r="Z107" s="1085"/>
      <c r="AA107" s="1557"/>
      <c r="AB107" s="501"/>
      <c r="AC107" s="501"/>
      <c r="AD107" s="501"/>
      <c r="AE107" s="501"/>
      <c r="AF107" s="1566">
        <v>11</v>
      </c>
    </row>
    <row r="108" spans="1:32" s="1566" customFormat="1" ht="11.45" customHeight="1">
      <c r="A108" s="915"/>
      <c r="B108" s="1561"/>
      <c r="C108" s="1561"/>
      <c r="D108" s="286"/>
      <c r="K108" s="1085"/>
      <c r="L108" s="1561"/>
      <c r="M108" s="1561"/>
      <c r="N108" s="1085"/>
      <c r="O108" s="1085"/>
      <c r="P108" s="1085"/>
      <c r="Q108" s="1085"/>
      <c r="R108" s="1561"/>
      <c r="S108" s="1085"/>
      <c r="T108" s="1085"/>
      <c r="U108" s="479"/>
      <c r="V108" s="1085"/>
      <c r="W108" s="1085"/>
      <c r="X108" s="1085"/>
      <c r="Y108" s="1085"/>
      <c r="Z108" s="1085"/>
      <c r="AA108" s="1557"/>
      <c r="AB108" s="501"/>
      <c r="AC108" s="501"/>
      <c r="AD108" s="501"/>
      <c r="AE108" s="501"/>
      <c r="AF108" s="1566">
        <v>11</v>
      </c>
    </row>
    <row r="109" spans="1:32" s="1566" customFormat="1" ht="11.45" customHeight="1">
      <c r="A109" s="915"/>
      <c r="B109" s="1561"/>
      <c r="C109" s="1561"/>
      <c r="D109" s="286"/>
      <c r="K109" s="1085"/>
      <c r="L109" s="1561"/>
      <c r="M109" s="1561"/>
      <c r="N109" s="1085"/>
      <c r="O109" s="1085"/>
      <c r="P109" s="1085"/>
      <c r="Q109" s="1085"/>
      <c r="R109" s="1561"/>
      <c r="S109" s="1085"/>
      <c r="T109" s="1085"/>
      <c r="U109" s="479"/>
      <c r="V109" s="1085"/>
      <c r="W109" s="1085"/>
      <c r="X109" s="1085"/>
      <c r="Y109" s="1085"/>
      <c r="Z109" s="1085"/>
      <c r="AA109" s="1557"/>
      <c r="AB109" s="501"/>
      <c r="AC109" s="501"/>
      <c r="AD109" s="501"/>
      <c r="AE109" s="501"/>
      <c r="AF109" s="1566">
        <v>11</v>
      </c>
    </row>
    <row r="110" spans="1:32" s="1566" customFormat="1" ht="11.45" customHeight="1">
      <c r="A110" s="915"/>
      <c r="B110" s="1561"/>
      <c r="C110" s="1561"/>
      <c r="D110" s="286"/>
      <c r="K110" s="1085"/>
      <c r="L110" s="1561"/>
      <c r="M110" s="1561"/>
      <c r="N110" s="1085"/>
      <c r="O110" s="1085"/>
      <c r="P110" s="1085"/>
      <c r="Q110" s="1085"/>
      <c r="R110" s="1561"/>
      <c r="S110" s="1085"/>
      <c r="T110" s="1085"/>
      <c r="U110" s="479"/>
      <c r="V110" s="1085"/>
      <c r="W110" s="1085"/>
      <c r="X110" s="1085"/>
      <c r="Y110" s="1085"/>
      <c r="Z110" s="1085"/>
      <c r="AA110" s="1557"/>
      <c r="AB110" s="501"/>
      <c r="AC110" s="501"/>
      <c r="AD110" s="501"/>
      <c r="AE110" s="501"/>
      <c r="AF110" s="1566">
        <v>11</v>
      </c>
    </row>
    <row r="111" spans="1:32" s="1566" customFormat="1" ht="11.45" customHeight="1">
      <c r="A111" s="915"/>
      <c r="B111" s="1561"/>
      <c r="C111" s="1561"/>
      <c r="D111" s="286"/>
      <c r="K111" s="1085"/>
      <c r="L111" s="1561"/>
      <c r="M111" s="1561"/>
      <c r="N111" s="1085"/>
      <c r="O111" s="1085"/>
      <c r="P111" s="1085"/>
      <c r="Q111" s="1085"/>
      <c r="R111" s="1561"/>
      <c r="S111" s="1085"/>
      <c r="T111" s="1085"/>
      <c r="U111" s="479"/>
      <c r="V111" s="1085"/>
      <c r="W111" s="1085"/>
      <c r="X111" s="1085"/>
      <c r="Y111" s="1085"/>
      <c r="Z111" s="1085"/>
      <c r="AA111" s="1557"/>
      <c r="AB111" s="501"/>
      <c r="AC111" s="501"/>
      <c r="AD111" s="501"/>
      <c r="AE111" s="501"/>
      <c r="AF111" s="1566">
        <v>11</v>
      </c>
    </row>
    <row r="112" spans="1:32" s="1566" customFormat="1" ht="11.45" customHeight="1">
      <c r="A112" s="915"/>
      <c r="B112" s="1561"/>
      <c r="C112" s="1561"/>
      <c r="D112" s="286"/>
      <c r="K112" s="1085"/>
      <c r="L112" s="1561"/>
      <c r="M112" s="1561"/>
      <c r="N112" s="1085"/>
      <c r="O112" s="1085"/>
      <c r="P112" s="1085"/>
      <c r="Q112" s="1085"/>
      <c r="R112" s="1561"/>
      <c r="S112" s="1085"/>
      <c r="T112" s="1085"/>
      <c r="U112" s="479"/>
      <c r="V112" s="1085"/>
      <c r="W112" s="1085"/>
      <c r="X112" s="1085"/>
      <c r="Y112" s="1085"/>
      <c r="Z112" s="1085"/>
      <c r="AA112" s="1557"/>
      <c r="AB112" s="501"/>
      <c r="AC112" s="501"/>
      <c r="AD112" s="501"/>
      <c r="AE112" s="501"/>
      <c r="AF112" s="1566">
        <v>11</v>
      </c>
    </row>
    <row r="113" spans="1:32" s="1566" customFormat="1" ht="11.45" customHeight="1">
      <c r="A113" s="915"/>
      <c r="B113" s="1561"/>
      <c r="C113" s="1561"/>
      <c r="D113" s="286"/>
      <c r="K113" s="1085"/>
      <c r="L113" s="1561"/>
      <c r="M113" s="1561"/>
      <c r="N113" s="1085"/>
      <c r="O113" s="1085"/>
      <c r="P113" s="1085"/>
      <c r="Q113" s="1085"/>
      <c r="R113" s="1561"/>
      <c r="S113" s="1085"/>
      <c r="T113" s="1085"/>
      <c r="U113" s="479"/>
      <c r="V113" s="1085"/>
      <c r="W113" s="1085"/>
      <c r="X113" s="1085"/>
      <c r="Y113" s="1085"/>
      <c r="Z113" s="1085"/>
      <c r="AA113" s="1557"/>
      <c r="AB113" s="501"/>
      <c r="AC113" s="501"/>
      <c r="AD113" s="501"/>
      <c r="AE113" s="501"/>
      <c r="AF113" s="1566">
        <v>11</v>
      </c>
    </row>
    <row r="114" spans="1:32" s="1566" customFormat="1" ht="11.45" customHeight="1">
      <c r="A114" s="915"/>
      <c r="B114" s="1561"/>
      <c r="C114" s="1561"/>
      <c r="D114" s="286"/>
      <c r="K114" s="1085"/>
      <c r="L114" s="1561"/>
      <c r="M114" s="1561"/>
      <c r="N114" s="1085"/>
      <c r="O114" s="1085"/>
      <c r="P114" s="1085"/>
      <c r="Q114" s="1085"/>
      <c r="R114" s="1561"/>
      <c r="S114" s="1085"/>
      <c r="T114" s="1085"/>
      <c r="U114" s="479"/>
      <c r="V114" s="1085"/>
      <c r="W114" s="1085"/>
      <c r="X114" s="1085"/>
      <c r="Y114" s="1085"/>
      <c r="Z114" s="1085"/>
      <c r="AA114" s="1557"/>
      <c r="AB114" s="501"/>
      <c r="AC114" s="501"/>
      <c r="AD114" s="501"/>
      <c r="AE114" s="501"/>
      <c r="AF114" s="1566">
        <v>11</v>
      </c>
    </row>
    <row r="115" spans="1:32" s="1566" customFormat="1" ht="11.45" customHeight="1">
      <c r="A115" s="915"/>
      <c r="B115" s="1561"/>
      <c r="C115" s="1561"/>
      <c r="D115" s="286"/>
      <c r="K115" s="1085"/>
      <c r="L115" s="1561"/>
      <c r="M115" s="1561"/>
      <c r="N115" s="1085"/>
      <c r="O115" s="1085"/>
      <c r="P115" s="1085"/>
      <c r="Q115" s="1085"/>
      <c r="R115" s="1561"/>
      <c r="S115" s="1085"/>
      <c r="T115" s="1085"/>
      <c r="U115" s="479"/>
      <c r="V115" s="1085"/>
      <c r="W115" s="1085"/>
      <c r="X115" s="1085"/>
      <c r="Y115" s="1085"/>
      <c r="Z115" s="1085"/>
      <c r="AA115" s="1557"/>
      <c r="AB115" s="501"/>
      <c r="AC115" s="501"/>
      <c r="AD115" s="501"/>
      <c r="AE115" s="501"/>
      <c r="AF115" s="1566">
        <v>11</v>
      </c>
    </row>
    <row r="116" spans="1:32" s="1566" customFormat="1" ht="11.45" customHeight="1">
      <c r="A116" s="915"/>
      <c r="B116" s="1561"/>
      <c r="C116" s="1561"/>
      <c r="D116" s="286"/>
      <c r="K116" s="1085"/>
      <c r="L116" s="1561"/>
      <c r="M116" s="1561"/>
      <c r="N116" s="1085"/>
      <c r="O116" s="1085"/>
      <c r="P116" s="1085"/>
      <c r="Q116" s="1085"/>
      <c r="R116" s="1561"/>
      <c r="S116" s="1085"/>
      <c r="T116" s="1085"/>
      <c r="U116" s="479"/>
      <c r="V116" s="1085"/>
      <c r="W116" s="1085"/>
      <c r="X116" s="1085"/>
      <c r="Y116" s="1085"/>
      <c r="Z116" s="1085"/>
      <c r="AA116" s="1557"/>
      <c r="AB116" s="501"/>
      <c r="AC116" s="501"/>
      <c r="AD116" s="501"/>
      <c r="AE116" s="501"/>
      <c r="AF116" s="1566">
        <v>11</v>
      </c>
    </row>
    <row r="117" spans="1:32" s="1566" customFormat="1" ht="11.45" customHeight="1">
      <c r="A117" s="915"/>
      <c r="B117" s="1561"/>
      <c r="C117" s="1561"/>
      <c r="D117" s="286"/>
      <c r="K117" s="1085"/>
      <c r="L117" s="1561"/>
      <c r="M117" s="1561"/>
      <c r="N117" s="1085"/>
      <c r="O117" s="1085"/>
      <c r="P117" s="1085"/>
      <c r="Q117" s="1085"/>
      <c r="R117" s="1561"/>
      <c r="S117" s="1085"/>
      <c r="T117" s="1085"/>
      <c r="U117" s="479"/>
      <c r="V117" s="1085"/>
      <c r="W117" s="1085"/>
      <c r="X117" s="1085"/>
      <c r="Y117" s="1085"/>
      <c r="Z117" s="1085"/>
      <c r="AA117" s="1557"/>
      <c r="AB117" s="501"/>
      <c r="AC117" s="501"/>
      <c r="AD117" s="501"/>
      <c r="AE117" s="501"/>
      <c r="AF117" s="1566">
        <v>11</v>
      </c>
    </row>
    <row r="118" spans="1:32" s="1566" customFormat="1" ht="11.45" customHeight="1">
      <c r="A118" s="915"/>
      <c r="B118" s="1561"/>
      <c r="C118" s="1561"/>
      <c r="D118" s="286"/>
      <c r="K118" s="1085"/>
      <c r="L118" s="1561"/>
      <c r="M118" s="1561"/>
      <c r="N118" s="1085"/>
      <c r="O118" s="1085"/>
      <c r="P118" s="1085"/>
      <c r="Q118" s="1085"/>
      <c r="R118" s="1561"/>
      <c r="S118" s="1085"/>
      <c r="T118" s="1085"/>
      <c r="U118" s="479"/>
      <c r="V118" s="1085"/>
      <c r="W118" s="1085"/>
      <c r="X118" s="1085"/>
      <c r="Y118" s="1085"/>
      <c r="Z118" s="1085"/>
      <c r="AA118" s="1557"/>
      <c r="AB118" s="501"/>
      <c r="AC118" s="501"/>
      <c r="AD118" s="501"/>
      <c r="AE118" s="501"/>
      <c r="AF118" s="1566">
        <v>11</v>
      </c>
    </row>
    <row r="119" spans="1:32" s="1566" customFormat="1" ht="11.45" customHeight="1">
      <c r="A119" s="915"/>
      <c r="B119" s="1561"/>
      <c r="C119" s="1561"/>
      <c r="D119" s="286"/>
      <c r="K119" s="1085"/>
      <c r="L119" s="1561"/>
      <c r="M119" s="1561"/>
      <c r="N119" s="1085"/>
      <c r="O119" s="1085"/>
      <c r="P119" s="1085"/>
      <c r="Q119" s="1085"/>
      <c r="R119" s="1561"/>
      <c r="S119" s="1085"/>
      <c r="T119" s="1085"/>
      <c r="U119" s="479"/>
      <c r="V119" s="1085"/>
      <c r="W119" s="1085"/>
      <c r="X119" s="1085"/>
      <c r="Y119" s="1085"/>
      <c r="Z119" s="1085"/>
      <c r="AA119" s="1557"/>
      <c r="AB119" s="501"/>
      <c r="AC119" s="501"/>
      <c r="AD119" s="501"/>
      <c r="AE119" s="501"/>
      <c r="AF119" s="1566">
        <v>11</v>
      </c>
    </row>
    <row r="120" spans="1:32" s="1566" customFormat="1" ht="11.45" customHeight="1">
      <c r="A120" s="915"/>
      <c r="B120" s="1561"/>
      <c r="C120" s="1561"/>
      <c r="D120" s="286"/>
      <c r="K120" s="1085"/>
      <c r="L120" s="1561"/>
      <c r="M120" s="1561"/>
      <c r="N120" s="1085"/>
      <c r="O120" s="1085"/>
      <c r="P120" s="1085"/>
      <c r="Q120" s="1085"/>
      <c r="R120" s="1561"/>
      <c r="S120" s="1085"/>
      <c r="T120" s="1085"/>
      <c r="U120" s="479"/>
      <c r="V120" s="1085"/>
      <c r="W120" s="1085"/>
      <c r="X120" s="1085"/>
      <c r="Y120" s="1085"/>
      <c r="Z120" s="1085"/>
      <c r="AA120" s="1557"/>
      <c r="AB120" s="501"/>
      <c r="AC120" s="501"/>
      <c r="AD120" s="501"/>
      <c r="AE120" s="501"/>
      <c r="AF120" s="1566">
        <v>11</v>
      </c>
    </row>
    <row r="121" spans="1:32" s="1566" customFormat="1" ht="11.45" customHeight="1">
      <c r="A121" s="915"/>
      <c r="B121" s="1561"/>
      <c r="C121" s="1561"/>
      <c r="D121" s="286"/>
      <c r="K121" s="1085"/>
      <c r="L121" s="1561"/>
      <c r="M121" s="1561"/>
      <c r="N121" s="1085"/>
      <c r="O121" s="1085"/>
      <c r="P121" s="1085"/>
      <c r="Q121" s="1085"/>
      <c r="R121" s="1561"/>
      <c r="S121" s="1085"/>
      <c r="T121" s="1085"/>
      <c r="U121" s="479"/>
      <c r="V121" s="1085"/>
      <c r="W121" s="1085"/>
      <c r="X121" s="1085"/>
      <c r="Y121" s="1085"/>
      <c r="Z121" s="1085"/>
      <c r="AA121" s="1557"/>
      <c r="AB121" s="501"/>
      <c r="AC121" s="501"/>
      <c r="AD121" s="501"/>
      <c r="AE121" s="501"/>
      <c r="AF121" s="1566">
        <v>11</v>
      </c>
    </row>
    <row r="122" spans="1:32" s="1566" customFormat="1" ht="11.45" customHeight="1">
      <c r="A122" s="915"/>
      <c r="B122" s="1561"/>
      <c r="C122" s="1561"/>
      <c r="D122" s="286"/>
      <c r="K122" s="1085"/>
      <c r="L122" s="1561"/>
      <c r="M122" s="1561"/>
      <c r="N122" s="1085"/>
      <c r="O122" s="1085"/>
      <c r="P122" s="1085"/>
      <c r="Q122" s="1085"/>
      <c r="R122" s="1561"/>
      <c r="S122" s="1085"/>
      <c r="T122" s="1085"/>
      <c r="U122" s="479"/>
      <c r="V122" s="1085"/>
      <c r="W122" s="1085"/>
      <c r="X122" s="1085"/>
      <c r="Y122" s="1085"/>
      <c r="Z122" s="1085"/>
      <c r="AA122" s="1557"/>
      <c r="AB122" s="501"/>
      <c r="AC122" s="501"/>
      <c r="AD122" s="501"/>
      <c r="AE122" s="501"/>
      <c r="AF122" s="1566">
        <v>11</v>
      </c>
    </row>
    <row r="123" spans="1:32" s="1566" customFormat="1" ht="11.45" customHeight="1">
      <c r="A123" s="915"/>
      <c r="B123" s="1561"/>
      <c r="C123" s="1561"/>
      <c r="D123" s="286"/>
      <c r="K123" s="1085"/>
      <c r="L123" s="1561"/>
      <c r="M123" s="1561"/>
      <c r="N123" s="1085"/>
      <c r="O123" s="1085"/>
      <c r="P123" s="1085"/>
      <c r="Q123" s="1085"/>
      <c r="R123" s="1561"/>
      <c r="S123" s="1085"/>
      <c r="T123" s="1085"/>
      <c r="U123" s="479"/>
      <c r="V123" s="1085"/>
      <c r="W123" s="1085"/>
      <c r="X123" s="1085"/>
      <c r="Y123" s="1085"/>
      <c r="Z123" s="1085"/>
      <c r="AA123" s="1557"/>
      <c r="AB123" s="501"/>
      <c r="AC123" s="501"/>
      <c r="AD123" s="501"/>
      <c r="AE123" s="501"/>
      <c r="AF123" s="1566">
        <v>11</v>
      </c>
    </row>
    <row r="124" spans="1:32" s="1566" customFormat="1" ht="11.45" customHeight="1">
      <c r="A124" s="915"/>
      <c r="B124" s="1561"/>
      <c r="C124" s="1561"/>
      <c r="D124" s="286"/>
      <c r="K124" s="1085"/>
      <c r="L124" s="1561"/>
      <c r="M124" s="1561"/>
      <c r="N124" s="1085"/>
      <c r="O124" s="1085"/>
      <c r="P124" s="1085"/>
      <c r="Q124" s="1085"/>
      <c r="R124" s="1561"/>
      <c r="S124" s="1085"/>
      <c r="T124" s="1085"/>
      <c r="U124" s="479"/>
      <c r="V124" s="1085"/>
      <c r="W124" s="1085"/>
      <c r="X124" s="1085"/>
      <c r="Y124" s="1085"/>
      <c r="Z124" s="1085"/>
      <c r="AA124" s="1557"/>
      <c r="AB124" s="501"/>
      <c r="AC124" s="501"/>
      <c r="AD124" s="501"/>
      <c r="AE124" s="501"/>
      <c r="AF124" s="1566">
        <v>11</v>
      </c>
    </row>
    <row r="125" spans="1:32" s="1566" customFormat="1" ht="11.45" customHeight="1">
      <c r="A125" s="915"/>
      <c r="B125" s="1561"/>
      <c r="C125" s="1561"/>
      <c r="D125" s="286"/>
      <c r="K125" s="1085"/>
      <c r="L125" s="1561"/>
      <c r="M125" s="1561"/>
      <c r="N125" s="1085"/>
      <c r="O125" s="1085"/>
      <c r="P125" s="1085"/>
      <c r="Q125" s="1085"/>
      <c r="R125" s="1561"/>
      <c r="S125" s="1085"/>
      <c r="T125" s="1085"/>
      <c r="U125" s="479"/>
      <c r="V125" s="1085"/>
      <c r="W125" s="1085"/>
      <c r="X125" s="1085"/>
      <c r="Y125" s="1085"/>
      <c r="Z125" s="1085"/>
      <c r="AA125" s="1557"/>
      <c r="AB125" s="501"/>
      <c r="AC125" s="501"/>
      <c r="AD125" s="501"/>
      <c r="AE125" s="501"/>
      <c r="AF125" s="1566">
        <v>11</v>
      </c>
    </row>
    <row r="126" spans="1:32" s="1566" customFormat="1" ht="11.45" customHeight="1">
      <c r="A126" s="915"/>
      <c r="B126" s="1561"/>
      <c r="C126" s="1561"/>
      <c r="D126" s="286"/>
      <c r="K126" s="1085"/>
      <c r="L126" s="1561"/>
      <c r="M126" s="1561"/>
      <c r="N126" s="1085"/>
      <c r="O126" s="1085"/>
      <c r="P126" s="1085"/>
      <c r="Q126" s="1085"/>
      <c r="R126" s="1561"/>
      <c r="S126" s="1085"/>
      <c r="T126" s="1085"/>
      <c r="U126" s="479"/>
      <c r="V126" s="1085"/>
      <c r="W126" s="1085"/>
      <c r="X126" s="1085"/>
      <c r="Y126" s="1085"/>
      <c r="Z126" s="1085"/>
      <c r="AA126" s="1557"/>
      <c r="AB126" s="501"/>
      <c r="AC126" s="501"/>
      <c r="AD126" s="501"/>
      <c r="AE126" s="501"/>
      <c r="AF126" s="1566">
        <v>11</v>
      </c>
    </row>
    <row r="127" spans="1:32" s="1566" customFormat="1" ht="11.45" customHeight="1">
      <c r="A127" s="915"/>
      <c r="B127" s="1561"/>
      <c r="C127" s="1561"/>
      <c r="D127" s="286"/>
      <c r="K127" s="1085"/>
      <c r="L127" s="1561"/>
      <c r="M127" s="1561"/>
      <c r="N127" s="1085"/>
      <c r="O127" s="1085"/>
      <c r="P127" s="1085"/>
      <c r="Q127" s="1085"/>
      <c r="R127" s="1561"/>
      <c r="S127" s="1085"/>
      <c r="T127" s="1085"/>
      <c r="U127" s="479"/>
      <c r="V127" s="1085"/>
      <c r="W127" s="1085"/>
      <c r="X127" s="1085"/>
      <c r="Y127" s="1085"/>
      <c r="Z127" s="1085"/>
      <c r="AA127" s="1557"/>
      <c r="AB127" s="501"/>
      <c r="AC127" s="501"/>
      <c r="AD127" s="501"/>
      <c r="AE127" s="501"/>
      <c r="AF127" s="1566">
        <v>11</v>
      </c>
    </row>
    <row r="128" spans="1:32" s="1566" customFormat="1" ht="11.45" customHeight="1">
      <c r="A128" s="915"/>
      <c r="B128" s="1561"/>
      <c r="C128" s="1561"/>
      <c r="D128" s="286"/>
      <c r="K128" s="1085"/>
      <c r="L128" s="1561"/>
      <c r="M128" s="1561"/>
      <c r="N128" s="1085"/>
      <c r="O128" s="1085"/>
      <c r="P128" s="1085"/>
      <c r="Q128" s="1085"/>
      <c r="R128" s="1561"/>
      <c r="S128" s="1085"/>
      <c r="T128" s="1085"/>
      <c r="U128" s="479"/>
      <c r="V128" s="1085"/>
      <c r="W128" s="1085"/>
      <c r="X128" s="1085"/>
      <c r="Y128" s="1085"/>
      <c r="Z128" s="1085"/>
      <c r="AA128" s="1557"/>
      <c r="AB128" s="501"/>
      <c r="AC128" s="501"/>
      <c r="AD128" s="501"/>
      <c r="AE128" s="501"/>
      <c r="AF128" s="1566">
        <v>11</v>
      </c>
    </row>
    <row r="129" spans="1:32" s="1566" customFormat="1" ht="11.45" customHeight="1">
      <c r="A129" s="915"/>
      <c r="B129" s="1561"/>
      <c r="C129" s="1561"/>
      <c r="D129" s="286"/>
      <c r="K129" s="1085"/>
      <c r="L129" s="1561"/>
      <c r="M129" s="1561"/>
      <c r="N129" s="1085"/>
      <c r="O129" s="1085"/>
      <c r="P129" s="1085"/>
      <c r="Q129" s="1085"/>
      <c r="R129" s="1561"/>
      <c r="S129" s="1085"/>
      <c r="T129" s="1085"/>
      <c r="U129" s="479"/>
      <c r="V129" s="1085"/>
      <c r="W129" s="1085"/>
      <c r="X129" s="1085"/>
      <c r="Y129" s="1085"/>
      <c r="Z129" s="1085"/>
      <c r="AA129" s="1557"/>
      <c r="AB129" s="501"/>
      <c r="AC129" s="501"/>
      <c r="AD129" s="501"/>
      <c r="AE129" s="501"/>
      <c r="AF129" s="1566">
        <v>11</v>
      </c>
    </row>
    <row r="130" spans="1:32" s="1566" customFormat="1" ht="11.45" customHeight="1">
      <c r="A130" s="915"/>
      <c r="B130" s="1561"/>
      <c r="C130" s="1561"/>
      <c r="D130" s="286"/>
      <c r="K130" s="1085"/>
      <c r="L130" s="1561"/>
      <c r="M130" s="1561"/>
      <c r="N130" s="1085"/>
      <c r="O130" s="1085"/>
      <c r="P130" s="1085"/>
      <c r="Q130" s="1085"/>
      <c r="R130" s="1561"/>
      <c r="S130" s="1085"/>
      <c r="T130" s="1085"/>
      <c r="U130" s="479"/>
      <c r="V130" s="1085"/>
      <c r="W130" s="1085"/>
      <c r="X130" s="1085"/>
      <c r="Y130" s="1085"/>
      <c r="Z130" s="1085"/>
      <c r="AA130" s="1557"/>
      <c r="AB130" s="501"/>
      <c r="AC130" s="501"/>
      <c r="AD130" s="501"/>
      <c r="AE130" s="501"/>
      <c r="AF130" s="1566">
        <v>11</v>
      </c>
    </row>
    <row r="131" spans="1:32" s="1566" customFormat="1" ht="11.45" customHeight="1">
      <c r="A131" s="915"/>
      <c r="B131" s="1561"/>
      <c r="C131" s="1561"/>
      <c r="D131" s="286"/>
      <c r="K131" s="1085"/>
      <c r="L131" s="1561"/>
      <c r="M131" s="1561"/>
      <c r="N131" s="1085"/>
      <c r="O131" s="1085"/>
      <c r="P131" s="1085"/>
      <c r="Q131" s="1085"/>
      <c r="R131" s="1561"/>
      <c r="S131" s="1085"/>
      <c r="T131" s="1085"/>
      <c r="U131" s="479"/>
      <c r="V131" s="1085"/>
      <c r="W131" s="1085"/>
      <c r="X131" s="1085"/>
      <c r="Y131" s="1085"/>
      <c r="Z131" s="1085"/>
      <c r="AA131" s="1557"/>
      <c r="AB131" s="501"/>
      <c r="AC131" s="501"/>
      <c r="AD131" s="501"/>
      <c r="AE131" s="501"/>
      <c r="AF131" s="1566">
        <v>11</v>
      </c>
    </row>
    <row r="132" spans="1:32" s="1566" customFormat="1" ht="11.45" customHeight="1">
      <c r="A132" s="915"/>
      <c r="B132" s="1561"/>
      <c r="C132" s="1561"/>
      <c r="D132" s="286"/>
      <c r="K132" s="1085"/>
      <c r="L132" s="1561"/>
      <c r="M132" s="1561"/>
      <c r="N132" s="1085"/>
      <c r="O132" s="1085"/>
      <c r="P132" s="1085"/>
      <c r="Q132" s="1085"/>
      <c r="R132" s="1561"/>
      <c r="S132" s="1085"/>
      <c r="T132" s="1085"/>
      <c r="U132" s="479"/>
      <c r="V132" s="1085"/>
      <c r="W132" s="1085"/>
      <c r="X132" s="1085"/>
      <c r="Y132" s="1085"/>
      <c r="Z132" s="1085"/>
      <c r="AA132" s="1557"/>
      <c r="AB132" s="501"/>
      <c r="AC132" s="501"/>
      <c r="AD132" s="501"/>
      <c r="AE132" s="501"/>
      <c r="AF132" s="1566">
        <v>11</v>
      </c>
    </row>
    <row r="133" spans="1:32" s="1566" customFormat="1" ht="11.45" customHeight="1">
      <c r="A133" s="915"/>
      <c r="B133" s="1561"/>
      <c r="C133" s="1561"/>
      <c r="D133" s="286"/>
      <c r="K133" s="1085"/>
      <c r="L133" s="1561"/>
      <c r="M133" s="1561"/>
      <c r="N133" s="1085"/>
      <c r="O133" s="1085"/>
      <c r="P133" s="1085"/>
      <c r="Q133" s="1085"/>
      <c r="R133" s="1561"/>
      <c r="S133" s="1085"/>
      <c r="T133" s="1085"/>
      <c r="U133" s="479"/>
      <c r="V133" s="1085"/>
      <c r="W133" s="1085"/>
      <c r="X133" s="1085"/>
      <c r="Y133" s="1085"/>
      <c r="Z133" s="1085"/>
      <c r="AA133" s="1557"/>
      <c r="AB133" s="501"/>
      <c r="AC133" s="501"/>
      <c r="AD133" s="501"/>
      <c r="AE133" s="501"/>
      <c r="AF133" s="1566">
        <v>11</v>
      </c>
    </row>
    <row r="134" spans="1:32" s="1566" customFormat="1" ht="11.45" customHeight="1">
      <c r="A134" s="915"/>
      <c r="B134" s="1561"/>
      <c r="C134" s="1561"/>
      <c r="D134" s="286"/>
      <c r="K134" s="1085"/>
      <c r="L134" s="1561"/>
      <c r="M134" s="1561"/>
      <c r="N134" s="1085"/>
      <c r="O134" s="1085"/>
      <c r="P134" s="1085"/>
      <c r="Q134" s="1085"/>
      <c r="R134" s="1561"/>
      <c r="S134" s="1085"/>
      <c r="T134" s="1085"/>
      <c r="U134" s="479"/>
      <c r="V134" s="1085"/>
      <c r="W134" s="1085"/>
      <c r="X134" s="1085"/>
      <c r="Y134" s="1085"/>
      <c r="Z134" s="1085"/>
      <c r="AA134" s="1557"/>
      <c r="AB134" s="501"/>
      <c r="AC134" s="501"/>
      <c r="AD134" s="501"/>
      <c r="AE134" s="501"/>
      <c r="AF134" s="1566">
        <v>11</v>
      </c>
    </row>
    <row r="135" spans="1:32" s="1566" customFormat="1" ht="11.45" customHeight="1">
      <c r="A135" s="915"/>
      <c r="B135" s="1561"/>
      <c r="C135" s="1561"/>
      <c r="D135" s="286"/>
      <c r="K135" s="1085"/>
      <c r="L135" s="1561"/>
      <c r="M135" s="1561"/>
      <c r="N135" s="1085"/>
      <c r="O135" s="1085"/>
      <c r="P135" s="1085"/>
      <c r="Q135" s="1085"/>
      <c r="R135" s="1561"/>
      <c r="S135" s="1085"/>
      <c r="T135" s="1085"/>
      <c r="U135" s="479"/>
      <c r="V135" s="1085"/>
      <c r="W135" s="1085"/>
      <c r="X135" s="1085"/>
      <c r="Y135" s="1085"/>
      <c r="Z135" s="1085"/>
      <c r="AA135" s="1557"/>
      <c r="AB135" s="501"/>
      <c r="AC135" s="501"/>
      <c r="AD135" s="501"/>
      <c r="AE135" s="501"/>
      <c r="AF135" s="1566">
        <v>11</v>
      </c>
    </row>
    <row r="136" spans="1:32" s="1566" customFormat="1" ht="11.45" customHeight="1">
      <c r="A136" s="915"/>
      <c r="B136" s="1561"/>
      <c r="C136" s="1561"/>
      <c r="D136" s="286"/>
      <c r="K136" s="1085"/>
      <c r="L136" s="1561"/>
      <c r="M136" s="1561"/>
      <c r="N136" s="1085"/>
      <c r="O136" s="1085"/>
      <c r="P136" s="1085"/>
      <c r="Q136" s="1085"/>
      <c r="R136" s="1561"/>
      <c r="S136" s="1085"/>
      <c r="T136" s="1085"/>
      <c r="U136" s="479"/>
      <c r="V136" s="1085"/>
      <c r="W136" s="1085"/>
      <c r="X136" s="1085"/>
      <c r="Y136" s="1085"/>
      <c r="Z136" s="1085"/>
      <c r="AA136" s="1557"/>
      <c r="AB136" s="501"/>
      <c r="AC136" s="501"/>
      <c r="AD136" s="501"/>
      <c r="AE136" s="501"/>
      <c r="AF136" s="1566">
        <v>11</v>
      </c>
    </row>
    <row r="137" spans="1:32" s="1566" customFormat="1" ht="11.45" customHeight="1">
      <c r="A137" s="915"/>
      <c r="B137" s="1561"/>
      <c r="C137" s="1561"/>
      <c r="D137" s="286"/>
      <c r="K137" s="1085"/>
      <c r="L137" s="1561"/>
      <c r="M137" s="1561"/>
      <c r="N137" s="1085"/>
      <c r="O137" s="1085"/>
      <c r="P137" s="1085"/>
      <c r="Q137" s="1085"/>
      <c r="R137" s="1561"/>
      <c r="S137" s="1085"/>
      <c r="T137" s="1085"/>
      <c r="U137" s="479"/>
      <c r="V137" s="1085"/>
      <c r="W137" s="1085"/>
      <c r="X137" s="1085"/>
      <c r="Y137" s="1085"/>
      <c r="Z137" s="1085"/>
      <c r="AA137" s="1557"/>
      <c r="AB137" s="501"/>
      <c r="AC137" s="501"/>
      <c r="AD137" s="501"/>
      <c r="AE137" s="501"/>
      <c r="AF137" s="1566">
        <v>11</v>
      </c>
    </row>
    <row r="138" spans="1:32" s="1566" customFormat="1" ht="11.45" customHeight="1">
      <c r="A138" s="915"/>
      <c r="B138" s="1561"/>
      <c r="C138" s="1561"/>
      <c r="D138" s="286"/>
      <c r="K138" s="1085"/>
      <c r="L138" s="1561"/>
      <c r="M138" s="1561"/>
      <c r="N138" s="1085"/>
      <c r="O138" s="1085"/>
      <c r="P138" s="1085"/>
      <c r="Q138" s="1085"/>
      <c r="R138" s="1561"/>
      <c r="S138" s="1085"/>
      <c r="T138" s="1085"/>
      <c r="U138" s="479"/>
      <c r="V138" s="1085"/>
      <c r="W138" s="1085"/>
      <c r="X138" s="1085"/>
      <c r="Y138" s="1085"/>
      <c r="Z138" s="1085"/>
      <c r="AA138" s="1557"/>
      <c r="AB138" s="501"/>
      <c r="AC138" s="501"/>
      <c r="AD138" s="501"/>
      <c r="AE138" s="501"/>
      <c r="AF138" s="1566">
        <v>11</v>
      </c>
    </row>
    <row r="139" spans="1:32" s="1566" customFormat="1" ht="11.45" customHeight="1">
      <c r="A139" s="915"/>
      <c r="B139" s="1561"/>
      <c r="C139" s="1561"/>
      <c r="D139" s="286"/>
      <c r="K139" s="1085"/>
      <c r="L139" s="1561"/>
      <c r="M139" s="1561"/>
      <c r="N139" s="1085"/>
      <c r="O139" s="1085"/>
      <c r="P139" s="1085"/>
      <c r="Q139" s="1085"/>
      <c r="R139" s="1561"/>
      <c r="S139" s="1085"/>
      <c r="T139" s="1085"/>
      <c r="U139" s="479"/>
      <c r="V139" s="1085"/>
      <c r="W139" s="1085"/>
      <c r="X139" s="1085"/>
      <c r="Y139" s="1085"/>
      <c r="Z139" s="1085"/>
      <c r="AA139" s="1557"/>
      <c r="AB139" s="501"/>
      <c r="AC139" s="501"/>
      <c r="AD139" s="501"/>
      <c r="AE139" s="501"/>
      <c r="AF139" s="1566">
        <v>11</v>
      </c>
    </row>
    <row r="140" spans="1:32" s="1566" customFormat="1" ht="11.45" customHeight="1">
      <c r="A140" s="915"/>
      <c r="B140" s="1561"/>
      <c r="C140" s="1561"/>
      <c r="D140" s="286"/>
      <c r="K140" s="1085"/>
      <c r="L140" s="1561"/>
      <c r="M140" s="1561"/>
      <c r="N140" s="1085"/>
      <c r="O140" s="1085"/>
      <c r="P140" s="1085"/>
      <c r="Q140" s="1085"/>
      <c r="R140" s="1561"/>
      <c r="S140" s="1085"/>
      <c r="T140" s="1085"/>
      <c r="U140" s="479"/>
      <c r="V140" s="1085"/>
      <c r="W140" s="1085"/>
      <c r="X140" s="1085"/>
      <c r="Y140" s="1085"/>
      <c r="Z140" s="1085"/>
      <c r="AA140" s="1557"/>
      <c r="AB140" s="501"/>
      <c r="AC140" s="501"/>
      <c r="AD140" s="501"/>
      <c r="AE140" s="501"/>
      <c r="AF140" s="1566">
        <v>11</v>
      </c>
    </row>
    <row r="141" spans="1:32" s="1566" customFormat="1" ht="11.45" customHeight="1">
      <c r="A141" s="915"/>
      <c r="B141" s="1561"/>
      <c r="C141" s="1561"/>
      <c r="D141" s="286"/>
      <c r="K141" s="1085"/>
      <c r="L141" s="1561"/>
      <c r="M141" s="1561"/>
      <c r="N141" s="1085"/>
      <c r="O141" s="1085"/>
      <c r="P141" s="1085"/>
      <c r="Q141" s="1085"/>
      <c r="R141" s="1561"/>
      <c r="S141" s="1085"/>
      <c r="T141" s="1085"/>
      <c r="U141" s="479"/>
      <c r="V141" s="1085"/>
      <c r="W141" s="1085"/>
      <c r="X141" s="1085"/>
      <c r="Y141" s="1085"/>
      <c r="Z141" s="1085"/>
      <c r="AA141" s="1557"/>
      <c r="AB141" s="501"/>
      <c r="AC141" s="501"/>
      <c r="AD141" s="501"/>
      <c r="AE141" s="501"/>
      <c r="AF141" s="1566">
        <v>11</v>
      </c>
    </row>
    <row r="142" spans="1:32" s="1566" customFormat="1" ht="11.45" customHeight="1">
      <c r="A142" s="915"/>
      <c r="B142" s="1561"/>
      <c r="C142" s="1561"/>
      <c r="D142" s="286"/>
      <c r="K142" s="1085"/>
      <c r="L142" s="1561"/>
      <c r="M142" s="1561"/>
      <c r="N142" s="1085"/>
      <c r="O142" s="1085"/>
      <c r="P142" s="1085"/>
      <c r="Q142" s="1085"/>
      <c r="R142" s="1561"/>
      <c r="S142" s="1085"/>
      <c r="T142" s="1085"/>
      <c r="U142" s="479"/>
      <c r="V142" s="1085"/>
      <c r="W142" s="1085"/>
      <c r="X142" s="1085"/>
      <c r="Y142" s="1085"/>
      <c r="Z142" s="1085"/>
      <c r="AA142" s="1557"/>
      <c r="AB142" s="501"/>
      <c r="AC142" s="501"/>
      <c r="AD142" s="501"/>
      <c r="AE142" s="501"/>
      <c r="AF142" s="1566">
        <v>11</v>
      </c>
    </row>
    <row r="143" spans="1:32" s="1566" customFormat="1" ht="11.45" customHeight="1">
      <c r="A143" s="915"/>
      <c r="B143" s="1561"/>
      <c r="C143" s="1561"/>
      <c r="D143" s="286"/>
      <c r="K143" s="1085"/>
      <c r="L143" s="1561"/>
      <c r="M143" s="1561"/>
      <c r="N143" s="1085"/>
      <c r="O143" s="1085"/>
      <c r="P143" s="1085"/>
      <c r="Q143" s="1085"/>
      <c r="R143" s="1561"/>
      <c r="S143" s="1085"/>
      <c r="T143" s="1085"/>
      <c r="U143" s="479"/>
      <c r="V143" s="1085"/>
      <c r="W143" s="1085"/>
      <c r="X143" s="1085"/>
      <c r="Y143" s="1085"/>
      <c r="Z143" s="1085"/>
      <c r="AA143" s="1557"/>
      <c r="AB143" s="501"/>
      <c r="AC143" s="501"/>
      <c r="AD143" s="501"/>
      <c r="AE143" s="501"/>
      <c r="AF143" s="1566">
        <v>11</v>
      </c>
    </row>
    <row r="144" spans="1:32" s="1566" customFormat="1" ht="11.45" customHeight="1">
      <c r="A144" s="915"/>
      <c r="B144" s="1561"/>
      <c r="C144" s="1561"/>
      <c r="D144" s="286"/>
      <c r="K144" s="1085"/>
      <c r="L144" s="1561"/>
      <c r="M144" s="1561"/>
      <c r="N144" s="1085"/>
      <c r="O144" s="1085"/>
      <c r="P144" s="1085"/>
      <c r="Q144" s="1085"/>
      <c r="R144" s="1561"/>
      <c r="S144" s="1085"/>
      <c r="T144" s="1085"/>
      <c r="U144" s="479"/>
      <c r="V144" s="1085"/>
      <c r="W144" s="1085"/>
      <c r="X144" s="1085"/>
      <c r="Y144" s="1085"/>
      <c r="Z144" s="1085"/>
      <c r="AA144" s="1557"/>
      <c r="AB144" s="501"/>
      <c r="AC144" s="501"/>
      <c r="AD144" s="501"/>
      <c r="AE144" s="501"/>
      <c r="AF144" s="1566">
        <v>11</v>
      </c>
    </row>
    <row r="145" spans="1:32" s="1566" customFormat="1" ht="11.45" customHeight="1">
      <c r="A145" s="915"/>
      <c r="B145" s="1561"/>
      <c r="C145" s="1561"/>
      <c r="D145" s="286"/>
      <c r="K145" s="1085"/>
      <c r="L145" s="1561"/>
      <c r="M145" s="1561"/>
      <c r="N145" s="1085"/>
      <c r="O145" s="1085"/>
      <c r="P145" s="1085"/>
      <c r="Q145" s="1085"/>
      <c r="R145" s="1561"/>
      <c r="S145" s="1085"/>
      <c r="T145" s="1085"/>
      <c r="U145" s="479"/>
      <c r="V145" s="1085"/>
      <c r="W145" s="1085"/>
      <c r="X145" s="1085"/>
      <c r="Y145" s="1085"/>
      <c r="Z145" s="1085"/>
      <c r="AA145" s="1557"/>
      <c r="AB145" s="501"/>
      <c r="AC145" s="501"/>
      <c r="AD145" s="501"/>
      <c r="AE145" s="501"/>
      <c r="AF145" s="1566">
        <v>11</v>
      </c>
    </row>
    <row r="146" spans="1:32" s="1566" customFormat="1" ht="11.45" customHeight="1">
      <c r="A146" s="915"/>
      <c r="B146" s="1561"/>
      <c r="C146" s="1561"/>
      <c r="D146" s="286"/>
      <c r="K146" s="1085"/>
      <c r="L146" s="1561"/>
      <c r="M146" s="1561"/>
      <c r="N146" s="1085"/>
      <c r="O146" s="1085"/>
      <c r="P146" s="1085"/>
      <c r="Q146" s="1085"/>
      <c r="R146" s="1561"/>
      <c r="S146" s="1085"/>
      <c r="T146" s="1085"/>
      <c r="U146" s="479"/>
      <c r="V146" s="1085"/>
      <c r="W146" s="1085"/>
      <c r="X146" s="1085"/>
      <c r="Y146" s="1085"/>
      <c r="Z146" s="1085"/>
      <c r="AA146" s="1557"/>
      <c r="AB146" s="501"/>
      <c r="AC146" s="501"/>
      <c r="AD146" s="501"/>
      <c r="AE146" s="501"/>
      <c r="AF146" s="1566">
        <v>11</v>
      </c>
    </row>
    <row r="147" spans="1:32" s="1566" customFormat="1" ht="11.45" customHeight="1">
      <c r="A147" s="915"/>
      <c r="B147" s="1561"/>
      <c r="C147" s="1561"/>
      <c r="D147" s="286"/>
      <c r="K147" s="1085"/>
      <c r="L147" s="1561"/>
      <c r="M147" s="1561"/>
      <c r="N147" s="1085"/>
      <c r="O147" s="1085"/>
      <c r="P147" s="1085"/>
      <c r="Q147" s="1085"/>
      <c r="R147" s="1561"/>
      <c r="S147" s="1085"/>
      <c r="T147" s="1085"/>
      <c r="U147" s="479"/>
      <c r="V147" s="1085"/>
      <c r="W147" s="1085"/>
      <c r="X147" s="1085"/>
      <c r="Y147" s="1085"/>
      <c r="Z147" s="1085"/>
      <c r="AA147" s="1557"/>
      <c r="AB147" s="501"/>
      <c r="AC147" s="501"/>
      <c r="AD147" s="501"/>
      <c r="AE147" s="501"/>
      <c r="AF147" s="1566">
        <v>11</v>
      </c>
    </row>
    <row r="148" spans="1:32" s="1566" customFormat="1" ht="11.45" customHeight="1">
      <c r="A148" s="915"/>
      <c r="B148" s="1561"/>
      <c r="C148" s="1561"/>
      <c r="D148" s="286"/>
      <c r="K148" s="1085"/>
      <c r="L148" s="1561"/>
      <c r="M148" s="1561"/>
      <c r="N148" s="1085"/>
      <c r="O148" s="1085"/>
      <c r="P148" s="1085"/>
      <c r="Q148" s="1085"/>
      <c r="R148" s="1561"/>
      <c r="S148" s="1085"/>
      <c r="T148" s="1085"/>
      <c r="U148" s="479"/>
      <c r="V148" s="1085"/>
      <c r="W148" s="1085"/>
      <c r="X148" s="1085"/>
      <c r="Y148" s="1085"/>
      <c r="Z148" s="1085"/>
      <c r="AA148" s="1557"/>
      <c r="AB148" s="501"/>
      <c r="AC148" s="501"/>
      <c r="AD148" s="501"/>
      <c r="AE148" s="501"/>
      <c r="AF148" s="1566">
        <v>11</v>
      </c>
    </row>
    <row r="149" spans="1:32" s="1566" customFormat="1" ht="11.45" customHeight="1">
      <c r="A149" s="915"/>
      <c r="B149" s="1561"/>
      <c r="C149" s="1561"/>
      <c r="D149" s="286"/>
      <c r="K149" s="1085"/>
      <c r="L149" s="1561"/>
      <c r="M149" s="1561"/>
      <c r="N149" s="1085"/>
      <c r="O149" s="1085"/>
      <c r="P149" s="1085"/>
      <c r="Q149" s="1085"/>
      <c r="R149" s="1561"/>
      <c r="S149" s="1085"/>
      <c r="T149" s="1085"/>
      <c r="U149" s="479"/>
      <c r="V149" s="1085"/>
      <c r="W149" s="1085"/>
      <c r="X149" s="1085"/>
      <c r="Y149" s="1085"/>
      <c r="Z149" s="1085"/>
      <c r="AA149" s="1557"/>
      <c r="AB149" s="501"/>
      <c r="AC149" s="501"/>
      <c r="AD149" s="501"/>
      <c r="AE149" s="501"/>
      <c r="AF149" s="1566">
        <v>11</v>
      </c>
    </row>
    <row r="150" spans="1:32" s="1566" customFormat="1" ht="11.45" customHeight="1">
      <c r="A150" s="915"/>
      <c r="B150" s="1561"/>
      <c r="C150" s="1561"/>
      <c r="D150" s="286"/>
      <c r="K150" s="1085"/>
      <c r="L150" s="1561"/>
      <c r="M150" s="1561"/>
      <c r="N150" s="1085"/>
      <c r="O150" s="1085"/>
      <c r="P150" s="1085"/>
      <c r="Q150" s="1085"/>
      <c r="R150" s="1561"/>
      <c r="S150" s="1085"/>
      <c r="T150" s="1085"/>
      <c r="U150" s="479"/>
      <c r="V150" s="1085"/>
      <c r="W150" s="1085"/>
      <c r="X150" s="1085"/>
      <c r="Y150" s="1085"/>
      <c r="Z150" s="1085"/>
      <c r="AA150" s="1557"/>
      <c r="AB150" s="501"/>
      <c r="AC150" s="501"/>
      <c r="AD150" s="501"/>
      <c r="AE150" s="501"/>
      <c r="AF150" s="1566">
        <v>11</v>
      </c>
    </row>
    <row r="151" spans="1:32" s="1566" customFormat="1" ht="11.45" customHeight="1">
      <c r="A151" s="915"/>
      <c r="B151" s="1561"/>
      <c r="C151" s="1561"/>
      <c r="D151" s="286"/>
      <c r="K151" s="1085"/>
      <c r="L151" s="1561"/>
      <c r="M151" s="1561"/>
      <c r="N151" s="1085"/>
      <c r="O151" s="1085"/>
      <c r="P151" s="1085"/>
      <c r="Q151" s="1085"/>
      <c r="R151" s="1561"/>
      <c r="S151" s="1085"/>
      <c r="T151" s="1085"/>
      <c r="U151" s="479"/>
      <c r="V151" s="1085"/>
      <c r="W151" s="1085"/>
      <c r="X151" s="1085"/>
      <c r="Y151" s="1085"/>
      <c r="Z151" s="1085"/>
      <c r="AA151" s="1557"/>
      <c r="AB151" s="501"/>
      <c r="AC151" s="501"/>
      <c r="AD151" s="501"/>
      <c r="AE151" s="501"/>
      <c r="AF151" s="1566">
        <v>11</v>
      </c>
    </row>
    <row r="152" spans="1:32" s="1566" customFormat="1" ht="11.45" customHeight="1">
      <c r="A152" s="915"/>
      <c r="B152" s="1561"/>
      <c r="C152" s="1561"/>
      <c r="D152" s="286"/>
      <c r="K152" s="1085"/>
      <c r="L152" s="1561"/>
      <c r="M152" s="1561"/>
      <c r="N152" s="1085"/>
      <c r="O152" s="1085"/>
      <c r="P152" s="1085"/>
      <c r="Q152" s="1085"/>
      <c r="R152" s="1561"/>
      <c r="S152" s="1085"/>
      <c r="T152" s="1085"/>
      <c r="U152" s="479"/>
      <c r="V152" s="1085"/>
      <c r="W152" s="1085"/>
      <c r="X152" s="1085"/>
      <c r="Y152" s="1085"/>
      <c r="Z152" s="1085"/>
      <c r="AA152" s="1557"/>
      <c r="AB152" s="501"/>
      <c r="AC152" s="501"/>
      <c r="AD152" s="501"/>
      <c r="AE152" s="501"/>
      <c r="AF152" s="1566">
        <v>11</v>
      </c>
    </row>
    <row r="153" spans="1:32" s="1566" customFormat="1" ht="11.45" customHeight="1">
      <c r="A153" s="915"/>
      <c r="B153" s="1561"/>
      <c r="C153" s="1561"/>
      <c r="D153" s="286"/>
      <c r="K153" s="1085"/>
      <c r="L153" s="1561"/>
      <c r="M153" s="1561"/>
      <c r="N153" s="1085"/>
      <c r="O153" s="1085"/>
      <c r="P153" s="1085"/>
      <c r="Q153" s="1085"/>
      <c r="R153" s="1561"/>
      <c r="S153" s="1085"/>
      <c r="T153" s="1085"/>
      <c r="U153" s="479"/>
      <c r="V153" s="1085"/>
      <c r="W153" s="1085"/>
      <c r="X153" s="1085"/>
      <c r="Y153" s="1085"/>
      <c r="Z153" s="1085"/>
      <c r="AA153" s="1557"/>
      <c r="AB153" s="501"/>
      <c r="AC153" s="501"/>
      <c r="AD153" s="501"/>
      <c r="AE153" s="501"/>
      <c r="AF153" s="1566">
        <v>11</v>
      </c>
    </row>
    <row r="154" spans="1:32" s="1566" customFormat="1" ht="11.45" customHeight="1">
      <c r="A154" s="915"/>
      <c r="B154" s="1561"/>
      <c r="C154" s="1561"/>
      <c r="D154" s="286"/>
      <c r="K154" s="1085"/>
      <c r="L154" s="1561"/>
      <c r="M154" s="1561"/>
      <c r="N154" s="1085"/>
      <c r="O154" s="1085"/>
      <c r="P154" s="1085"/>
      <c r="Q154" s="1085"/>
      <c r="R154" s="1561"/>
      <c r="S154" s="1085"/>
      <c r="T154" s="1085"/>
      <c r="U154" s="479"/>
      <c r="V154" s="1085"/>
      <c r="W154" s="1085"/>
      <c r="X154" s="1085"/>
      <c r="Y154" s="1085"/>
      <c r="Z154" s="1085"/>
      <c r="AA154" s="1557"/>
      <c r="AB154" s="501"/>
      <c r="AC154" s="501"/>
      <c r="AD154" s="501"/>
      <c r="AE154" s="501"/>
      <c r="AF154" s="1566">
        <v>11</v>
      </c>
    </row>
    <row r="155" spans="1:32" s="1566" customFormat="1" ht="11.45" customHeight="1">
      <c r="A155" s="915"/>
      <c r="B155" s="1561"/>
      <c r="C155" s="1561"/>
      <c r="D155" s="286"/>
      <c r="K155" s="1085"/>
      <c r="L155" s="1561"/>
      <c r="M155" s="1561"/>
      <c r="N155" s="1085"/>
      <c r="O155" s="1085"/>
      <c r="P155" s="1085"/>
      <c r="Q155" s="1085"/>
      <c r="R155" s="1561"/>
      <c r="S155" s="1085"/>
      <c r="T155" s="1085"/>
      <c r="U155" s="479"/>
      <c r="V155" s="1085"/>
      <c r="W155" s="1085"/>
      <c r="X155" s="1085"/>
      <c r="Y155" s="1085"/>
      <c r="Z155" s="1085"/>
      <c r="AA155" s="1557"/>
      <c r="AB155" s="501"/>
      <c r="AC155" s="501"/>
      <c r="AD155" s="501"/>
      <c r="AE155" s="501"/>
      <c r="AF155" s="1566">
        <v>11</v>
      </c>
    </row>
    <row r="156" spans="1:32" s="1566" customFormat="1" ht="11.45" customHeight="1">
      <c r="A156" s="915"/>
      <c r="B156" s="1561"/>
      <c r="C156" s="1561"/>
      <c r="D156" s="286"/>
      <c r="K156" s="1085"/>
      <c r="L156" s="1561"/>
      <c r="M156" s="1561"/>
      <c r="N156" s="1085"/>
      <c r="O156" s="1085"/>
      <c r="P156" s="1085"/>
      <c r="Q156" s="1085"/>
      <c r="R156" s="1561"/>
      <c r="S156" s="1085"/>
      <c r="T156" s="1085"/>
      <c r="U156" s="479"/>
      <c r="V156" s="1085"/>
      <c r="W156" s="1085"/>
      <c r="X156" s="1085"/>
      <c r="Y156" s="1085"/>
      <c r="Z156" s="1085"/>
      <c r="AA156" s="1557"/>
      <c r="AB156" s="501"/>
      <c r="AC156" s="501"/>
      <c r="AD156" s="501"/>
      <c r="AE156" s="501"/>
      <c r="AF156" s="1566">
        <v>11</v>
      </c>
    </row>
    <row r="157" spans="1:32" s="1566" customFormat="1" ht="11.45" customHeight="1">
      <c r="A157" s="915"/>
      <c r="B157" s="1561"/>
      <c r="C157" s="1561"/>
      <c r="D157" s="286"/>
      <c r="K157" s="1085"/>
      <c r="L157" s="1561"/>
      <c r="M157" s="1561"/>
      <c r="N157" s="1085"/>
      <c r="O157" s="1085"/>
      <c r="P157" s="1085"/>
      <c r="Q157" s="1085"/>
      <c r="R157" s="1561"/>
      <c r="S157" s="1085"/>
      <c r="T157" s="1085"/>
      <c r="U157" s="479"/>
      <c r="V157" s="1085"/>
      <c r="W157" s="1085"/>
      <c r="X157" s="1085"/>
      <c r="Y157" s="1085"/>
      <c r="Z157" s="1085"/>
      <c r="AA157" s="1557"/>
      <c r="AB157" s="501"/>
      <c r="AC157" s="501"/>
      <c r="AD157" s="501"/>
      <c r="AE157" s="501"/>
      <c r="AF157" s="1566">
        <v>11</v>
      </c>
    </row>
    <row r="158" spans="1:32" s="1566" customFormat="1" ht="11.45" customHeight="1">
      <c r="A158" s="915"/>
      <c r="B158" s="1561"/>
      <c r="C158" s="1561"/>
      <c r="D158" s="286"/>
      <c r="K158" s="1085"/>
      <c r="L158" s="1561"/>
      <c r="M158" s="1561"/>
      <c r="N158" s="1085"/>
      <c r="O158" s="1085"/>
      <c r="P158" s="1085"/>
      <c r="Q158" s="1085"/>
      <c r="R158" s="1561"/>
      <c r="S158" s="1085"/>
      <c r="T158" s="1085"/>
      <c r="U158" s="479"/>
      <c r="V158" s="1085"/>
      <c r="W158" s="1085"/>
      <c r="X158" s="1085"/>
      <c r="Y158" s="1085"/>
      <c r="Z158" s="1085"/>
      <c r="AA158" s="1557"/>
      <c r="AB158" s="501"/>
      <c r="AC158" s="501"/>
      <c r="AD158" s="501"/>
      <c r="AE158" s="501"/>
      <c r="AF158" s="1566">
        <v>11</v>
      </c>
    </row>
    <row r="159" spans="1:32" s="1566" customFormat="1" ht="11.45" customHeight="1">
      <c r="A159" s="915"/>
      <c r="B159" s="1561"/>
      <c r="C159" s="1561"/>
      <c r="D159" s="286"/>
      <c r="K159" s="1085"/>
      <c r="L159" s="1561"/>
      <c r="M159" s="1561"/>
      <c r="N159" s="1085"/>
      <c r="O159" s="1085"/>
      <c r="P159" s="1085"/>
      <c r="Q159" s="1085"/>
      <c r="R159" s="1561"/>
      <c r="S159" s="1085"/>
      <c r="T159" s="1085"/>
      <c r="U159" s="479"/>
      <c r="V159" s="1085"/>
      <c r="W159" s="1085"/>
      <c r="X159" s="1085"/>
      <c r="Y159" s="1085"/>
      <c r="Z159" s="1085"/>
      <c r="AA159" s="1557"/>
      <c r="AB159" s="501"/>
      <c r="AC159" s="501"/>
      <c r="AD159" s="501"/>
      <c r="AE159" s="501"/>
      <c r="AF159" s="1566">
        <v>11</v>
      </c>
    </row>
    <row r="160" spans="1:32" s="1566" customFormat="1" ht="11.45" customHeight="1">
      <c r="A160" s="915"/>
      <c r="B160" s="1561"/>
      <c r="C160" s="1561"/>
      <c r="D160" s="286"/>
      <c r="K160" s="1085"/>
      <c r="L160" s="1561"/>
      <c r="M160" s="1561"/>
      <c r="N160" s="1085"/>
      <c r="O160" s="1085"/>
      <c r="P160" s="1085"/>
      <c r="Q160" s="1085"/>
      <c r="R160" s="1561"/>
      <c r="S160" s="1085"/>
      <c r="T160" s="1085"/>
      <c r="U160" s="479"/>
      <c r="V160" s="1085"/>
      <c r="W160" s="1085"/>
      <c r="X160" s="1085"/>
      <c r="Y160" s="1085"/>
      <c r="Z160" s="1085"/>
      <c r="AA160" s="1557"/>
      <c r="AB160" s="501"/>
      <c r="AC160" s="501"/>
      <c r="AD160" s="501"/>
      <c r="AE160" s="501"/>
      <c r="AF160" s="1566">
        <v>11</v>
      </c>
    </row>
    <row r="161" spans="1:32" s="1566" customFormat="1" ht="11.45" customHeight="1">
      <c r="A161" s="915"/>
      <c r="B161" s="1561"/>
      <c r="C161" s="1561"/>
      <c r="D161" s="286"/>
      <c r="K161" s="1085"/>
      <c r="L161" s="1561"/>
      <c r="M161" s="1561"/>
      <c r="N161" s="1085"/>
      <c r="O161" s="1085"/>
      <c r="P161" s="1085"/>
      <c r="Q161" s="1085"/>
      <c r="R161" s="1561"/>
      <c r="S161" s="1085"/>
      <c r="T161" s="1085"/>
      <c r="U161" s="479"/>
      <c r="V161" s="1085"/>
      <c r="W161" s="1085"/>
      <c r="X161" s="1085"/>
      <c r="Y161" s="1085"/>
      <c r="Z161" s="1085"/>
      <c r="AA161" s="1557"/>
      <c r="AB161" s="501"/>
      <c r="AC161" s="501"/>
      <c r="AD161" s="501"/>
      <c r="AE161" s="501"/>
      <c r="AF161" s="1566">
        <v>11</v>
      </c>
    </row>
    <row r="162" spans="1:32" s="1566" customFormat="1" ht="11.45" customHeight="1">
      <c r="A162" s="915"/>
      <c r="B162" s="1561"/>
      <c r="C162" s="1561"/>
      <c r="D162" s="286"/>
      <c r="K162" s="1085"/>
      <c r="L162" s="1561"/>
      <c r="M162" s="1561"/>
      <c r="N162" s="1085"/>
      <c r="O162" s="1085"/>
      <c r="P162" s="1085"/>
      <c r="Q162" s="1085"/>
      <c r="R162" s="1561"/>
      <c r="S162" s="1085"/>
      <c r="T162" s="1085"/>
      <c r="U162" s="479"/>
      <c r="V162" s="1085"/>
      <c r="W162" s="1085"/>
      <c r="X162" s="1085"/>
      <c r="Y162" s="1085"/>
      <c r="Z162" s="1085"/>
      <c r="AA162" s="1557"/>
      <c r="AB162" s="501"/>
      <c r="AC162" s="501"/>
      <c r="AD162" s="501"/>
      <c r="AE162" s="501"/>
      <c r="AF162" s="1566">
        <v>11</v>
      </c>
    </row>
    <row r="163" spans="1:32" s="1566" customFormat="1" ht="11.45" customHeight="1">
      <c r="A163" s="915"/>
      <c r="B163" s="1561"/>
      <c r="C163" s="1561"/>
      <c r="D163" s="286"/>
      <c r="K163" s="1085"/>
      <c r="L163" s="1561"/>
      <c r="M163" s="1561"/>
      <c r="N163" s="1085"/>
      <c r="O163" s="1085"/>
      <c r="P163" s="1085"/>
      <c r="Q163" s="1085"/>
      <c r="R163" s="1561"/>
      <c r="S163" s="1085"/>
      <c r="T163" s="1085"/>
      <c r="U163" s="479"/>
      <c r="V163" s="1085"/>
      <c r="W163" s="1085"/>
      <c r="X163" s="1085"/>
      <c r="Y163" s="1085"/>
      <c r="Z163" s="1085"/>
      <c r="AA163" s="1557"/>
      <c r="AB163" s="501"/>
      <c r="AC163" s="501"/>
      <c r="AD163" s="501"/>
      <c r="AE163" s="501"/>
      <c r="AF163" s="1566">
        <v>11</v>
      </c>
    </row>
    <row r="164" spans="1:32" s="1566" customFormat="1" ht="11.45" customHeight="1">
      <c r="A164" s="915"/>
      <c r="B164" s="1561"/>
      <c r="C164" s="1561"/>
      <c r="D164" s="286"/>
      <c r="K164" s="1085"/>
      <c r="L164" s="1561"/>
      <c r="M164" s="1561"/>
      <c r="N164" s="1085"/>
      <c r="O164" s="1085"/>
      <c r="P164" s="1085"/>
      <c r="Q164" s="1085"/>
      <c r="R164" s="1561"/>
      <c r="S164" s="1085"/>
      <c r="T164" s="1085"/>
      <c r="U164" s="479"/>
      <c r="V164" s="1085"/>
      <c r="W164" s="1085"/>
      <c r="X164" s="1085"/>
      <c r="Y164" s="1085"/>
      <c r="Z164" s="1085"/>
      <c r="AA164" s="1557"/>
      <c r="AB164" s="501"/>
      <c r="AC164" s="501"/>
      <c r="AD164" s="501"/>
      <c r="AE164" s="501"/>
      <c r="AF164" s="1566">
        <v>11</v>
      </c>
    </row>
    <row r="165" spans="1:32" s="1566" customFormat="1" ht="11.45" customHeight="1">
      <c r="A165" s="915"/>
      <c r="B165" s="1561"/>
      <c r="C165" s="1561"/>
      <c r="D165" s="286"/>
      <c r="K165" s="1085"/>
      <c r="L165" s="1561"/>
      <c r="M165" s="1561"/>
      <c r="N165" s="1085"/>
      <c r="O165" s="1085"/>
      <c r="P165" s="1085"/>
      <c r="Q165" s="1085"/>
      <c r="R165" s="1561"/>
      <c r="S165" s="1085"/>
      <c r="T165" s="1085"/>
      <c r="U165" s="479"/>
      <c r="V165" s="1085"/>
      <c r="W165" s="1085"/>
      <c r="X165" s="1085"/>
      <c r="Y165" s="1085"/>
      <c r="Z165" s="1085"/>
      <c r="AA165" s="1557"/>
      <c r="AB165" s="501"/>
      <c r="AC165" s="501"/>
      <c r="AD165" s="501"/>
      <c r="AE165" s="501"/>
      <c r="AF165" s="1566">
        <v>11</v>
      </c>
    </row>
    <row r="166" spans="1:32" s="1566" customFormat="1" ht="11.45" customHeight="1">
      <c r="A166" s="915"/>
      <c r="B166" s="1561"/>
      <c r="C166" s="1561"/>
      <c r="D166" s="286"/>
      <c r="K166" s="1085"/>
      <c r="L166" s="1561"/>
      <c r="M166" s="1561"/>
      <c r="N166" s="1085"/>
      <c r="O166" s="1085"/>
      <c r="P166" s="1085"/>
      <c r="Q166" s="1085"/>
      <c r="R166" s="1561"/>
      <c r="S166" s="1085"/>
      <c r="T166" s="1085"/>
      <c r="U166" s="479"/>
      <c r="V166" s="1085"/>
      <c r="W166" s="1085"/>
      <c r="X166" s="1085"/>
      <c r="Y166" s="1085"/>
      <c r="Z166" s="1085"/>
      <c r="AA166" s="1557"/>
      <c r="AB166" s="501"/>
      <c r="AC166" s="501"/>
      <c r="AD166" s="501"/>
      <c r="AE166" s="501"/>
      <c r="AF166" s="1566">
        <v>11</v>
      </c>
    </row>
    <row r="167" spans="1:32" s="1566" customFormat="1" ht="11.45" customHeight="1">
      <c r="A167" s="915"/>
      <c r="B167" s="1561"/>
      <c r="C167" s="1561"/>
      <c r="D167" s="286"/>
      <c r="K167" s="1085"/>
      <c r="L167" s="1561"/>
      <c r="M167" s="1561"/>
      <c r="N167" s="1085"/>
      <c r="O167" s="1085"/>
      <c r="P167" s="1085"/>
      <c r="Q167" s="1085"/>
      <c r="R167" s="1561"/>
      <c r="S167" s="1085"/>
      <c r="T167" s="1085"/>
      <c r="U167" s="479"/>
      <c r="V167" s="1085"/>
      <c r="W167" s="1085"/>
      <c r="X167" s="1085"/>
      <c r="Y167" s="1085"/>
      <c r="Z167" s="1085"/>
      <c r="AA167" s="1557"/>
      <c r="AB167" s="501"/>
      <c r="AC167" s="501"/>
      <c r="AD167" s="501"/>
      <c r="AE167" s="501"/>
      <c r="AF167" s="1566">
        <v>11</v>
      </c>
    </row>
    <row r="168" spans="1:32" s="1566" customFormat="1" ht="11.45" customHeight="1">
      <c r="A168" s="915"/>
      <c r="B168" s="1561"/>
      <c r="C168" s="1561"/>
      <c r="D168" s="286"/>
      <c r="K168" s="1085"/>
      <c r="L168" s="1561"/>
      <c r="M168" s="1561"/>
      <c r="N168" s="1085"/>
      <c r="O168" s="1085"/>
      <c r="P168" s="1085"/>
      <c r="Q168" s="1085"/>
      <c r="R168" s="1561"/>
      <c r="S168" s="1085"/>
      <c r="T168" s="1085"/>
      <c r="U168" s="479"/>
      <c r="V168" s="1085"/>
      <c r="W168" s="1085"/>
      <c r="X168" s="1085"/>
      <c r="Y168" s="1085"/>
      <c r="Z168" s="1085"/>
      <c r="AA168" s="1557"/>
      <c r="AB168" s="501"/>
      <c r="AC168" s="501"/>
      <c r="AD168" s="501"/>
      <c r="AE168" s="501"/>
      <c r="AF168" s="1566">
        <v>11</v>
      </c>
    </row>
    <row r="169" spans="1:32" s="1566" customFormat="1" ht="11.45" customHeight="1">
      <c r="A169" s="915"/>
      <c r="B169" s="1561"/>
      <c r="C169" s="1561"/>
      <c r="D169" s="286"/>
      <c r="K169" s="1085"/>
      <c r="L169" s="1561"/>
      <c r="M169" s="1561"/>
      <c r="N169" s="1085"/>
      <c r="O169" s="1085"/>
      <c r="P169" s="1085"/>
      <c r="Q169" s="1085"/>
      <c r="R169" s="1561"/>
      <c r="S169" s="1085"/>
      <c r="T169" s="1085"/>
      <c r="U169" s="479"/>
      <c r="V169" s="1085"/>
      <c r="W169" s="1085"/>
      <c r="X169" s="1085"/>
      <c r="Y169" s="1085"/>
      <c r="Z169" s="1085"/>
      <c r="AA169" s="1557"/>
      <c r="AB169" s="501"/>
      <c r="AC169" s="501"/>
      <c r="AD169" s="501"/>
      <c r="AE169" s="501"/>
      <c r="AF169" s="1566">
        <v>11</v>
      </c>
    </row>
    <row r="170" spans="1:32" s="1566" customFormat="1" ht="11.45" customHeight="1">
      <c r="A170" s="915"/>
      <c r="B170" s="1561"/>
      <c r="C170" s="1561"/>
      <c r="D170" s="286"/>
      <c r="K170" s="1085"/>
      <c r="L170" s="1561"/>
      <c r="M170" s="1561"/>
      <c r="N170" s="1085"/>
      <c r="O170" s="1085"/>
      <c r="P170" s="1085"/>
      <c r="Q170" s="1085"/>
      <c r="R170" s="1561"/>
      <c r="S170" s="1085"/>
      <c r="T170" s="1085"/>
      <c r="U170" s="479"/>
      <c r="V170" s="1085"/>
      <c r="W170" s="1085"/>
      <c r="X170" s="1085"/>
      <c r="Y170" s="1085"/>
      <c r="Z170" s="1085"/>
      <c r="AA170" s="1557"/>
      <c r="AB170" s="501"/>
      <c r="AC170" s="501"/>
      <c r="AD170" s="501"/>
      <c r="AE170" s="501"/>
      <c r="AF170" s="1566">
        <v>11</v>
      </c>
    </row>
    <row r="171" spans="1:32" s="1566" customFormat="1" ht="11.45" customHeight="1">
      <c r="A171" s="915"/>
      <c r="B171" s="1561"/>
      <c r="C171" s="1561"/>
      <c r="D171" s="286"/>
      <c r="K171" s="1085"/>
      <c r="L171" s="1561"/>
      <c r="M171" s="1561"/>
      <c r="N171" s="1085"/>
      <c r="O171" s="1085"/>
      <c r="P171" s="1085"/>
      <c r="Q171" s="1085"/>
      <c r="R171" s="1561"/>
      <c r="S171" s="1085"/>
      <c r="T171" s="1085"/>
      <c r="U171" s="479"/>
      <c r="V171" s="1085"/>
      <c r="W171" s="1085"/>
      <c r="X171" s="1085"/>
      <c r="Y171" s="1085"/>
      <c r="Z171" s="1085"/>
      <c r="AA171" s="1557"/>
      <c r="AB171" s="501"/>
      <c r="AC171" s="501"/>
      <c r="AD171" s="501"/>
      <c r="AE171" s="501"/>
      <c r="AF171" s="1566">
        <v>11</v>
      </c>
    </row>
    <row r="172" spans="1:32" s="1566" customFormat="1" ht="11.45" customHeight="1">
      <c r="A172" s="915"/>
      <c r="B172" s="1561"/>
      <c r="C172" s="1561"/>
      <c r="D172" s="286"/>
      <c r="K172" s="1085"/>
      <c r="L172" s="1561"/>
      <c r="M172" s="1561"/>
      <c r="N172" s="1085"/>
      <c r="O172" s="1085"/>
      <c r="P172" s="1085"/>
      <c r="Q172" s="1085"/>
      <c r="R172" s="1561"/>
      <c r="S172" s="1085"/>
      <c r="T172" s="1085"/>
      <c r="U172" s="479"/>
      <c r="V172" s="1085"/>
      <c r="W172" s="1085"/>
      <c r="X172" s="1085"/>
      <c r="Y172" s="1085"/>
      <c r="Z172" s="1085"/>
      <c r="AA172" s="1557"/>
      <c r="AB172" s="501"/>
      <c r="AC172" s="501"/>
      <c r="AD172" s="501"/>
      <c r="AE172" s="501"/>
      <c r="AF172" s="1566">
        <v>11</v>
      </c>
    </row>
    <row r="173" spans="1:32" s="1566" customFormat="1" ht="11.45" customHeight="1">
      <c r="A173" s="915"/>
      <c r="B173" s="1561"/>
      <c r="C173" s="1561"/>
      <c r="D173" s="286"/>
      <c r="K173" s="1085"/>
      <c r="L173" s="1561"/>
      <c r="M173" s="1561"/>
      <c r="N173" s="1085"/>
      <c r="O173" s="1085"/>
      <c r="P173" s="1085"/>
      <c r="Q173" s="1085"/>
      <c r="R173" s="1561"/>
      <c r="S173" s="1085"/>
      <c r="T173" s="1085"/>
      <c r="U173" s="479"/>
      <c r="V173" s="1085"/>
      <c r="W173" s="1085"/>
      <c r="X173" s="1085"/>
      <c r="Y173" s="1085"/>
      <c r="Z173" s="1085"/>
      <c r="AA173" s="1557"/>
      <c r="AB173" s="501"/>
      <c r="AC173" s="501"/>
      <c r="AD173" s="501"/>
      <c r="AE173" s="501"/>
      <c r="AF173" s="1566">
        <v>11</v>
      </c>
    </row>
    <row r="174" spans="1:32" s="1566" customFormat="1" ht="11.45" customHeight="1">
      <c r="A174" s="915"/>
      <c r="B174" s="1561"/>
      <c r="C174" s="1561"/>
      <c r="D174" s="286"/>
      <c r="K174" s="1085"/>
      <c r="L174" s="1561"/>
      <c r="M174" s="1561"/>
      <c r="N174" s="1085"/>
      <c r="O174" s="1085"/>
      <c r="P174" s="1085"/>
      <c r="Q174" s="1085"/>
      <c r="R174" s="1561"/>
      <c r="S174" s="1085"/>
      <c r="T174" s="1085"/>
      <c r="U174" s="479"/>
      <c r="V174" s="1085"/>
      <c r="W174" s="1085"/>
      <c r="X174" s="1085"/>
      <c r="Y174" s="1085"/>
      <c r="Z174" s="1085"/>
      <c r="AA174" s="1557"/>
      <c r="AB174" s="501"/>
      <c r="AC174" s="501"/>
      <c r="AD174" s="501"/>
      <c r="AE174" s="501"/>
      <c r="AF174" s="1566">
        <v>11</v>
      </c>
    </row>
    <row r="175" spans="1:32" s="1566" customFormat="1" ht="11.45" customHeight="1">
      <c r="A175" s="915"/>
      <c r="B175" s="1561"/>
      <c r="C175" s="1561"/>
      <c r="D175" s="286"/>
      <c r="K175" s="1085"/>
      <c r="L175" s="1561"/>
      <c r="M175" s="1561"/>
      <c r="N175" s="1085"/>
      <c r="O175" s="1085"/>
      <c r="P175" s="1085"/>
      <c r="Q175" s="1085"/>
      <c r="R175" s="1561"/>
      <c r="S175" s="1085"/>
      <c r="T175" s="1085"/>
      <c r="U175" s="479"/>
      <c r="V175" s="1085"/>
      <c r="W175" s="1085"/>
      <c r="X175" s="1085"/>
      <c r="Y175" s="1085"/>
      <c r="Z175" s="1085"/>
      <c r="AA175" s="1557"/>
      <c r="AB175" s="501"/>
      <c r="AC175" s="501"/>
      <c r="AD175" s="501"/>
      <c r="AE175" s="501"/>
      <c r="AF175" s="1566">
        <v>11</v>
      </c>
    </row>
    <row r="176" spans="1:32" s="1566" customFormat="1" ht="11.45" customHeight="1">
      <c r="A176" s="915"/>
      <c r="B176" s="1561"/>
      <c r="C176" s="1561"/>
      <c r="D176" s="286"/>
      <c r="K176" s="1085"/>
      <c r="L176" s="1561"/>
      <c r="M176" s="1561"/>
      <c r="N176" s="1085"/>
      <c r="O176" s="1085"/>
      <c r="P176" s="1085"/>
      <c r="Q176" s="1085"/>
      <c r="R176" s="1561"/>
      <c r="S176" s="1085"/>
      <c r="T176" s="1085"/>
      <c r="U176" s="479"/>
      <c r="V176" s="1085"/>
      <c r="W176" s="1085"/>
      <c r="X176" s="1085"/>
      <c r="Y176" s="1085"/>
      <c r="Z176" s="1085"/>
      <c r="AA176" s="1557"/>
      <c r="AB176" s="501"/>
      <c r="AC176" s="501"/>
      <c r="AD176" s="501"/>
      <c r="AE176" s="501"/>
      <c r="AF176" s="1566">
        <v>11</v>
      </c>
    </row>
    <row r="177" spans="1:32" s="1566" customFormat="1" ht="11.45" customHeight="1">
      <c r="A177" s="915"/>
      <c r="B177" s="1561"/>
      <c r="C177" s="1561"/>
      <c r="D177" s="286"/>
      <c r="K177" s="1085"/>
      <c r="L177" s="1561"/>
      <c r="M177" s="1561"/>
      <c r="N177" s="1085"/>
      <c r="O177" s="1085"/>
      <c r="P177" s="1085"/>
      <c r="Q177" s="1085"/>
      <c r="R177" s="1561"/>
      <c r="S177" s="1085"/>
      <c r="T177" s="1085"/>
      <c r="U177" s="479"/>
      <c r="V177" s="1085"/>
      <c r="W177" s="1085"/>
      <c r="X177" s="1085"/>
      <c r="Y177" s="1085"/>
      <c r="Z177" s="1085"/>
      <c r="AA177" s="1557"/>
      <c r="AB177" s="501"/>
      <c r="AC177" s="501"/>
      <c r="AD177" s="501"/>
      <c r="AE177" s="501"/>
      <c r="AF177" s="1566">
        <v>11</v>
      </c>
    </row>
    <row r="178" spans="1:32" s="1566" customFormat="1" ht="11.45" customHeight="1">
      <c r="A178" s="915"/>
      <c r="B178" s="1561"/>
      <c r="C178" s="1561"/>
      <c r="D178" s="286"/>
      <c r="K178" s="1085"/>
      <c r="L178" s="1561"/>
      <c r="M178" s="1561"/>
      <c r="N178" s="1085"/>
      <c r="O178" s="1085"/>
      <c r="P178" s="1085"/>
      <c r="Q178" s="1085"/>
      <c r="R178" s="1561"/>
      <c r="S178" s="1085"/>
      <c r="T178" s="1085"/>
      <c r="U178" s="479"/>
      <c r="V178" s="1085"/>
      <c r="W178" s="1085"/>
      <c r="X178" s="1085"/>
      <c r="Y178" s="1085"/>
      <c r="Z178" s="1085"/>
      <c r="AA178" s="1557"/>
      <c r="AB178" s="501"/>
      <c r="AC178" s="501"/>
      <c r="AD178" s="501"/>
      <c r="AE178" s="501"/>
      <c r="AF178" s="1566">
        <v>11</v>
      </c>
    </row>
    <row r="179" spans="1:32" s="1566" customFormat="1" ht="11.45" customHeight="1">
      <c r="A179" s="915"/>
      <c r="B179" s="1561"/>
      <c r="C179" s="1561"/>
      <c r="D179" s="286"/>
      <c r="K179" s="1085"/>
      <c r="L179" s="1561"/>
      <c r="M179" s="1561"/>
      <c r="N179" s="1085"/>
      <c r="O179" s="1085"/>
      <c r="P179" s="1085"/>
      <c r="Q179" s="1085"/>
      <c r="R179" s="1561"/>
      <c r="S179" s="1085"/>
      <c r="T179" s="1085"/>
      <c r="U179" s="479"/>
      <c r="V179" s="1085"/>
      <c r="W179" s="1085"/>
      <c r="X179" s="1085"/>
      <c r="Y179" s="1085"/>
      <c r="Z179" s="1085"/>
      <c r="AA179" s="1557"/>
      <c r="AB179" s="501"/>
      <c r="AC179" s="501"/>
      <c r="AD179" s="501"/>
      <c r="AE179" s="501"/>
      <c r="AF179" s="1566">
        <v>11</v>
      </c>
    </row>
    <row r="180" spans="1:32" s="1566" customFormat="1" ht="11.45" customHeight="1">
      <c r="A180" s="915"/>
      <c r="B180" s="1561"/>
      <c r="C180" s="1561"/>
      <c r="D180" s="286"/>
      <c r="K180" s="1085"/>
      <c r="L180" s="1561"/>
      <c r="M180" s="1561"/>
      <c r="N180" s="1085"/>
      <c r="O180" s="1085"/>
      <c r="P180" s="1085"/>
      <c r="Q180" s="1085"/>
      <c r="R180" s="1561"/>
      <c r="S180" s="1085"/>
      <c r="T180" s="1085"/>
      <c r="U180" s="479"/>
      <c r="V180" s="1085"/>
      <c r="W180" s="1085"/>
      <c r="X180" s="1085"/>
      <c r="Y180" s="1085"/>
      <c r="Z180" s="1085"/>
      <c r="AA180" s="1557"/>
      <c r="AB180" s="501"/>
      <c r="AC180" s="501"/>
      <c r="AD180" s="501"/>
      <c r="AE180" s="501"/>
      <c r="AF180" s="1566">
        <v>11</v>
      </c>
    </row>
    <row r="181" spans="1:32" s="1566" customFormat="1" ht="11.45" customHeight="1">
      <c r="A181" s="915"/>
      <c r="B181" s="1561"/>
      <c r="C181" s="1561"/>
      <c r="D181" s="286"/>
      <c r="K181" s="1085"/>
      <c r="L181" s="1561"/>
      <c r="M181" s="1561"/>
      <c r="N181" s="1085"/>
      <c r="O181" s="1085"/>
      <c r="P181" s="1085"/>
      <c r="Q181" s="1085"/>
      <c r="R181" s="1561"/>
      <c r="S181" s="1085"/>
      <c r="T181" s="1085"/>
      <c r="U181" s="479"/>
      <c r="V181" s="1085"/>
      <c r="W181" s="1085"/>
      <c r="X181" s="1085"/>
      <c r="Y181" s="1085"/>
      <c r="Z181" s="1085"/>
      <c r="AA181" s="1557"/>
      <c r="AB181" s="501"/>
      <c r="AC181" s="501"/>
      <c r="AD181" s="501"/>
      <c r="AE181" s="501"/>
      <c r="AF181" s="1566">
        <v>11</v>
      </c>
    </row>
    <row r="182" spans="1:32" s="1566" customFormat="1" ht="11.45" customHeight="1">
      <c r="A182" s="915"/>
      <c r="B182" s="1561"/>
      <c r="C182" s="1561"/>
      <c r="D182" s="286"/>
      <c r="K182" s="1085"/>
      <c r="L182" s="1561"/>
      <c r="M182" s="1561"/>
      <c r="N182" s="1085"/>
      <c r="O182" s="1085"/>
      <c r="P182" s="1085"/>
      <c r="Q182" s="1085"/>
      <c r="R182" s="1561"/>
      <c r="S182" s="1085"/>
      <c r="T182" s="1085"/>
      <c r="U182" s="479"/>
      <c r="V182" s="1085"/>
      <c r="W182" s="1085"/>
      <c r="X182" s="1085"/>
      <c r="Y182" s="1085"/>
      <c r="Z182" s="1085"/>
      <c r="AA182" s="1557"/>
      <c r="AB182" s="501"/>
      <c r="AC182" s="501"/>
      <c r="AD182" s="501"/>
      <c r="AE182" s="501"/>
      <c r="AF182" s="1566">
        <v>11</v>
      </c>
    </row>
    <row r="183" spans="1:32" s="1566" customFormat="1" ht="11.45" customHeight="1">
      <c r="A183" s="915"/>
      <c r="B183" s="1561"/>
      <c r="C183" s="1561"/>
      <c r="D183" s="286"/>
      <c r="K183" s="1085"/>
      <c r="L183" s="1561"/>
      <c r="M183" s="1561"/>
      <c r="N183" s="1085"/>
      <c r="O183" s="1085"/>
      <c r="P183" s="1085"/>
      <c r="Q183" s="1085"/>
      <c r="R183" s="1561"/>
      <c r="S183" s="1085"/>
      <c r="T183" s="1085"/>
      <c r="U183" s="479"/>
      <c r="V183" s="1085"/>
      <c r="W183" s="1085"/>
      <c r="X183" s="1085"/>
      <c r="Y183" s="1085"/>
      <c r="Z183" s="1085"/>
      <c r="AA183" s="1557"/>
      <c r="AB183" s="501"/>
      <c r="AC183" s="501"/>
      <c r="AD183" s="501"/>
      <c r="AE183" s="501"/>
      <c r="AF183" s="1566">
        <v>11</v>
      </c>
    </row>
    <row r="184" spans="1:32" s="1566" customFormat="1" ht="11.45" customHeight="1">
      <c r="A184" s="915"/>
      <c r="B184" s="1561"/>
      <c r="C184" s="1561"/>
      <c r="D184" s="286"/>
      <c r="K184" s="1085"/>
      <c r="L184" s="1561"/>
      <c r="M184" s="1561"/>
      <c r="N184" s="1085"/>
      <c r="O184" s="1085"/>
      <c r="P184" s="1085"/>
      <c r="Q184" s="1085"/>
      <c r="R184" s="1561"/>
      <c r="S184" s="1085"/>
      <c r="T184" s="1085"/>
      <c r="U184" s="479"/>
      <c r="V184" s="1085"/>
      <c r="W184" s="1085"/>
      <c r="X184" s="1085"/>
      <c r="Y184" s="1085"/>
      <c r="Z184" s="1085"/>
      <c r="AA184" s="1557"/>
      <c r="AB184" s="501"/>
      <c r="AC184" s="501"/>
      <c r="AD184" s="501"/>
      <c r="AE184" s="501"/>
      <c r="AF184" s="1566">
        <v>11</v>
      </c>
    </row>
    <row r="185" spans="1:32" s="1566" customFormat="1" ht="11.45" customHeight="1">
      <c r="A185" s="915"/>
      <c r="B185" s="1561"/>
      <c r="C185" s="1561"/>
      <c r="D185" s="286"/>
      <c r="K185" s="1085"/>
      <c r="L185" s="1561"/>
      <c r="M185" s="1561"/>
      <c r="N185" s="1085"/>
      <c r="O185" s="1085"/>
      <c r="P185" s="1085"/>
      <c r="Q185" s="1085"/>
      <c r="R185" s="1561"/>
      <c r="S185" s="1085"/>
      <c r="T185" s="1085"/>
      <c r="U185" s="479"/>
      <c r="V185" s="1085"/>
      <c r="W185" s="1085"/>
      <c r="X185" s="1085"/>
      <c r="Y185" s="1085"/>
      <c r="Z185" s="1085"/>
      <c r="AA185" s="1557"/>
      <c r="AB185" s="501"/>
      <c r="AC185" s="501"/>
      <c r="AD185" s="501"/>
      <c r="AE185" s="501"/>
      <c r="AF185" s="1566">
        <v>11</v>
      </c>
    </row>
    <row r="186" spans="1:32" s="1566" customFormat="1" ht="11.45" customHeight="1">
      <c r="A186" s="915"/>
      <c r="B186" s="1561"/>
      <c r="C186" s="1561"/>
      <c r="D186" s="286"/>
      <c r="K186" s="1085"/>
      <c r="L186" s="1561"/>
      <c r="M186" s="1561"/>
      <c r="N186" s="1085"/>
      <c r="O186" s="1085"/>
      <c r="P186" s="1085"/>
      <c r="Q186" s="1085"/>
      <c r="R186" s="1561"/>
      <c r="S186" s="1085"/>
      <c r="T186" s="1085"/>
      <c r="U186" s="479"/>
      <c r="V186" s="1085"/>
      <c r="W186" s="1085"/>
      <c r="X186" s="1085"/>
      <c r="Y186" s="1085"/>
      <c r="Z186" s="1085"/>
      <c r="AA186" s="1557"/>
      <c r="AB186" s="501"/>
      <c r="AC186" s="501"/>
      <c r="AD186" s="501"/>
      <c r="AE186" s="501"/>
      <c r="AF186" s="1566">
        <v>11</v>
      </c>
    </row>
    <row r="187" spans="1:32" s="1566" customFormat="1" ht="11.45" customHeight="1">
      <c r="A187" s="915"/>
      <c r="B187" s="1561"/>
      <c r="C187" s="1561"/>
      <c r="D187" s="286"/>
      <c r="K187" s="1085"/>
      <c r="L187" s="1561"/>
      <c r="M187" s="1561"/>
      <c r="N187" s="1085"/>
      <c r="O187" s="1085"/>
      <c r="P187" s="1085"/>
      <c r="Q187" s="1085"/>
      <c r="R187" s="1561"/>
      <c r="S187" s="1085"/>
      <c r="T187" s="1085"/>
      <c r="U187" s="479"/>
      <c r="V187" s="1085"/>
      <c r="W187" s="1085"/>
      <c r="X187" s="1085"/>
      <c r="Y187" s="1085"/>
      <c r="Z187" s="1085"/>
      <c r="AA187" s="1557"/>
      <c r="AB187" s="501"/>
      <c r="AC187" s="501"/>
      <c r="AD187" s="501"/>
      <c r="AE187" s="501"/>
      <c r="AF187" s="1566">
        <v>11</v>
      </c>
    </row>
    <row r="188" spans="1:32" s="1566" customFormat="1" ht="11.45" customHeight="1">
      <c r="A188" s="915"/>
      <c r="B188" s="1561"/>
      <c r="C188" s="1561"/>
      <c r="D188" s="286"/>
      <c r="K188" s="1085"/>
      <c r="L188" s="1561"/>
      <c r="M188" s="1561"/>
      <c r="N188" s="1085"/>
      <c r="O188" s="1085"/>
      <c r="P188" s="1085"/>
      <c r="Q188" s="1085"/>
      <c r="R188" s="1561"/>
      <c r="S188" s="1085"/>
      <c r="T188" s="1085"/>
      <c r="U188" s="479"/>
      <c r="V188" s="1085"/>
      <c r="W188" s="1085"/>
      <c r="X188" s="1085"/>
      <c r="Y188" s="1085"/>
      <c r="Z188" s="1085"/>
      <c r="AA188" s="1557"/>
      <c r="AB188" s="501"/>
      <c r="AC188" s="501"/>
      <c r="AD188" s="501"/>
      <c r="AE188" s="501"/>
      <c r="AF188" s="1566">
        <v>11</v>
      </c>
    </row>
    <row r="189" spans="1:32" s="1566" customFormat="1" ht="11.45" customHeight="1">
      <c r="A189" s="915"/>
      <c r="B189" s="1561"/>
      <c r="C189" s="1561"/>
      <c r="D189" s="286"/>
      <c r="K189" s="1085"/>
      <c r="L189" s="1561"/>
      <c r="M189" s="1561"/>
      <c r="N189" s="1085"/>
      <c r="O189" s="1085"/>
      <c r="P189" s="1085"/>
      <c r="Q189" s="1085"/>
      <c r="R189" s="1561"/>
      <c r="S189" s="1085"/>
      <c r="T189" s="1085"/>
      <c r="U189" s="479"/>
      <c r="V189" s="1085"/>
      <c r="W189" s="1085"/>
      <c r="X189" s="1085"/>
      <c r="Y189" s="1085"/>
      <c r="Z189" s="1085"/>
      <c r="AA189" s="1557"/>
      <c r="AB189" s="501"/>
      <c r="AC189" s="501"/>
      <c r="AD189" s="501"/>
      <c r="AE189" s="501"/>
      <c r="AF189" s="1566">
        <v>11</v>
      </c>
    </row>
    <row r="190" spans="1:32" s="1566" customFormat="1" ht="11.45" customHeight="1">
      <c r="A190" s="915"/>
      <c r="B190" s="1561"/>
      <c r="C190" s="1561"/>
      <c r="D190" s="286"/>
      <c r="K190" s="1085"/>
      <c r="L190" s="1561"/>
      <c r="M190" s="1561"/>
      <c r="N190" s="1085"/>
      <c r="O190" s="1085"/>
      <c r="P190" s="1085"/>
      <c r="Q190" s="1085"/>
      <c r="R190" s="1561"/>
      <c r="S190" s="1085"/>
      <c r="T190" s="1085"/>
      <c r="U190" s="479"/>
      <c r="V190" s="1085"/>
      <c r="W190" s="1085"/>
      <c r="X190" s="1085"/>
      <c r="Y190" s="1085"/>
      <c r="Z190" s="1085"/>
      <c r="AA190" s="1557"/>
      <c r="AB190" s="501"/>
      <c r="AC190" s="501"/>
      <c r="AD190" s="501"/>
      <c r="AE190" s="501"/>
      <c r="AF190" s="1566">
        <v>11</v>
      </c>
    </row>
    <row r="191" spans="1:32" s="1566" customFormat="1" ht="11.45" customHeight="1">
      <c r="A191" s="915"/>
      <c r="B191" s="1561"/>
      <c r="C191" s="1561"/>
      <c r="D191" s="286"/>
      <c r="K191" s="1085"/>
      <c r="L191" s="1561"/>
      <c r="M191" s="1561"/>
      <c r="N191" s="1085"/>
      <c r="O191" s="1085"/>
      <c r="P191" s="1085"/>
      <c r="Q191" s="1085"/>
      <c r="R191" s="1561"/>
      <c r="S191" s="1085"/>
      <c r="T191" s="1085"/>
      <c r="U191" s="479"/>
      <c r="V191" s="1085"/>
      <c r="W191" s="1085"/>
      <c r="X191" s="1085"/>
      <c r="Y191" s="1085"/>
      <c r="Z191" s="1085"/>
      <c r="AA191" s="1557"/>
      <c r="AB191" s="501"/>
      <c r="AC191" s="501"/>
      <c r="AD191" s="501"/>
      <c r="AE191" s="501"/>
      <c r="AF191" s="1566">
        <v>11</v>
      </c>
    </row>
    <row r="192" spans="1:32" s="1566" customFormat="1" ht="11.45" customHeight="1">
      <c r="A192" s="915"/>
      <c r="B192" s="1561"/>
      <c r="C192" s="1561"/>
      <c r="D192" s="286"/>
      <c r="K192" s="1085"/>
      <c r="L192" s="1561"/>
      <c r="M192" s="1561"/>
      <c r="N192" s="1085"/>
      <c r="O192" s="1085"/>
      <c r="P192" s="1085"/>
      <c r="Q192" s="1085"/>
      <c r="R192" s="1561"/>
      <c r="S192" s="1085"/>
      <c r="T192" s="1085"/>
      <c r="U192" s="479"/>
      <c r="V192" s="1085"/>
      <c r="W192" s="1085"/>
      <c r="X192" s="1085"/>
      <c r="Y192" s="1085"/>
      <c r="Z192" s="1085"/>
      <c r="AA192" s="1557"/>
      <c r="AB192" s="501"/>
      <c r="AC192" s="501"/>
      <c r="AD192" s="501"/>
      <c r="AE192" s="501"/>
      <c r="AF192" s="1566">
        <v>11</v>
      </c>
    </row>
    <row r="193" spans="1:32" s="1566" customFormat="1" ht="11.45" customHeight="1">
      <c r="A193" s="915"/>
      <c r="B193" s="1561"/>
      <c r="C193" s="1561"/>
      <c r="D193" s="286"/>
      <c r="K193" s="1085"/>
      <c r="L193" s="1561"/>
      <c r="M193" s="1561"/>
      <c r="N193" s="1085"/>
      <c r="O193" s="1085"/>
      <c r="P193" s="1085"/>
      <c r="Q193" s="1085"/>
      <c r="R193" s="1561"/>
      <c r="S193" s="1085"/>
      <c r="T193" s="1085"/>
      <c r="U193" s="479"/>
      <c r="V193" s="1085"/>
      <c r="W193" s="1085"/>
      <c r="X193" s="1085"/>
      <c r="Y193" s="1085"/>
      <c r="Z193" s="1085"/>
      <c r="AA193" s="1557"/>
      <c r="AB193" s="501"/>
      <c r="AC193" s="501"/>
      <c r="AD193" s="501"/>
      <c r="AE193" s="501"/>
      <c r="AF193" s="1566">
        <v>11</v>
      </c>
    </row>
    <row r="194" spans="1:32" s="1566" customFormat="1" ht="11.45" customHeight="1">
      <c r="A194" s="915"/>
      <c r="B194" s="1561"/>
      <c r="C194" s="1561"/>
      <c r="D194" s="286"/>
      <c r="K194" s="1085"/>
      <c r="L194" s="1561"/>
      <c r="M194" s="1561"/>
      <c r="N194" s="1085"/>
      <c r="O194" s="1085"/>
      <c r="P194" s="1085"/>
      <c r="Q194" s="1085"/>
      <c r="R194" s="1561"/>
      <c r="S194" s="1085"/>
      <c r="T194" s="1085"/>
      <c r="U194" s="479"/>
      <c r="V194" s="1085"/>
      <c r="W194" s="1085"/>
      <c r="X194" s="1085"/>
      <c r="Y194" s="1085"/>
      <c r="Z194" s="1085"/>
      <c r="AA194" s="1557"/>
      <c r="AB194" s="501"/>
      <c r="AC194" s="501"/>
      <c r="AD194" s="501"/>
      <c r="AE194" s="501"/>
      <c r="AF194" s="1566">
        <v>11</v>
      </c>
    </row>
    <row r="195" spans="1:32" s="1566" customFormat="1" ht="11.45" customHeight="1">
      <c r="A195" s="915"/>
      <c r="B195" s="1561"/>
      <c r="C195" s="1561"/>
      <c r="D195" s="286"/>
      <c r="K195" s="1085"/>
      <c r="L195" s="1561"/>
      <c r="M195" s="1561"/>
      <c r="N195" s="1085"/>
      <c r="O195" s="1085"/>
      <c r="P195" s="1085"/>
      <c r="Q195" s="1085"/>
      <c r="R195" s="1561"/>
      <c r="S195" s="1085"/>
      <c r="T195" s="1085"/>
      <c r="U195" s="479"/>
      <c r="V195" s="1085"/>
      <c r="W195" s="1085"/>
      <c r="X195" s="1085"/>
      <c r="Y195" s="1085"/>
      <c r="Z195" s="1085"/>
      <c r="AA195" s="1557"/>
      <c r="AB195" s="501"/>
      <c r="AC195" s="501"/>
      <c r="AD195" s="501"/>
      <c r="AE195" s="501"/>
      <c r="AF195" s="1566">
        <v>11</v>
      </c>
    </row>
    <row r="196" spans="1:32" ht="11.45" customHeight="1">
      <c r="AF196" s="1556">
        <v>11</v>
      </c>
    </row>
    <row r="197" spans="1:32" ht="11.45" customHeight="1">
      <c r="AF197" s="1556">
        <v>11</v>
      </c>
    </row>
    <row r="198" spans="1:32" ht="11.45" customHeight="1">
      <c r="AF198" s="1556">
        <v>11</v>
      </c>
    </row>
    <row r="199" spans="1:32" ht="11.45" customHeight="1">
      <c r="A199" s="918"/>
      <c r="B199" s="1556"/>
      <c r="D199" s="1556"/>
      <c r="K199" s="1556"/>
      <c r="N199" s="1556"/>
      <c r="O199" s="1556"/>
      <c r="P199" s="1556"/>
      <c r="Q199" s="1556"/>
      <c r="S199" s="1556"/>
      <c r="T199" s="1556"/>
      <c r="U199" s="1556"/>
      <c r="V199" s="1556"/>
      <c r="W199" s="1556"/>
      <c r="X199" s="1556"/>
      <c r="Y199" s="1556"/>
      <c r="Z199" s="1556"/>
      <c r="AA199" s="1556"/>
      <c r="AB199" s="1556"/>
      <c r="AC199" s="1556"/>
      <c r="AD199" s="1556"/>
      <c r="AE199" s="1556"/>
      <c r="AF199" s="1556">
        <v>11</v>
      </c>
    </row>
    <row r="200" spans="1:32" ht="11.45" customHeight="1">
      <c r="A200" s="918"/>
      <c r="B200" s="1556"/>
      <c r="D200" s="1556"/>
      <c r="K200" s="1556"/>
      <c r="N200" s="1556"/>
      <c r="O200" s="1556"/>
      <c r="P200" s="1556"/>
      <c r="Q200" s="1556"/>
      <c r="S200" s="1556"/>
      <c r="T200" s="1556"/>
      <c r="U200" s="1556"/>
      <c r="V200" s="1556"/>
      <c r="W200" s="1556"/>
      <c r="X200" s="1556"/>
      <c r="Y200" s="1556"/>
      <c r="Z200" s="1556"/>
      <c r="AA200" s="1556"/>
      <c r="AB200" s="1556"/>
      <c r="AC200" s="1556"/>
      <c r="AD200" s="1556"/>
      <c r="AE200" s="1556"/>
      <c r="AF200" s="1556">
        <v>11</v>
      </c>
    </row>
    <row r="201" spans="1:32" ht="11.45" customHeight="1">
      <c r="A201" s="918"/>
      <c r="B201" s="1556"/>
      <c r="D201" s="1556"/>
      <c r="K201" s="1556"/>
      <c r="N201" s="1556"/>
      <c r="O201" s="1556"/>
      <c r="P201" s="1556"/>
      <c r="Q201" s="1556"/>
      <c r="S201" s="1556"/>
      <c r="T201" s="1556"/>
      <c r="U201" s="1556"/>
      <c r="V201" s="1556"/>
      <c r="W201" s="1556"/>
      <c r="X201" s="1556"/>
      <c r="Y201" s="1556"/>
      <c r="Z201" s="1556"/>
      <c r="AA201" s="1556"/>
      <c r="AB201" s="1556"/>
      <c r="AC201" s="1556"/>
      <c r="AD201" s="1556"/>
      <c r="AE201" s="1556"/>
      <c r="AF201" s="1556">
        <v>11</v>
      </c>
    </row>
    <row r="202" spans="1:32" ht="11.45" customHeight="1">
      <c r="A202" s="918"/>
      <c r="B202" s="1556"/>
      <c r="D202" s="1556"/>
      <c r="K202" s="1556"/>
      <c r="N202" s="1556"/>
      <c r="O202" s="1556"/>
      <c r="P202" s="1556"/>
      <c r="Q202" s="1556"/>
      <c r="S202" s="1556"/>
      <c r="T202" s="1556"/>
      <c r="U202" s="1556"/>
      <c r="V202" s="1556"/>
      <c r="W202" s="1556"/>
      <c r="X202" s="1556"/>
      <c r="Y202" s="1556"/>
      <c r="Z202" s="1556"/>
      <c r="AA202" s="1556"/>
      <c r="AB202" s="1556"/>
      <c r="AC202" s="1556"/>
      <c r="AD202" s="1556"/>
      <c r="AE202" s="1556"/>
      <c r="AF202" s="1556">
        <v>11</v>
      </c>
    </row>
    <row r="203" spans="1:32" ht="11.45" customHeight="1">
      <c r="A203" s="918"/>
      <c r="B203" s="1556"/>
      <c r="D203" s="1556"/>
      <c r="K203" s="1556"/>
      <c r="N203" s="1556"/>
      <c r="O203" s="1556"/>
      <c r="P203" s="1556"/>
      <c r="Q203" s="1556"/>
      <c r="S203" s="1556"/>
      <c r="T203" s="1556"/>
      <c r="U203" s="1556"/>
      <c r="V203" s="1556"/>
      <c r="W203" s="1556"/>
      <c r="X203" s="1556"/>
      <c r="Y203" s="1556"/>
      <c r="Z203" s="1556"/>
      <c r="AA203" s="1556"/>
      <c r="AB203" s="1556"/>
      <c r="AC203" s="1556"/>
      <c r="AD203" s="1556"/>
      <c r="AE203" s="1556"/>
      <c r="AF203" s="1556">
        <v>11</v>
      </c>
    </row>
    <row r="204" spans="1:32" ht="11.45" customHeight="1">
      <c r="A204" s="918"/>
      <c r="B204" s="1556"/>
      <c r="D204" s="1556"/>
      <c r="K204" s="1556"/>
      <c r="N204" s="1556"/>
      <c r="O204" s="1556"/>
      <c r="P204" s="1556"/>
      <c r="Q204" s="1556"/>
      <c r="S204" s="1556"/>
      <c r="T204" s="1556"/>
      <c r="U204" s="1556"/>
      <c r="V204" s="1556"/>
      <c r="W204" s="1556"/>
      <c r="X204" s="1556"/>
      <c r="Y204" s="1556"/>
      <c r="Z204" s="1556"/>
      <c r="AA204" s="1556"/>
      <c r="AB204" s="1556"/>
      <c r="AC204" s="1556"/>
      <c r="AD204" s="1556"/>
      <c r="AE204" s="1556"/>
      <c r="AF204" s="1556">
        <v>11</v>
      </c>
    </row>
    <row r="205" spans="1:32" ht="11.45" customHeight="1">
      <c r="A205" s="918"/>
      <c r="B205" s="1556"/>
      <c r="D205" s="1556"/>
      <c r="K205" s="1556"/>
      <c r="N205" s="1556"/>
      <c r="O205" s="1556"/>
      <c r="P205" s="1556"/>
      <c r="Q205" s="1556"/>
      <c r="S205" s="1556"/>
      <c r="T205" s="1556"/>
      <c r="U205" s="1556"/>
      <c r="V205" s="1556"/>
      <c r="W205" s="1556"/>
      <c r="X205" s="1556"/>
      <c r="Y205" s="1556"/>
      <c r="Z205" s="1556"/>
      <c r="AA205" s="1556"/>
      <c r="AB205" s="1556"/>
      <c r="AC205" s="1556"/>
      <c r="AD205" s="1556"/>
      <c r="AE205" s="1556"/>
      <c r="AF205" s="1556">
        <v>11</v>
      </c>
    </row>
    <row r="206" spans="1:32" ht="11.45" customHeight="1">
      <c r="A206" s="918"/>
      <c r="B206" s="1556"/>
      <c r="D206" s="1556"/>
      <c r="K206" s="1556"/>
      <c r="N206" s="1556"/>
      <c r="O206" s="1556"/>
      <c r="P206" s="1556"/>
      <c r="Q206" s="1556"/>
      <c r="S206" s="1556"/>
      <c r="T206" s="1556"/>
      <c r="U206" s="1556"/>
      <c r="V206" s="1556"/>
      <c r="W206" s="1556"/>
      <c r="X206" s="1556"/>
      <c r="Y206" s="1556"/>
      <c r="Z206" s="1556"/>
      <c r="AA206" s="1556"/>
      <c r="AB206" s="1556"/>
      <c r="AC206" s="1556"/>
      <c r="AD206" s="1556"/>
      <c r="AE206" s="1556"/>
      <c r="AF206" s="1556">
        <v>11</v>
      </c>
    </row>
    <row r="207" spans="1:32" ht="11.45" customHeight="1">
      <c r="A207" s="918"/>
      <c r="B207" s="1556"/>
      <c r="D207" s="1556"/>
      <c r="K207" s="1556"/>
      <c r="N207" s="1556"/>
      <c r="O207" s="1556"/>
      <c r="P207" s="1556"/>
      <c r="Q207" s="1556"/>
      <c r="S207" s="1556"/>
      <c r="T207" s="1556"/>
      <c r="U207" s="1556"/>
      <c r="V207" s="1556"/>
      <c r="W207" s="1556"/>
      <c r="X207" s="1556"/>
      <c r="Y207" s="1556"/>
      <c r="Z207" s="1556"/>
      <c r="AA207" s="1556"/>
      <c r="AB207" s="1556"/>
      <c r="AC207" s="1556"/>
      <c r="AD207" s="1556"/>
      <c r="AE207" s="1556"/>
      <c r="AF207" s="1556">
        <v>11</v>
      </c>
    </row>
    <row r="208" spans="1:32" ht="11.45" customHeight="1">
      <c r="A208" s="918"/>
      <c r="B208" s="1556"/>
      <c r="D208" s="1556"/>
      <c r="K208" s="1556"/>
      <c r="N208" s="1556"/>
      <c r="O208" s="1556"/>
      <c r="P208" s="1556"/>
      <c r="Q208" s="1556"/>
      <c r="S208" s="1556"/>
      <c r="T208" s="1556"/>
      <c r="U208" s="1556"/>
      <c r="V208" s="1556"/>
      <c r="W208" s="1556"/>
      <c r="X208" s="1556"/>
      <c r="Y208" s="1556"/>
      <c r="Z208" s="1556"/>
      <c r="AA208" s="1556"/>
      <c r="AB208" s="1556"/>
      <c r="AC208" s="1556"/>
      <c r="AD208" s="1556"/>
      <c r="AE208" s="1556"/>
      <c r="AF208" s="1556">
        <v>11</v>
      </c>
    </row>
    <row r="209" spans="1:32" ht="11.45" customHeight="1">
      <c r="A209" s="918"/>
      <c r="B209" s="1556"/>
      <c r="D209" s="1556"/>
      <c r="K209" s="1556"/>
      <c r="N209" s="1556"/>
      <c r="O209" s="1556"/>
      <c r="P209" s="1556"/>
      <c r="Q209" s="1556"/>
      <c r="S209" s="1556"/>
      <c r="T209" s="1556"/>
      <c r="U209" s="1556"/>
      <c r="V209" s="1556"/>
      <c r="W209" s="1556"/>
      <c r="X209" s="1556"/>
      <c r="Y209" s="1556"/>
      <c r="Z209" s="1556"/>
      <c r="AA209" s="1556"/>
      <c r="AB209" s="1556"/>
      <c r="AC209" s="1556"/>
      <c r="AD209" s="1556"/>
      <c r="AE209" s="1556"/>
      <c r="AF209" s="1556">
        <v>11</v>
      </c>
    </row>
    <row r="210" spans="1:32" ht="11.25" hidden="1" customHeight="1">
      <c r="A210" s="915" t="s">
        <v>82</v>
      </c>
      <c r="B210" s="1085">
        <v>0</v>
      </c>
      <c r="C210" s="1561">
        <v>0</v>
      </c>
      <c r="D210" s="1560">
        <v>3</v>
      </c>
      <c r="E210" s="1556">
        <v>7</v>
      </c>
      <c r="F210" s="1556">
        <v>54</v>
      </c>
      <c r="G210" s="1556">
        <v>10</v>
      </c>
      <c r="H210" s="1556">
        <v>0</v>
      </c>
      <c r="I210" s="1556">
        <v>40</v>
      </c>
      <c r="J210" s="1556">
        <v>102</v>
      </c>
      <c r="K210" s="1085">
        <v>9</v>
      </c>
      <c r="L210" s="1561">
        <v>5</v>
      </c>
      <c r="M210" s="1561">
        <v>3</v>
      </c>
      <c r="N210" s="1085">
        <v>3</v>
      </c>
      <c r="O210" s="1085">
        <v>3</v>
      </c>
      <c r="P210" s="1085">
        <v>3</v>
      </c>
      <c r="Q210" s="1085">
        <v>3</v>
      </c>
      <c r="R210" s="1561">
        <v>10</v>
      </c>
      <c r="S210" s="1085">
        <v>34</v>
      </c>
      <c r="T210" s="1085">
        <v>9</v>
      </c>
      <c r="U210" s="479">
        <v>8</v>
      </c>
      <c r="V210" s="1085">
        <v>8</v>
      </c>
      <c r="W210" s="1085">
        <v>8</v>
      </c>
      <c r="X210" s="1085">
        <v>8</v>
      </c>
      <c r="Y210" s="1085">
        <v>8</v>
      </c>
      <c r="Z210" s="1085">
        <v>8</v>
      </c>
      <c r="AA210" s="1557">
        <v>8</v>
      </c>
      <c r="AB210" s="1557">
        <v>8</v>
      </c>
      <c r="AC210" s="1557">
        <v>8</v>
      </c>
      <c r="AD210" s="1557">
        <v>8</v>
      </c>
      <c r="AE210" s="1557">
        <v>8</v>
      </c>
      <c r="AF210" s="1556">
        <v>11</v>
      </c>
    </row>
  </sheetData>
  <sheetProtection formatColumns="0" formatRows="0" insertRows="0" deleteColumns="0" deleteRows="0" sort="0" autoFilter="0"/>
  <mergeCells count="9">
    <mergeCell ref="F40:G40"/>
    <mergeCell ref="E6:I6"/>
    <mergeCell ref="E7:I7"/>
    <mergeCell ref="F10:G10"/>
    <mergeCell ref="J10:J14"/>
    <mergeCell ref="F11:G11"/>
    <mergeCell ref="F12:G12"/>
    <mergeCell ref="E13:G13"/>
    <mergeCell ref="F39:G39"/>
  </mergeCells>
  <dataValidations count="5">
    <dataValidation type="textLength" operator="lessThanOrEqual" allowBlank="1" showInputMessage="1" showErrorMessage="1" errorTitle="Ошибка" error="Допускается ввод не более 900 символов!" prompt="Введите наименование прочих расходов" sqref="H28:I28">
      <formula1>900</formula1>
    </dataValidation>
    <dataValidation type="decimal" allowBlank="1" showErrorMessage="1" errorTitle="Ошибка" error="Допускается ввод только неотрицательных чисел!" sqref="H31:I31 H2:I2 H15:I15 H17:I27 H36:I37">
      <formula1>0</formula1>
      <formula2>9.99999999999999E+23</formula2>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H35:I35">
      <formula1>900</formula1>
    </dataValidation>
    <dataValidation type="decimal" allowBlank="1" showErrorMessage="1" errorTitle="Ошибка" error="Допускается ввод только действительных чисел!" sqref="H30:I30">
      <formula1>-9.99999999999999E+23</formula1>
      <formula2>9.99999999999999E+23</formula2>
    </dataValidation>
    <dataValidation type="decimal" allowBlank="1" showErrorMessage="1" errorTitle="Ошибка" error="Допускается ввод только действительных чисел!" sqref="H32:I34">
      <formula1>-9.99999999999999E+37</formula1>
      <formula2>9.99999999999999E+37</formula2>
    </dataValidation>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9" tint="-0.249977111117893"/>
  </sheetPr>
  <dimension ref="A1:X102"/>
  <sheetViews>
    <sheetView showGridLines="0" zoomScale="90" workbookViewId="0">
      <pane xSplit="8" ySplit="11" topLeftCell="I12" activePane="bottomRight" state="frozen"/>
      <selection pane="topRight" activeCell="I1" sqref="I1"/>
      <selection pane="bottomLeft" activeCell="A12" sqref="A12"/>
      <selection pane="bottomRight"/>
    </sheetView>
  </sheetViews>
  <sheetFormatPr defaultColWidth="10.5703125" defaultRowHeight="11.25" customHeight="1"/>
  <cols>
    <col min="1" max="1" width="9.140625" style="1091" hidden="1" customWidth="1"/>
    <col min="2" max="2" width="3.5703125" style="1567" hidden="1" customWidth="1"/>
    <col min="3" max="3" width="3" style="1560" customWidth="1"/>
    <col min="4" max="4" width="7" style="1560" customWidth="1"/>
    <col min="5" max="5" width="69" style="1560" customWidth="1"/>
    <col min="6" max="6" width="10" style="1560" customWidth="1"/>
    <col min="7" max="8" width="44" style="1560" hidden="1" customWidth="1"/>
    <col min="9" max="9" width="44" style="1560" customWidth="1"/>
    <col min="10" max="10" width="43" style="1560" customWidth="1"/>
    <col min="11" max="11" width="73" style="1560" customWidth="1"/>
    <col min="12" max="12" width="3" style="1560" customWidth="1"/>
    <col min="13" max="23" width="10" style="1560" customWidth="1"/>
    <col min="24" max="24" width="10.5703125" style="1560" hidden="1"/>
  </cols>
  <sheetData>
    <row r="1" spans="1:24" s="1291" customFormat="1" ht="22.5" hidden="1" customHeight="1">
      <c r="A1" s="471"/>
      <c r="B1" s="446"/>
      <c r="G1" s="352">
        <v>4</v>
      </c>
      <c r="I1" s="352">
        <v>4</v>
      </c>
      <c r="K1" s="352">
        <v>5</v>
      </c>
      <c r="X1" s="352" t="s">
        <v>14</v>
      </c>
    </row>
    <row r="2" spans="1:24" ht="3" customHeight="1">
      <c r="X2" s="440">
        <v>3</v>
      </c>
    </row>
    <row r="3" spans="1:24" ht="78.75" customHeight="1">
      <c r="D3" s="2059" t="str">
        <f>KNE_NAME_FORM</f>
        <v>Форма 12. Информация об основных потребительских характеристиках товаров, услуг регулируемой организации, цены (тарифы) в сфере теплоснабжения на которые подлежат регулированию, об основных потребительских характеристиках товаров (услуг), поставляемых (оказываемых) единой теплоснабжающей организацией в ценовых зонах теплоснабжения, об основных потребительских характеристиках товаров (услуг), поставляемых (оказываемых) теплоснабжающей организацией в ценовых зонах теплоснабжения и теплосетевой организацией в ценовых зонах теплоснабжения</v>
      </c>
      <c r="E3" s="2060"/>
      <c r="F3" s="2061"/>
      <c r="X3" s="440">
        <v>75</v>
      </c>
    </row>
    <row r="4" spans="1:24" s="1560" customFormat="1" ht="21" customHeight="1">
      <c r="A4" s="879"/>
      <c r="B4" s="446"/>
      <c r="D4" s="2150" t="str">
        <f>IF(org=0,"Не определено",org)</f>
        <v>ООО "ЗЕНИТ ЭНЕРГО"</v>
      </c>
      <c r="E4" s="2151"/>
      <c r="F4" s="2152"/>
      <c r="X4" s="691">
        <v>20</v>
      </c>
    </row>
    <row r="5" spans="1:24" ht="11.45" customHeight="1">
      <c r="C5" s="444"/>
      <c r="D5" s="523"/>
      <c r="E5" s="523"/>
      <c r="F5" s="523"/>
      <c r="G5" s="523"/>
      <c r="H5" s="687"/>
      <c r="I5" s="523"/>
      <c r="J5" s="687"/>
      <c r="K5" s="523"/>
      <c r="X5" s="440">
        <v>11</v>
      </c>
    </row>
    <row r="6" spans="1:24" ht="1.1499999999999999" customHeight="1">
      <c r="C6" s="444"/>
      <c r="D6" s="444"/>
      <c r="E6" s="457"/>
      <c r="F6" s="549"/>
      <c r="G6" s="950"/>
      <c r="H6" s="950"/>
      <c r="I6" s="950" t="s">
        <v>117</v>
      </c>
      <c r="J6" s="950"/>
      <c r="X6" s="440">
        <v>1</v>
      </c>
    </row>
    <row r="7" spans="1:24" ht="11.45" customHeight="1">
      <c r="D7" s="646"/>
      <c r="E7" s="2269" t="s">
        <v>105</v>
      </c>
      <c r="F7" s="2270"/>
      <c r="G7" s="2292" t="str">
        <f>IF(G6="","",INDEX(DIFFERENTIATION_UNMERGE_VD,MATCH(G6,DIFFERENTIATION_ID_DIFF,0)))</f>
        <v/>
      </c>
      <c r="H7" s="2293"/>
      <c r="I7" s="2292" t="str">
        <f>IF(I6="","",INDEX(DIFFERENTIATION_UNMERGE_VD,MATCH(I6,DIFFERENTIATION_ID_DIFF,0)))</f>
        <v>Производство тепловой энергии. Некомбинированная выработка; Передача. Тепловая энергия; Сбыт. Тепловая энергия</v>
      </c>
      <c r="J7" s="2293"/>
      <c r="K7" s="2114"/>
      <c r="L7" s="444"/>
      <c r="X7" s="440">
        <v>11</v>
      </c>
    </row>
    <row r="8" spans="1:24" ht="11.45" customHeight="1">
      <c r="A8" s="639"/>
      <c r="D8" s="646"/>
      <c r="E8" s="2269" t="s">
        <v>563</v>
      </c>
      <c r="F8" s="2270"/>
      <c r="G8" s="2292" t="str">
        <f>IF(G6="","",INDEX(DIFFERENTIATION_UNMERGE_AREA,MATCH(G6,DIFFERENTIATION_ID_DIFF,0)))</f>
        <v/>
      </c>
      <c r="H8" s="2293"/>
      <c r="I8" s="2292" t="str">
        <f>IF(I6="","",INDEX(DIFFERENTIATION_UNMERGE_AREA,MATCH(I6,DIFFERENTIATION_ID_DIFF,0)))</f>
        <v>Территория 1</v>
      </c>
      <c r="J8" s="2293"/>
      <c r="K8" s="2135"/>
      <c r="L8" s="444"/>
      <c r="X8" s="440">
        <v>11</v>
      </c>
    </row>
    <row r="9" spans="1:24" ht="11.45" customHeight="1">
      <c r="A9" s="639"/>
      <c r="D9" s="646"/>
      <c r="E9" s="2269" t="s">
        <v>564</v>
      </c>
      <c r="F9" s="2270"/>
      <c r="G9" s="2292" t="str">
        <f>IF(G6="","",INDEX(DIFFERENTIATION_UNMERGE_SYSTEM,MATCH(G6,DIFFERENTIATION_ID_DIFF,0)))</f>
        <v/>
      </c>
      <c r="H9" s="2293"/>
      <c r="I9" s="2292" t="str">
        <f>IF(I6="","",INDEX(DIFFERENTIATION_UNMERGE_SYSTEM,MATCH(I6,DIFFERENTIATION_ID_DIFF,0)))</f>
        <v>без дифференциации</v>
      </c>
      <c r="J9" s="2293"/>
      <c r="K9" s="2135"/>
      <c r="L9" s="444"/>
      <c r="X9" s="440">
        <v>11</v>
      </c>
    </row>
    <row r="10" spans="1:24" s="1560" customFormat="1" ht="11.45" customHeight="1">
      <c r="A10" s="949"/>
      <c r="B10" s="446"/>
      <c r="D10" s="2038" t="s">
        <v>299</v>
      </c>
      <c r="E10" s="2043"/>
      <c r="F10" s="2043"/>
      <c r="G10" s="2043"/>
      <c r="H10" s="2043"/>
      <c r="I10" s="2043"/>
      <c r="J10" s="2037"/>
      <c r="K10" s="2135"/>
      <c r="L10" s="444"/>
      <c r="X10" s="691">
        <v>11</v>
      </c>
    </row>
    <row r="11" spans="1:24" s="1560" customFormat="1" ht="24" customHeight="1">
      <c r="A11" s="2206"/>
      <c r="B11" s="2206"/>
      <c r="C11" s="592"/>
      <c r="D11" s="638" t="s">
        <v>88</v>
      </c>
      <c r="E11" s="640" t="s">
        <v>806</v>
      </c>
      <c r="F11" s="640" t="s">
        <v>565</v>
      </c>
      <c r="G11" s="400" t="s">
        <v>302</v>
      </c>
      <c r="H11" s="400" t="s">
        <v>389</v>
      </c>
      <c r="I11" s="736" t="s">
        <v>302</v>
      </c>
      <c r="J11" s="737" t="s">
        <v>389</v>
      </c>
      <c r="K11" s="2165"/>
      <c r="L11" s="593"/>
      <c r="X11" s="444">
        <v>23</v>
      </c>
    </row>
    <row r="12" spans="1:24" s="1567" customFormat="1" ht="10.5" customHeight="1">
      <c r="A12" s="880"/>
      <c r="D12" s="953" t="s">
        <v>109</v>
      </c>
      <c r="E12" s="953" t="s">
        <v>110</v>
      </c>
      <c r="F12" s="953" t="s">
        <v>90</v>
      </c>
      <c r="G12" s="954" t="str">
        <f>G1&amp;".1"</f>
        <v>4.1</v>
      </c>
      <c r="H12" s="954" t="str">
        <f>G1&amp;".2"</f>
        <v>4.2</v>
      </c>
      <c r="I12" s="954" t="str">
        <f>I1&amp;".1"</f>
        <v>4.1</v>
      </c>
      <c r="J12" s="954" t="str">
        <f>I1&amp;".2"</f>
        <v>4.2</v>
      </c>
      <c r="K12" s="954"/>
      <c r="X12" s="446">
        <v>10</v>
      </c>
    </row>
    <row r="13" spans="1:24" ht="22.5" customHeight="1">
      <c r="A13" s="2291" t="s">
        <v>807</v>
      </c>
      <c r="D13" s="881" t="s">
        <v>109</v>
      </c>
      <c r="E13" s="215" t="s">
        <v>808</v>
      </c>
      <c r="F13" s="595" t="s">
        <v>809</v>
      </c>
      <c r="G13" s="492"/>
      <c r="H13" s="596"/>
      <c r="I13" s="492"/>
      <c r="J13" s="596"/>
      <c r="K13" s="225" t="s">
        <v>810</v>
      </c>
      <c r="L13" s="655"/>
      <c r="X13" s="440">
        <v>0</v>
      </c>
    </row>
    <row r="14" spans="1:24" ht="22.5" customHeight="1">
      <c r="A14" s="2291"/>
      <c r="D14" s="474" t="s">
        <v>110</v>
      </c>
      <c r="E14" s="215" t="s">
        <v>811</v>
      </c>
      <c r="F14" s="595" t="s">
        <v>812</v>
      </c>
      <c r="G14" s="492"/>
      <c r="H14" s="597"/>
      <c r="I14" s="492"/>
      <c r="J14" s="597"/>
      <c r="K14" s="225" t="s">
        <v>813</v>
      </c>
      <c r="L14" s="655"/>
      <c r="X14" s="440">
        <v>0</v>
      </c>
    </row>
    <row r="15" spans="1:24" s="1560" customFormat="1" ht="78.75" customHeight="1">
      <c r="A15" s="2291"/>
      <c r="B15" s="446"/>
      <c r="D15" s="881" t="s">
        <v>90</v>
      </c>
      <c r="E15" s="642" t="s">
        <v>814</v>
      </c>
      <c r="F15" s="878" t="s">
        <v>305</v>
      </c>
      <c r="G15" s="878" t="s">
        <v>305</v>
      </c>
      <c r="H15" s="44"/>
      <c r="I15" s="878" t="s">
        <v>305</v>
      </c>
      <c r="J15" s="44"/>
      <c r="K15" s="225" t="s">
        <v>815</v>
      </c>
      <c r="L15" s="655"/>
      <c r="X15" s="691">
        <v>0</v>
      </c>
    </row>
    <row r="16" spans="1:24" s="1560" customFormat="1" ht="22.5" customHeight="1">
      <c r="A16" s="2291"/>
      <c r="B16" s="446"/>
      <c r="D16" s="881" t="s">
        <v>323</v>
      </c>
      <c r="E16" s="882" t="s">
        <v>816</v>
      </c>
      <c r="F16" s="878" t="s">
        <v>817</v>
      </c>
      <c r="G16" s="746"/>
      <c r="H16" s="44"/>
      <c r="I16" s="746"/>
      <c r="J16" s="44"/>
      <c r="K16" s="225"/>
      <c r="L16" s="655"/>
      <c r="X16" s="691">
        <v>0</v>
      </c>
    </row>
    <row r="17" spans="1:24" s="1560" customFormat="1" ht="22.5" customHeight="1">
      <c r="A17" s="2291"/>
      <c r="B17" s="446"/>
      <c r="D17" s="881" t="s">
        <v>331</v>
      </c>
      <c r="E17" s="882" t="s">
        <v>818</v>
      </c>
      <c r="F17" s="878" t="s">
        <v>819</v>
      </c>
      <c r="G17" s="746"/>
      <c r="H17" s="44"/>
      <c r="I17" s="746"/>
      <c r="J17" s="44"/>
      <c r="K17" s="225"/>
      <c r="L17" s="655"/>
      <c r="X17" s="691">
        <v>0</v>
      </c>
    </row>
    <row r="18" spans="1:24" s="1560" customFormat="1" ht="33.75" customHeight="1">
      <c r="A18" s="2291"/>
      <c r="B18" s="446"/>
      <c r="D18" s="881" t="s">
        <v>333</v>
      </c>
      <c r="E18" s="882" t="s">
        <v>820</v>
      </c>
      <c r="F18" s="878" t="s">
        <v>570</v>
      </c>
      <c r="G18" s="615"/>
      <c r="H18" s="44"/>
      <c r="I18" s="615"/>
      <c r="J18" s="44"/>
      <c r="K18" s="225"/>
      <c r="L18" s="655"/>
      <c r="X18" s="691">
        <v>0</v>
      </c>
    </row>
    <row r="19" spans="1:24" ht="101.25" customHeight="1">
      <c r="A19" s="2291"/>
      <c r="D19" s="881" t="s">
        <v>91</v>
      </c>
      <c r="E19" s="215" t="s">
        <v>821</v>
      </c>
      <c r="F19" s="595" t="s">
        <v>545</v>
      </c>
      <c r="G19" s="598"/>
      <c r="H19" s="597"/>
      <c r="I19" s="883"/>
      <c r="J19" s="597"/>
      <c r="K19" s="225" t="s">
        <v>822</v>
      </c>
      <c r="L19" s="655"/>
      <c r="X19" s="440">
        <v>0</v>
      </c>
    </row>
    <row r="20" spans="1:24" s="1560" customFormat="1" ht="18.75" customHeight="1">
      <c r="A20" s="2291"/>
      <c r="C20" s="884"/>
      <c r="D20" s="881" t="s">
        <v>753</v>
      </c>
      <c r="E20" s="882" t="s">
        <v>823</v>
      </c>
      <c r="F20" s="878" t="s">
        <v>305</v>
      </c>
      <c r="G20" s="878" t="s">
        <v>305</v>
      </c>
      <c r="H20" s="877" t="s">
        <v>305</v>
      </c>
      <c r="I20" s="878" t="s">
        <v>305</v>
      </c>
      <c r="J20" s="877" t="s">
        <v>305</v>
      </c>
      <c r="K20" s="876"/>
      <c r="L20" s="655"/>
      <c r="W20" s="610"/>
      <c r="X20" s="691">
        <v>0</v>
      </c>
    </row>
    <row r="21" spans="1:24" s="1560" customFormat="1" ht="33.75" customHeight="1">
      <c r="A21" s="2291"/>
      <c r="C21" s="884"/>
      <c r="D21" s="881" t="s">
        <v>756</v>
      </c>
      <c r="E21" s="511" t="s">
        <v>824</v>
      </c>
      <c r="F21" s="878" t="s">
        <v>825</v>
      </c>
      <c r="G21" s="615"/>
      <c r="H21" s="44"/>
      <c r="I21" s="615"/>
      <c r="J21" s="44"/>
      <c r="K21" s="876"/>
      <c r="L21" s="655"/>
      <c r="W21" s="610"/>
      <c r="X21" s="691">
        <v>0</v>
      </c>
    </row>
    <row r="22" spans="1:24" s="1560" customFormat="1" ht="33.75" customHeight="1">
      <c r="A22" s="2291"/>
      <c r="C22" s="884"/>
      <c r="D22" s="881" t="s">
        <v>759</v>
      </c>
      <c r="E22" s="511" t="s">
        <v>826</v>
      </c>
      <c r="F22" s="878" t="s">
        <v>827</v>
      </c>
      <c r="G22" s="615"/>
      <c r="H22" s="44"/>
      <c r="I22" s="615"/>
      <c r="J22" s="44"/>
      <c r="K22" s="876"/>
      <c r="L22" s="655"/>
      <c r="W22" s="610"/>
      <c r="X22" s="691">
        <v>0</v>
      </c>
    </row>
    <row r="23" spans="1:24" s="1560" customFormat="1" ht="22.5" customHeight="1">
      <c r="A23" s="2291"/>
      <c r="C23" s="884"/>
      <c r="D23" s="881" t="s">
        <v>795</v>
      </c>
      <c r="E23" s="882" t="s">
        <v>828</v>
      </c>
      <c r="F23" s="878" t="s">
        <v>305</v>
      </c>
      <c r="G23" s="878" t="s">
        <v>305</v>
      </c>
      <c r="H23" s="877" t="s">
        <v>305</v>
      </c>
      <c r="I23" s="878" t="s">
        <v>305</v>
      </c>
      <c r="J23" s="877" t="s">
        <v>305</v>
      </c>
      <c r="K23" s="876"/>
      <c r="L23" s="655"/>
      <c r="W23" s="610"/>
      <c r="X23" s="691">
        <v>0</v>
      </c>
    </row>
    <row r="24" spans="1:24" s="1560" customFormat="1" ht="22.5" customHeight="1">
      <c r="A24" s="2291"/>
      <c r="C24" s="884"/>
      <c r="D24" s="881" t="s">
        <v>829</v>
      </c>
      <c r="E24" s="511" t="s">
        <v>830</v>
      </c>
      <c r="F24" s="878" t="s">
        <v>831</v>
      </c>
      <c r="G24" s="615"/>
      <c r="H24" s="621"/>
      <c r="I24" s="615"/>
      <c r="J24" s="621"/>
      <c r="K24" s="876"/>
      <c r="L24" s="655"/>
      <c r="W24" s="610"/>
      <c r="X24" s="691">
        <v>0</v>
      </c>
    </row>
    <row r="25" spans="1:24" s="1560" customFormat="1" ht="22.5" customHeight="1">
      <c r="A25" s="2291"/>
      <c r="C25" s="884"/>
      <c r="D25" s="881" t="s">
        <v>832</v>
      </c>
      <c r="E25" s="511" t="s">
        <v>833</v>
      </c>
      <c r="F25" s="878" t="s">
        <v>305</v>
      </c>
      <c r="G25" s="878" t="s">
        <v>305</v>
      </c>
      <c r="H25" s="877" t="s">
        <v>305</v>
      </c>
      <c r="I25" s="878" t="s">
        <v>305</v>
      </c>
      <c r="J25" s="877" t="s">
        <v>305</v>
      </c>
      <c r="K25" s="876"/>
      <c r="L25" s="655"/>
      <c r="W25" s="610"/>
      <c r="X25" s="691">
        <v>0</v>
      </c>
    </row>
    <row r="26" spans="1:24" s="1560" customFormat="1" ht="18.75" customHeight="1">
      <c r="A26" s="2291"/>
      <c r="C26" s="884"/>
      <c r="D26" s="881" t="s">
        <v>834</v>
      </c>
      <c r="E26" s="488" t="s">
        <v>835</v>
      </c>
      <c r="F26" s="878" t="s">
        <v>836</v>
      </c>
      <c r="G26" s="615"/>
      <c r="H26" s="621"/>
      <c r="I26" s="615"/>
      <c r="J26" s="621"/>
      <c r="K26" s="876"/>
      <c r="L26" s="655"/>
      <c r="W26" s="610"/>
      <c r="X26" s="691">
        <v>0</v>
      </c>
    </row>
    <row r="27" spans="1:24" s="1560" customFormat="1" ht="18.75" customHeight="1">
      <c r="A27" s="2291"/>
      <c r="C27" s="884"/>
      <c r="D27" s="881" t="s">
        <v>837</v>
      </c>
      <c r="E27" s="488" t="s">
        <v>838</v>
      </c>
      <c r="F27" s="878" t="s">
        <v>839</v>
      </c>
      <c r="G27" s="615"/>
      <c r="H27" s="621"/>
      <c r="I27" s="615"/>
      <c r="J27" s="621"/>
      <c r="K27" s="876"/>
      <c r="L27" s="655"/>
      <c r="W27" s="610"/>
      <c r="X27" s="691">
        <v>0</v>
      </c>
    </row>
    <row r="28" spans="1:24" s="1560" customFormat="1" ht="18.75" customHeight="1">
      <c r="A28" s="2291"/>
      <c r="C28" s="884"/>
      <c r="D28" s="881" t="s">
        <v>840</v>
      </c>
      <c r="E28" s="511" t="s">
        <v>841</v>
      </c>
      <c r="F28" s="878" t="s">
        <v>305</v>
      </c>
      <c r="G28" s="878" t="s">
        <v>305</v>
      </c>
      <c r="H28" s="877" t="s">
        <v>305</v>
      </c>
      <c r="I28" s="878" t="s">
        <v>305</v>
      </c>
      <c r="J28" s="877" t="s">
        <v>305</v>
      </c>
      <c r="K28" s="876"/>
      <c r="L28" s="655"/>
      <c r="W28" s="610"/>
      <c r="X28" s="691">
        <v>0</v>
      </c>
    </row>
    <row r="29" spans="1:24" s="1560" customFormat="1" ht="18.75" customHeight="1">
      <c r="A29" s="2291"/>
      <c r="C29" s="884"/>
      <c r="D29" s="881" t="s">
        <v>842</v>
      </c>
      <c r="E29" s="488" t="s">
        <v>835</v>
      </c>
      <c r="F29" s="878" t="s">
        <v>843</v>
      </c>
      <c r="G29" s="615"/>
      <c r="H29" s="621"/>
      <c r="I29" s="615"/>
      <c r="J29" s="621"/>
      <c r="K29" s="876"/>
      <c r="L29" s="655"/>
      <c r="W29" s="610"/>
      <c r="X29" s="691">
        <v>0</v>
      </c>
    </row>
    <row r="30" spans="1:24" s="1560" customFormat="1" ht="18.75" customHeight="1">
      <c r="A30" s="2291"/>
      <c r="C30" s="884"/>
      <c r="D30" s="881" t="s">
        <v>844</v>
      </c>
      <c r="E30" s="488" t="s">
        <v>845</v>
      </c>
      <c r="F30" s="878" t="s">
        <v>846</v>
      </c>
      <c r="G30" s="615"/>
      <c r="H30" s="621"/>
      <c r="I30" s="615"/>
      <c r="J30" s="621"/>
      <c r="K30" s="876"/>
      <c r="L30" s="655"/>
      <c r="W30" s="610"/>
      <c r="X30" s="691">
        <v>0</v>
      </c>
    </row>
    <row r="31" spans="1:24" ht="126.75" customHeight="1">
      <c r="A31" s="2291"/>
      <c r="D31" s="881" t="s">
        <v>111</v>
      </c>
      <c r="E31" s="215" t="s">
        <v>847</v>
      </c>
      <c r="F31" s="595" t="s">
        <v>557</v>
      </c>
      <c r="G31" s="492"/>
      <c r="H31" s="597"/>
      <c r="I31" s="492"/>
      <c r="J31" s="597"/>
      <c r="K31" s="225" t="s">
        <v>848</v>
      </c>
      <c r="L31" s="655"/>
      <c r="X31" s="440">
        <v>0</v>
      </c>
    </row>
    <row r="32" spans="1:24" ht="56.25" customHeight="1">
      <c r="A32" s="2291"/>
      <c r="D32" s="881" t="s">
        <v>92</v>
      </c>
      <c r="E32" s="215" t="s">
        <v>849</v>
      </c>
      <c r="F32" s="474" t="s">
        <v>819</v>
      </c>
      <c r="G32" s="492"/>
      <c r="H32" s="597"/>
      <c r="I32" s="492"/>
      <c r="J32" s="597"/>
      <c r="K32" s="225" t="s">
        <v>850</v>
      </c>
      <c r="L32" s="655"/>
      <c r="X32" s="440">
        <v>0</v>
      </c>
    </row>
    <row r="33" spans="1:24" ht="11.25" customHeight="1">
      <c r="A33" s="2291"/>
      <c r="E33" s="599"/>
      <c r="F33" s="117"/>
      <c r="G33" s="117"/>
      <c r="H33" s="117"/>
      <c r="I33" s="117"/>
      <c r="J33" s="117"/>
      <c r="K33" s="117"/>
      <c r="X33" s="440">
        <v>0</v>
      </c>
    </row>
    <row r="34" spans="1:24" ht="12.75" customHeight="1">
      <c r="A34" s="2291"/>
      <c r="D34" s="3">
        <v>1</v>
      </c>
      <c r="E34" s="271" t="s">
        <v>851</v>
      </c>
      <c r="X34" s="440">
        <v>0</v>
      </c>
    </row>
    <row r="35" spans="1:24" ht="11.25" customHeight="1">
      <c r="A35" s="2291"/>
      <c r="D35" s="304"/>
      <c r="E35" s="271" t="s">
        <v>852</v>
      </c>
      <c r="X35" s="440">
        <v>0</v>
      </c>
    </row>
    <row r="36" spans="1:24" s="1560" customFormat="1" ht="11.45" customHeight="1">
      <c r="A36" s="961"/>
      <c r="B36" s="453"/>
      <c r="D36" s="962"/>
      <c r="E36" s="963"/>
      <c r="X36" s="444">
        <v>11</v>
      </c>
    </row>
    <row r="37" spans="1:24" s="1560" customFormat="1" ht="22.5" hidden="1" customHeight="1">
      <c r="A37" s="2291" t="s">
        <v>853</v>
      </c>
      <c r="B37" s="446"/>
      <c r="D37" s="881">
        <v>1</v>
      </c>
      <c r="E37" s="642" t="s">
        <v>854</v>
      </c>
      <c r="F37" s="595" t="s">
        <v>809</v>
      </c>
      <c r="G37" s="492"/>
      <c r="H37" s="454"/>
      <c r="I37" s="492"/>
      <c r="J37" s="454"/>
      <c r="K37" s="225" t="s">
        <v>855</v>
      </c>
      <c r="X37" s="691">
        <v>0</v>
      </c>
    </row>
    <row r="38" spans="1:24" s="1560" customFormat="1" ht="22.5" hidden="1" customHeight="1">
      <c r="A38" s="2291"/>
      <c r="B38" s="446"/>
      <c r="D38" s="604" t="s">
        <v>110</v>
      </c>
      <c r="E38" s="960" t="s">
        <v>856</v>
      </c>
      <c r="F38" s="964" t="s">
        <v>545</v>
      </c>
      <c r="G38" s="964" t="s">
        <v>545</v>
      </c>
      <c r="H38" s="958"/>
      <c r="I38" s="964" t="s">
        <v>545</v>
      </c>
      <c r="J38" s="958"/>
      <c r="K38" s="959"/>
      <c r="X38" s="691">
        <v>0</v>
      </c>
    </row>
    <row r="39" spans="1:24" s="1560" customFormat="1" ht="33.75" hidden="1" customHeight="1">
      <c r="A39" s="2291"/>
      <c r="B39" s="446"/>
      <c r="D39" s="600" t="s">
        <v>711</v>
      </c>
      <c r="E39" s="658" t="s">
        <v>857</v>
      </c>
      <c r="F39" s="595" t="s">
        <v>858</v>
      </c>
      <c r="G39" s="603"/>
      <c r="H39" s="951"/>
      <c r="I39" s="603"/>
      <c r="J39" s="951"/>
      <c r="K39" s="225" t="s">
        <v>859</v>
      </c>
      <c r="X39" s="691">
        <v>0</v>
      </c>
    </row>
    <row r="40" spans="1:24" s="1560" customFormat="1" ht="33.75" hidden="1" customHeight="1">
      <c r="A40" s="2291"/>
      <c r="B40" s="446"/>
      <c r="D40" s="600" t="s">
        <v>714</v>
      </c>
      <c r="E40" s="658" t="s">
        <v>860</v>
      </c>
      <c r="F40" s="955" t="s">
        <v>861</v>
      </c>
      <c r="G40" s="676"/>
      <c r="H40" s="951"/>
      <c r="I40" s="676"/>
      <c r="J40" s="951"/>
      <c r="K40" s="225" t="s">
        <v>862</v>
      </c>
      <c r="X40" s="691">
        <v>0</v>
      </c>
    </row>
    <row r="41" spans="1:24" s="1560" customFormat="1" ht="22.5" hidden="1" customHeight="1">
      <c r="A41" s="2291"/>
      <c r="B41" s="446"/>
      <c r="D41" s="600" t="s">
        <v>90</v>
      </c>
      <c r="E41" s="657" t="s">
        <v>863</v>
      </c>
      <c r="F41" s="595" t="s">
        <v>545</v>
      </c>
      <c r="G41" s="595" t="s">
        <v>545</v>
      </c>
      <c r="H41" s="952"/>
      <c r="I41" s="595" t="s">
        <v>545</v>
      </c>
      <c r="J41" s="952"/>
      <c r="K41" s="238"/>
      <c r="X41" s="691">
        <v>0</v>
      </c>
    </row>
    <row r="42" spans="1:24" s="1560" customFormat="1" ht="45" hidden="1" customHeight="1">
      <c r="A42" s="2291"/>
      <c r="B42" s="446"/>
      <c r="D42" s="600" t="s">
        <v>323</v>
      </c>
      <c r="E42" s="658" t="s">
        <v>864</v>
      </c>
      <c r="F42" s="595" t="s">
        <v>557</v>
      </c>
      <c r="G42" s="492"/>
      <c r="H42" s="952"/>
      <c r="I42" s="492"/>
      <c r="J42" s="952"/>
      <c r="K42" s="238" t="s">
        <v>865</v>
      </c>
      <c r="X42" s="691">
        <v>0</v>
      </c>
    </row>
    <row r="43" spans="1:24" s="1560" customFormat="1" ht="45" hidden="1" customHeight="1">
      <c r="A43" s="2291"/>
      <c r="B43" s="446"/>
      <c r="D43" s="600" t="s">
        <v>331</v>
      </c>
      <c r="E43" s="602" t="s">
        <v>866</v>
      </c>
      <c r="F43" s="956" t="s">
        <v>557</v>
      </c>
      <c r="G43" s="677"/>
      <c r="H43" s="951"/>
      <c r="I43" s="677"/>
      <c r="J43" s="951"/>
      <c r="K43" s="238" t="s">
        <v>867</v>
      </c>
      <c r="X43" s="691">
        <v>0</v>
      </c>
    </row>
    <row r="44" spans="1:24" s="1560" customFormat="1" ht="11.25" hidden="1" customHeight="1">
      <c r="A44" s="2291"/>
      <c r="B44" s="446"/>
      <c r="D44" s="600" t="s">
        <v>91</v>
      </c>
      <c r="E44" s="601" t="s">
        <v>868</v>
      </c>
      <c r="F44" s="595" t="s">
        <v>858</v>
      </c>
      <c r="G44" s="603"/>
      <c r="H44" s="951"/>
      <c r="I44" s="603"/>
      <c r="J44" s="951"/>
      <c r="K44" s="225"/>
      <c r="X44" s="691">
        <v>0</v>
      </c>
    </row>
    <row r="45" spans="1:24" s="1560" customFormat="1" ht="11.25" hidden="1" customHeight="1">
      <c r="A45" s="2291"/>
      <c r="B45" s="446"/>
      <c r="D45" s="600" t="s">
        <v>753</v>
      </c>
      <c r="E45" s="602" t="s">
        <v>869</v>
      </c>
      <c r="F45" s="595" t="s">
        <v>858</v>
      </c>
      <c r="G45" s="603"/>
      <c r="H45" s="951"/>
      <c r="I45" s="603"/>
      <c r="J45" s="951"/>
      <c r="K45" s="225"/>
      <c r="X45" s="691">
        <v>0</v>
      </c>
    </row>
    <row r="46" spans="1:24" s="1560" customFormat="1" ht="11.25" hidden="1" customHeight="1">
      <c r="A46" s="2291"/>
      <c r="B46" s="446"/>
      <c r="D46" s="600" t="s">
        <v>795</v>
      </c>
      <c r="E46" s="602" t="s">
        <v>870</v>
      </c>
      <c r="F46" s="595" t="s">
        <v>858</v>
      </c>
      <c r="G46" s="603"/>
      <c r="H46" s="951"/>
      <c r="I46" s="603"/>
      <c r="J46" s="951"/>
      <c r="K46" s="225"/>
      <c r="X46" s="691">
        <v>0</v>
      </c>
    </row>
    <row r="47" spans="1:24" s="1560" customFormat="1" ht="11.25" hidden="1" customHeight="1">
      <c r="A47" s="2291"/>
      <c r="B47" s="446"/>
      <c r="D47" s="600" t="s">
        <v>798</v>
      </c>
      <c r="E47" s="602" t="s">
        <v>871</v>
      </c>
      <c r="F47" s="595" t="s">
        <v>858</v>
      </c>
      <c r="G47" s="603"/>
      <c r="H47" s="951"/>
      <c r="I47" s="603"/>
      <c r="J47" s="951"/>
      <c r="K47" s="225"/>
      <c r="X47" s="691">
        <v>0</v>
      </c>
    </row>
    <row r="48" spans="1:24" s="1560" customFormat="1" ht="11.25" hidden="1" customHeight="1">
      <c r="A48" s="2291"/>
      <c r="B48" s="446"/>
      <c r="D48" s="600" t="s">
        <v>872</v>
      </c>
      <c r="E48" s="606" t="s">
        <v>873</v>
      </c>
      <c r="F48" s="595" t="s">
        <v>858</v>
      </c>
      <c r="G48" s="603"/>
      <c r="H48" s="951"/>
      <c r="I48" s="603"/>
      <c r="J48" s="951"/>
      <c r="K48" s="225"/>
      <c r="X48" s="691">
        <v>0</v>
      </c>
    </row>
    <row r="49" spans="1:24" s="1560" customFormat="1" ht="11.25" hidden="1" customHeight="1">
      <c r="A49" s="2291"/>
      <c r="B49" s="446"/>
      <c r="D49" s="600" t="s">
        <v>874</v>
      </c>
      <c r="E49" s="606" t="s">
        <v>875</v>
      </c>
      <c r="F49" s="595" t="s">
        <v>858</v>
      </c>
      <c r="G49" s="603"/>
      <c r="H49" s="951"/>
      <c r="I49" s="603"/>
      <c r="J49" s="951"/>
      <c r="K49" s="225"/>
      <c r="X49" s="691">
        <v>0</v>
      </c>
    </row>
    <row r="50" spans="1:24" s="1560" customFormat="1" ht="11.25" hidden="1" customHeight="1">
      <c r="A50" s="2291"/>
      <c r="B50" s="446"/>
      <c r="D50" s="600" t="s">
        <v>876</v>
      </c>
      <c r="E50" s="602" t="s">
        <v>877</v>
      </c>
      <c r="F50" s="595" t="s">
        <v>858</v>
      </c>
      <c r="G50" s="603"/>
      <c r="H50" s="951"/>
      <c r="I50" s="603"/>
      <c r="J50" s="951"/>
      <c r="K50" s="225"/>
      <c r="X50" s="691">
        <v>0</v>
      </c>
    </row>
    <row r="51" spans="1:24" s="1560" customFormat="1" ht="11.25" hidden="1" customHeight="1">
      <c r="A51" s="2291"/>
      <c r="B51" s="446"/>
      <c r="D51" s="600" t="s">
        <v>878</v>
      </c>
      <c r="E51" s="602" t="s">
        <v>879</v>
      </c>
      <c r="F51" s="595" t="s">
        <v>858</v>
      </c>
      <c r="G51" s="603"/>
      <c r="H51" s="951"/>
      <c r="I51" s="603"/>
      <c r="J51" s="951"/>
      <c r="K51" s="225"/>
      <c r="X51" s="691">
        <v>0</v>
      </c>
    </row>
    <row r="52" spans="1:24" s="1560" customFormat="1" ht="45" hidden="1" customHeight="1">
      <c r="A52" s="2291"/>
      <c r="B52" s="446"/>
      <c r="D52" s="600" t="s">
        <v>111</v>
      </c>
      <c r="E52" s="601" t="s">
        <v>880</v>
      </c>
      <c r="F52" s="595" t="s">
        <v>858</v>
      </c>
      <c r="G52" s="603"/>
      <c r="H52" s="951"/>
      <c r="I52" s="603"/>
      <c r="J52" s="951"/>
      <c r="K52" s="225"/>
      <c r="X52" s="691">
        <v>0</v>
      </c>
    </row>
    <row r="53" spans="1:24" s="1560" customFormat="1" ht="11.25" hidden="1" customHeight="1">
      <c r="A53" s="2291"/>
      <c r="B53" s="446"/>
      <c r="D53" s="600" t="s">
        <v>312</v>
      </c>
      <c r="E53" s="602" t="s">
        <v>869</v>
      </c>
      <c r="F53" s="595" t="s">
        <v>858</v>
      </c>
      <c r="G53" s="603"/>
      <c r="H53" s="951"/>
      <c r="I53" s="603"/>
      <c r="J53" s="951"/>
      <c r="K53" s="225"/>
      <c r="X53" s="691">
        <v>0</v>
      </c>
    </row>
    <row r="54" spans="1:24" s="1560" customFormat="1" ht="11.25" hidden="1" customHeight="1">
      <c r="A54" s="2291"/>
      <c r="B54" s="446"/>
      <c r="D54" s="600" t="s">
        <v>881</v>
      </c>
      <c r="E54" s="602" t="s">
        <v>870</v>
      </c>
      <c r="F54" s="595" t="s">
        <v>858</v>
      </c>
      <c r="G54" s="603"/>
      <c r="H54" s="951"/>
      <c r="I54" s="603"/>
      <c r="J54" s="951"/>
      <c r="K54" s="225"/>
      <c r="X54" s="691">
        <v>0</v>
      </c>
    </row>
    <row r="55" spans="1:24" s="1560" customFormat="1" ht="11.25" hidden="1" customHeight="1">
      <c r="A55" s="2291"/>
      <c r="B55" s="446"/>
      <c r="D55" s="600" t="s">
        <v>882</v>
      </c>
      <c r="E55" s="602" t="s">
        <v>871</v>
      </c>
      <c r="F55" s="595" t="s">
        <v>858</v>
      </c>
      <c r="G55" s="603"/>
      <c r="H55" s="951"/>
      <c r="I55" s="603"/>
      <c r="J55" s="951"/>
      <c r="K55" s="225"/>
      <c r="X55" s="691">
        <v>0</v>
      </c>
    </row>
    <row r="56" spans="1:24" s="1560" customFormat="1" ht="11.25" hidden="1" customHeight="1">
      <c r="A56" s="2291"/>
      <c r="B56" s="446"/>
      <c r="D56" s="600" t="s">
        <v>883</v>
      </c>
      <c r="E56" s="606" t="s">
        <v>873</v>
      </c>
      <c r="F56" s="595" t="s">
        <v>858</v>
      </c>
      <c r="G56" s="603"/>
      <c r="H56" s="951"/>
      <c r="I56" s="603"/>
      <c r="J56" s="951"/>
      <c r="K56" s="225"/>
      <c r="X56" s="691">
        <v>0</v>
      </c>
    </row>
    <row r="57" spans="1:24" s="1560" customFormat="1" ht="11.25" hidden="1" customHeight="1">
      <c r="A57" s="2291"/>
      <c r="B57" s="446"/>
      <c r="D57" s="600" t="s">
        <v>884</v>
      </c>
      <c r="E57" s="606" t="s">
        <v>875</v>
      </c>
      <c r="F57" s="595" t="s">
        <v>858</v>
      </c>
      <c r="G57" s="603"/>
      <c r="H57" s="951"/>
      <c r="I57" s="603"/>
      <c r="J57" s="951"/>
      <c r="K57" s="225"/>
      <c r="X57" s="691">
        <v>0</v>
      </c>
    </row>
    <row r="58" spans="1:24" s="1560" customFormat="1" ht="11.25" hidden="1" customHeight="1">
      <c r="A58" s="2291"/>
      <c r="B58" s="446"/>
      <c r="D58" s="600" t="s">
        <v>885</v>
      </c>
      <c r="E58" s="602" t="s">
        <v>877</v>
      </c>
      <c r="F58" s="595" t="s">
        <v>858</v>
      </c>
      <c r="G58" s="603"/>
      <c r="H58" s="951"/>
      <c r="I58" s="603"/>
      <c r="J58" s="951"/>
      <c r="K58" s="225"/>
      <c r="X58" s="691">
        <v>0</v>
      </c>
    </row>
    <row r="59" spans="1:24" s="1560" customFormat="1" ht="11.25" hidden="1" customHeight="1">
      <c r="A59" s="2291"/>
      <c r="B59" s="446"/>
      <c r="D59" s="600" t="s">
        <v>886</v>
      </c>
      <c r="E59" s="602" t="s">
        <v>879</v>
      </c>
      <c r="F59" s="595" t="s">
        <v>858</v>
      </c>
      <c r="G59" s="603"/>
      <c r="H59" s="951"/>
      <c r="I59" s="603"/>
      <c r="J59" s="951"/>
      <c r="K59" s="225"/>
      <c r="X59" s="691">
        <v>0</v>
      </c>
    </row>
    <row r="60" spans="1:24" s="1560" customFormat="1" ht="33.75" hidden="1" customHeight="1">
      <c r="A60" s="2291"/>
      <c r="B60" s="446"/>
      <c r="D60" s="600" t="s">
        <v>92</v>
      </c>
      <c r="E60" s="601" t="s">
        <v>887</v>
      </c>
      <c r="F60" s="656" t="s">
        <v>557</v>
      </c>
      <c r="G60" s="677"/>
      <c r="H60" s="951"/>
      <c r="I60" s="677"/>
      <c r="J60" s="951"/>
      <c r="K60" s="238" t="s">
        <v>888</v>
      </c>
      <c r="X60" s="691">
        <v>0</v>
      </c>
    </row>
    <row r="61" spans="1:24" s="1560" customFormat="1" ht="33.75" hidden="1" customHeight="1">
      <c r="A61" s="2291"/>
      <c r="B61" s="446"/>
      <c r="D61" s="600" t="s">
        <v>93</v>
      </c>
      <c r="E61" s="601" t="s">
        <v>889</v>
      </c>
      <c r="F61" s="661" t="s">
        <v>819</v>
      </c>
      <c r="G61" s="603"/>
      <c r="H61" s="951"/>
      <c r="I61" s="603"/>
      <c r="J61" s="951"/>
      <c r="K61" s="225"/>
      <c r="X61" s="691">
        <v>0</v>
      </c>
    </row>
    <row r="62" spans="1:24" s="1560" customFormat="1" ht="22.5" hidden="1" customHeight="1">
      <c r="A62" s="2291"/>
      <c r="B62" s="446" t="s">
        <v>587</v>
      </c>
      <c r="D62" s="600" t="s">
        <v>112</v>
      </c>
      <c r="E62" s="601" t="s">
        <v>890</v>
      </c>
      <c r="F62" s="661" t="s">
        <v>305</v>
      </c>
      <c r="G62" s="317"/>
      <c r="H62" s="951"/>
      <c r="I62" s="317"/>
      <c r="J62" s="951"/>
      <c r="K62" s="225" t="s">
        <v>630</v>
      </c>
      <c r="X62" s="691">
        <v>0</v>
      </c>
    </row>
    <row r="63" spans="1:24" s="1560" customFormat="1" ht="45" hidden="1" customHeight="1">
      <c r="A63" s="2291"/>
      <c r="B63" s="446" t="s">
        <v>587</v>
      </c>
      <c r="D63" s="600" t="s">
        <v>891</v>
      </c>
      <c r="E63" s="602" t="s">
        <v>892</v>
      </c>
      <c r="F63" s="656" t="s">
        <v>305</v>
      </c>
      <c r="G63" s="317"/>
      <c r="H63" s="951"/>
      <c r="I63" s="317"/>
      <c r="J63" s="951"/>
      <c r="K63" s="225" t="s">
        <v>630</v>
      </c>
      <c r="X63" s="691">
        <v>0</v>
      </c>
    </row>
    <row r="64" spans="1:24" s="1560" customFormat="1" ht="11.45" customHeight="1">
      <c r="A64" s="961"/>
      <c r="B64" s="453"/>
      <c r="D64" s="962"/>
      <c r="E64" s="963"/>
      <c r="X64" s="444">
        <v>11</v>
      </c>
    </row>
    <row r="65" spans="1:24" s="1560" customFormat="1" ht="22.5" hidden="1" customHeight="1">
      <c r="A65" s="2291" t="s">
        <v>893</v>
      </c>
      <c r="B65" s="446"/>
      <c r="D65" s="600">
        <v>1</v>
      </c>
      <c r="E65" s="679" t="s">
        <v>894</v>
      </c>
      <c r="F65" s="675" t="s">
        <v>809</v>
      </c>
      <c r="G65" s="676"/>
      <c r="H65" s="957"/>
      <c r="I65" s="676"/>
      <c r="J65" s="957"/>
      <c r="K65" s="237" t="s">
        <v>895</v>
      </c>
      <c r="X65" s="691">
        <v>0</v>
      </c>
    </row>
    <row r="66" spans="1:24" s="1560" customFormat="1" ht="56.25" hidden="1" customHeight="1">
      <c r="A66" s="2291"/>
      <c r="B66" s="446"/>
      <c r="D66" s="678" t="s">
        <v>110</v>
      </c>
      <c r="E66" s="642" t="s">
        <v>896</v>
      </c>
      <c r="F66" s="595" t="s">
        <v>545</v>
      </c>
      <c r="G66" s="595" t="s">
        <v>545</v>
      </c>
      <c r="H66" s="454"/>
      <c r="I66" s="595" t="s">
        <v>545</v>
      </c>
      <c r="J66" s="454"/>
      <c r="K66" s="225"/>
      <c r="X66" s="691">
        <v>0</v>
      </c>
    </row>
    <row r="67" spans="1:24" s="1560" customFormat="1" ht="33.75" hidden="1" customHeight="1">
      <c r="A67" s="2291"/>
      <c r="B67" s="446"/>
      <c r="D67" s="678" t="s">
        <v>708</v>
      </c>
      <c r="E67" s="882" t="s">
        <v>897</v>
      </c>
      <c r="F67" s="595" t="s">
        <v>861</v>
      </c>
      <c r="G67" s="662"/>
      <c r="H67" s="454"/>
      <c r="I67" s="662"/>
      <c r="J67" s="454"/>
      <c r="K67" s="225"/>
      <c r="X67" s="691">
        <v>0</v>
      </c>
    </row>
    <row r="68" spans="1:24" s="1560" customFormat="1" ht="22.5" hidden="1" customHeight="1">
      <c r="A68" s="2291"/>
      <c r="B68" s="446"/>
      <c r="D68" s="678" t="s">
        <v>306</v>
      </c>
      <c r="E68" s="882" t="s">
        <v>898</v>
      </c>
      <c r="F68" s="595" t="s">
        <v>861</v>
      </c>
      <c r="G68" s="662"/>
      <c r="H68" s="454"/>
      <c r="I68" s="662"/>
      <c r="J68" s="454"/>
      <c r="K68" s="225"/>
      <c r="X68" s="691">
        <v>0</v>
      </c>
    </row>
    <row r="69" spans="1:24" s="1560" customFormat="1" ht="22.5" hidden="1" customHeight="1">
      <c r="A69" s="2291"/>
      <c r="B69" s="446"/>
      <c r="D69" s="678" t="s">
        <v>309</v>
      </c>
      <c r="E69" s="882" t="s">
        <v>899</v>
      </c>
      <c r="F69" s="656" t="s">
        <v>557</v>
      </c>
      <c r="G69" s="677"/>
      <c r="H69" s="454"/>
      <c r="I69" s="677"/>
      <c r="J69" s="454"/>
      <c r="K69" s="225"/>
      <c r="X69" s="691">
        <v>0</v>
      </c>
    </row>
    <row r="70" spans="1:24" s="1560" customFormat="1" ht="22.5" hidden="1" customHeight="1">
      <c r="A70" s="2291"/>
      <c r="B70" s="446"/>
      <c r="D70" s="678" t="s">
        <v>728</v>
      </c>
      <c r="E70" s="882" t="s">
        <v>900</v>
      </c>
      <c r="F70" s="656" t="s">
        <v>557</v>
      </c>
      <c r="G70" s="677"/>
      <c r="H70" s="454"/>
      <c r="I70" s="677"/>
      <c r="J70" s="454"/>
      <c r="K70" s="225"/>
      <c r="X70" s="691">
        <v>0</v>
      </c>
    </row>
    <row r="71" spans="1:24" s="1560" customFormat="1" ht="22.5" hidden="1" customHeight="1">
      <c r="A71" s="2291"/>
      <c r="B71" s="446"/>
      <c r="D71" s="600" t="s">
        <v>90</v>
      </c>
      <c r="E71" s="601" t="s">
        <v>901</v>
      </c>
      <c r="F71" s="595" t="s">
        <v>861</v>
      </c>
      <c r="G71" s="492"/>
      <c r="H71" s="958"/>
      <c r="I71" s="492"/>
      <c r="J71" s="958"/>
      <c r="K71" s="238"/>
      <c r="X71" s="691">
        <v>0</v>
      </c>
    </row>
    <row r="72" spans="1:24" s="1560" customFormat="1" ht="56.25" hidden="1" customHeight="1">
      <c r="A72" s="2291"/>
      <c r="B72" s="446"/>
      <c r="D72" s="600" t="s">
        <v>91</v>
      </c>
      <c r="E72" s="601" t="s">
        <v>902</v>
      </c>
      <c r="F72" s="656" t="s">
        <v>557</v>
      </c>
      <c r="G72" s="677"/>
      <c r="H72" s="951"/>
      <c r="I72" s="677"/>
      <c r="J72" s="951"/>
      <c r="K72" s="238"/>
      <c r="X72" s="691">
        <v>0</v>
      </c>
    </row>
    <row r="73" spans="1:24" s="1560" customFormat="1" ht="33.75" hidden="1" customHeight="1">
      <c r="A73" s="2291"/>
      <c r="B73" s="446"/>
      <c r="D73" s="600" t="s">
        <v>111</v>
      </c>
      <c r="E73" s="601" t="s">
        <v>903</v>
      </c>
      <c r="F73" s="661" t="s">
        <v>819</v>
      </c>
      <c r="G73" s="603"/>
      <c r="H73" s="951"/>
      <c r="I73" s="603"/>
      <c r="J73" s="951"/>
      <c r="K73" s="225"/>
      <c r="X73" s="691">
        <v>0</v>
      </c>
    </row>
    <row r="74" spans="1:24" s="1560" customFormat="1" ht="22.5" hidden="1" customHeight="1">
      <c r="A74" s="2291"/>
      <c r="B74" s="446" t="s">
        <v>587</v>
      </c>
      <c r="D74" s="600" t="s">
        <v>92</v>
      </c>
      <c r="E74" s="601" t="s">
        <v>904</v>
      </c>
      <c r="F74" s="661" t="s">
        <v>305</v>
      </c>
      <c r="G74" s="317"/>
      <c r="H74" s="951"/>
      <c r="I74" s="317"/>
      <c r="J74" s="951"/>
      <c r="K74" s="225" t="s">
        <v>630</v>
      </c>
      <c r="X74" s="691">
        <v>0</v>
      </c>
    </row>
    <row r="75" spans="1:24" s="1560" customFormat="1" ht="45" hidden="1" customHeight="1">
      <c r="A75" s="2291"/>
      <c r="B75" s="446" t="s">
        <v>587</v>
      </c>
      <c r="D75" s="600" t="s">
        <v>651</v>
      </c>
      <c r="E75" s="602" t="s">
        <v>905</v>
      </c>
      <c r="F75" s="656" t="s">
        <v>305</v>
      </c>
      <c r="G75" s="317"/>
      <c r="H75" s="951"/>
      <c r="I75" s="317"/>
      <c r="J75" s="951"/>
      <c r="K75" s="225" t="s">
        <v>630</v>
      </c>
      <c r="X75" s="691">
        <v>0</v>
      </c>
    </row>
    <row r="76" spans="1:24" s="1560" customFormat="1" ht="11.45" customHeight="1">
      <c r="A76" s="961"/>
      <c r="B76" s="453"/>
      <c r="D76" s="962"/>
      <c r="E76" s="963"/>
      <c r="X76" s="444">
        <v>11</v>
      </c>
    </row>
    <row r="77" spans="1:24" s="1560" customFormat="1" ht="11.25" hidden="1" customHeight="1">
      <c r="A77" s="2291" t="s">
        <v>906</v>
      </c>
      <c r="B77" s="446"/>
      <c r="D77" s="600">
        <v>1</v>
      </c>
      <c r="E77" s="601" t="s">
        <v>907</v>
      </c>
      <c r="F77" s="656" t="s">
        <v>809</v>
      </c>
      <c r="G77" s="659"/>
      <c r="H77" s="951"/>
      <c r="I77" s="659"/>
      <c r="J77" s="951"/>
      <c r="K77" s="225" t="s">
        <v>908</v>
      </c>
      <c r="X77" s="691">
        <v>0</v>
      </c>
    </row>
    <row r="78" spans="1:24" s="1560" customFormat="1" ht="11.25" hidden="1" customHeight="1">
      <c r="A78" s="2291"/>
      <c r="B78" s="446"/>
      <c r="D78" s="600" t="s">
        <v>110</v>
      </c>
      <c r="E78" s="601" t="s">
        <v>909</v>
      </c>
      <c r="F78" s="656" t="s">
        <v>809</v>
      </c>
      <c r="G78" s="659"/>
      <c r="H78" s="951"/>
      <c r="I78" s="659"/>
      <c r="J78" s="951"/>
      <c r="K78" s="225" t="s">
        <v>910</v>
      </c>
      <c r="X78" s="691">
        <v>0</v>
      </c>
    </row>
    <row r="79" spans="1:24" s="1560" customFormat="1" ht="22.5" hidden="1" customHeight="1">
      <c r="A79" s="2291"/>
      <c r="B79" s="446"/>
      <c r="D79" s="600" t="s">
        <v>90</v>
      </c>
      <c r="E79" s="657" t="s">
        <v>911</v>
      </c>
      <c r="F79" s="595" t="s">
        <v>858</v>
      </c>
      <c r="G79" s="659"/>
      <c r="H79" s="951"/>
      <c r="I79" s="659"/>
      <c r="J79" s="951"/>
      <c r="K79" s="225" t="s">
        <v>912</v>
      </c>
      <c r="X79" s="691">
        <v>0</v>
      </c>
    </row>
    <row r="80" spans="1:24" s="1560" customFormat="1" ht="11.25" hidden="1" customHeight="1">
      <c r="A80" s="2291"/>
      <c r="B80" s="446"/>
      <c r="D80" s="600" t="s">
        <v>323</v>
      </c>
      <c r="E80" s="658" t="s">
        <v>913</v>
      </c>
      <c r="F80" s="595" t="s">
        <v>858</v>
      </c>
      <c r="G80" s="659"/>
      <c r="H80" s="951"/>
      <c r="I80" s="659"/>
      <c r="J80" s="951"/>
      <c r="K80" s="225"/>
      <c r="X80" s="691">
        <v>0</v>
      </c>
    </row>
    <row r="81" spans="1:24" s="1560" customFormat="1" ht="11.25" hidden="1" customHeight="1">
      <c r="A81" s="2291"/>
      <c r="B81" s="446"/>
      <c r="D81" s="600" t="s">
        <v>331</v>
      </c>
      <c r="E81" s="658" t="s">
        <v>914</v>
      </c>
      <c r="F81" s="595" t="s">
        <v>858</v>
      </c>
      <c r="G81" s="659"/>
      <c r="H81" s="951"/>
      <c r="I81" s="659"/>
      <c r="J81" s="951"/>
      <c r="K81" s="225"/>
      <c r="X81" s="691">
        <v>0</v>
      </c>
    </row>
    <row r="82" spans="1:24" s="1560" customFormat="1" ht="11.25" hidden="1" customHeight="1">
      <c r="A82" s="2291"/>
      <c r="B82" s="446"/>
      <c r="D82" s="600" t="s">
        <v>333</v>
      </c>
      <c r="E82" s="658" t="s">
        <v>915</v>
      </c>
      <c r="F82" s="595" t="s">
        <v>858</v>
      </c>
      <c r="G82" s="659"/>
      <c r="H82" s="951"/>
      <c r="I82" s="659"/>
      <c r="J82" s="951"/>
      <c r="K82" s="225"/>
      <c r="X82" s="691">
        <v>0</v>
      </c>
    </row>
    <row r="83" spans="1:24" s="1560" customFormat="1" ht="11.25" hidden="1" customHeight="1">
      <c r="A83" s="2291"/>
      <c r="B83" s="446"/>
      <c r="D83" s="600" t="s">
        <v>335</v>
      </c>
      <c r="E83" s="658" t="s">
        <v>916</v>
      </c>
      <c r="F83" s="595" t="s">
        <v>858</v>
      </c>
      <c r="G83" s="659"/>
      <c r="H83" s="951"/>
      <c r="I83" s="659"/>
      <c r="J83" s="951"/>
      <c r="K83" s="225"/>
      <c r="X83" s="691">
        <v>0</v>
      </c>
    </row>
    <row r="84" spans="1:24" s="1560" customFormat="1" ht="11.25" hidden="1" customHeight="1">
      <c r="A84" s="2291"/>
      <c r="B84" s="446"/>
      <c r="D84" s="600" t="s">
        <v>917</v>
      </c>
      <c r="E84" s="658" t="s">
        <v>918</v>
      </c>
      <c r="F84" s="595" t="s">
        <v>858</v>
      </c>
      <c r="G84" s="659"/>
      <c r="H84" s="951"/>
      <c r="I84" s="659"/>
      <c r="J84" s="951"/>
      <c r="K84" s="225"/>
      <c r="X84" s="691">
        <v>0</v>
      </c>
    </row>
    <row r="85" spans="1:24" s="1560" customFormat="1" ht="11.25" hidden="1" customHeight="1">
      <c r="A85" s="2291"/>
      <c r="B85" s="446"/>
      <c r="D85" s="600" t="s">
        <v>919</v>
      </c>
      <c r="E85" s="658" t="s">
        <v>920</v>
      </c>
      <c r="F85" s="595" t="s">
        <v>858</v>
      </c>
      <c r="G85" s="659"/>
      <c r="H85" s="951"/>
      <c r="I85" s="659"/>
      <c r="J85" s="951"/>
      <c r="K85" s="225"/>
      <c r="X85" s="691">
        <v>0</v>
      </c>
    </row>
    <row r="86" spans="1:24" s="1560" customFormat="1" ht="11.25" hidden="1" customHeight="1">
      <c r="A86" s="2291"/>
      <c r="B86" s="446"/>
      <c r="D86" s="600" t="s">
        <v>921</v>
      </c>
      <c r="E86" s="658" t="s">
        <v>922</v>
      </c>
      <c r="F86" s="595" t="s">
        <v>858</v>
      </c>
      <c r="G86" s="659"/>
      <c r="H86" s="951"/>
      <c r="I86" s="659"/>
      <c r="J86" s="951"/>
      <c r="K86" s="225"/>
      <c r="X86" s="691">
        <v>0</v>
      </c>
    </row>
    <row r="87" spans="1:24" s="1560" customFormat="1" ht="45" hidden="1" customHeight="1">
      <c r="A87" s="2291"/>
      <c r="B87" s="446"/>
      <c r="D87" s="600" t="s">
        <v>91</v>
      </c>
      <c r="E87" s="601" t="s">
        <v>923</v>
      </c>
      <c r="F87" s="595" t="s">
        <v>858</v>
      </c>
      <c r="G87" s="659"/>
      <c r="H87" s="951"/>
      <c r="I87" s="659"/>
      <c r="J87" s="951"/>
      <c r="K87" s="225" t="s">
        <v>924</v>
      </c>
      <c r="X87" s="691">
        <v>0</v>
      </c>
    </row>
    <row r="88" spans="1:24" s="1560" customFormat="1" ht="11.25" hidden="1" customHeight="1">
      <c r="A88" s="2291"/>
      <c r="B88" s="446"/>
      <c r="D88" s="600" t="s">
        <v>753</v>
      </c>
      <c r="E88" s="658" t="s">
        <v>913</v>
      </c>
      <c r="F88" s="595" t="s">
        <v>858</v>
      </c>
      <c r="G88" s="659"/>
      <c r="H88" s="951"/>
      <c r="I88" s="659"/>
      <c r="J88" s="951"/>
      <c r="K88" s="225"/>
      <c r="X88" s="691">
        <v>0</v>
      </c>
    </row>
    <row r="89" spans="1:24" s="1560" customFormat="1" ht="11.25" hidden="1" customHeight="1">
      <c r="A89" s="2291"/>
      <c r="B89" s="446"/>
      <c r="D89" s="600" t="s">
        <v>795</v>
      </c>
      <c r="E89" s="658" t="s">
        <v>914</v>
      </c>
      <c r="F89" s="595" t="s">
        <v>858</v>
      </c>
      <c r="G89" s="659"/>
      <c r="H89" s="951"/>
      <c r="I89" s="659"/>
      <c r="J89" s="951"/>
      <c r="K89" s="225"/>
      <c r="X89" s="691">
        <v>0</v>
      </c>
    </row>
    <row r="90" spans="1:24" s="1560" customFormat="1" ht="11.25" hidden="1" customHeight="1">
      <c r="A90" s="2291"/>
      <c r="B90" s="446"/>
      <c r="D90" s="600" t="s">
        <v>798</v>
      </c>
      <c r="E90" s="658" t="s">
        <v>915</v>
      </c>
      <c r="F90" s="595" t="s">
        <v>858</v>
      </c>
      <c r="G90" s="659"/>
      <c r="H90" s="951"/>
      <c r="I90" s="659"/>
      <c r="J90" s="951"/>
      <c r="K90" s="225"/>
      <c r="X90" s="691">
        <v>0</v>
      </c>
    </row>
    <row r="91" spans="1:24" s="1560" customFormat="1" ht="11.25" hidden="1" customHeight="1">
      <c r="A91" s="2291"/>
      <c r="B91" s="446"/>
      <c r="D91" s="600" t="s">
        <v>876</v>
      </c>
      <c r="E91" s="658" t="s">
        <v>916</v>
      </c>
      <c r="F91" s="595" t="s">
        <v>858</v>
      </c>
      <c r="G91" s="659"/>
      <c r="H91" s="951"/>
      <c r="I91" s="659"/>
      <c r="J91" s="951"/>
      <c r="K91" s="225"/>
      <c r="X91" s="691">
        <v>0</v>
      </c>
    </row>
    <row r="92" spans="1:24" s="1560" customFormat="1" ht="11.25" hidden="1" customHeight="1">
      <c r="A92" s="2291"/>
      <c r="B92" s="446"/>
      <c r="D92" s="600" t="s">
        <v>878</v>
      </c>
      <c r="E92" s="658" t="s">
        <v>918</v>
      </c>
      <c r="F92" s="595" t="s">
        <v>858</v>
      </c>
      <c r="G92" s="659"/>
      <c r="H92" s="951"/>
      <c r="I92" s="659"/>
      <c r="J92" s="951"/>
      <c r="K92" s="225"/>
      <c r="X92" s="691">
        <v>0</v>
      </c>
    </row>
    <row r="93" spans="1:24" s="1560" customFormat="1" ht="11.25" hidden="1" customHeight="1">
      <c r="A93" s="2291"/>
      <c r="B93" s="446"/>
      <c r="D93" s="600" t="s">
        <v>925</v>
      </c>
      <c r="E93" s="658" t="s">
        <v>920</v>
      </c>
      <c r="F93" s="595" t="s">
        <v>858</v>
      </c>
      <c r="G93" s="659"/>
      <c r="H93" s="951"/>
      <c r="I93" s="659"/>
      <c r="J93" s="951"/>
      <c r="K93" s="225"/>
      <c r="X93" s="691">
        <v>0</v>
      </c>
    </row>
    <row r="94" spans="1:24" s="1560" customFormat="1" ht="11.25" hidden="1" customHeight="1">
      <c r="A94" s="2291"/>
      <c r="B94" s="446"/>
      <c r="D94" s="600" t="s">
        <v>926</v>
      </c>
      <c r="E94" s="658" t="s">
        <v>922</v>
      </c>
      <c r="F94" s="595" t="s">
        <v>858</v>
      </c>
      <c r="G94" s="659"/>
      <c r="H94" s="951"/>
      <c r="I94" s="659"/>
      <c r="J94" s="951"/>
      <c r="K94" s="225"/>
      <c r="X94" s="691">
        <v>0</v>
      </c>
    </row>
    <row r="95" spans="1:24" s="1560" customFormat="1" ht="24.75" hidden="1" customHeight="1">
      <c r="A95" s="2291"/>
      <c r="B95" s="446"/>
      <c r="D95" s="600" t="s">
        <v>111</v>
      </c>
      <c r="E95" s="601" t="s">
        <v>927</v>
      </c>
      <c r="F95" s="660" t="s">
        <v>557</v>
      </c>
      <c r="G95" s="662"/>
      <c r="H95" s="951"/>
      <c r="I95" s="662"/>
      <c r="J95" s="951"/>
      <c r="K95" s="225" t="s">
        <v>928</v>
      </c>
      <c r="X95" s="691">
        <v>0</v>
      </c>
    </row>
    <row r="96" spans="1:24" s="1560" customFormat="1" ht="33.75" hidden="1" customHeight="1">
      <c r="A96" s="2291"/>
      <c r="B96" s="446"/>
      <c r="D96" s="600" t="s">
        <v>92</v>
      </c>
      <c r="E96" s="601" t="s">
        <v>929</v>
      </c>
      <c r="F96" s="661" t="s">
        <v>819</v>
      </c>
      <c r="G96" s="663"/>
      <c r="H96" s="951"/>
      <c r="I96" s="663"/>
      <c r="J96" s="951"/>
      <c r="K96" s="225"/>
      <c r="X96" s="691">
        <v>0</v>
      </c>
    </row>
    <row r="97" spans="1:24" s="1560" customFormat="1" ht="22.5" hidden="1" customHeight="1">
      <c r="A97" s="2291"/>
      <c r="B97" s="446" t="s">
        <v>587</v>
      </c>
      <c r="D97" s="600" t="s">
        <v>93</v>
      </c>
      <c r="E97" s="601" t="s">
        <v>930</v>
      </c>
      <c r="F97" s="661" t="s">
        <v>305</v>
      </c>
      <c r="G97" s="320"/>
      <c r="H97" s="951"/>
      <c r="I97" s="320"/>
      <c r="J97" s="951"/>
      <c r="K97" s="225" t="s">
        <v>630</v>
      </c>
      <c r="X97" s="691">
        <v>0</v>
      </c>
    </row>
    <row r="98" spans="1:24" s="1560" customFormat="1" ht="45" hidden="1" customHeight="1">
      <c r="A98" s="2291"/>
      <c r="B98" s="446" t="s">
        <v>587</v>
      </c>
      <c r="D98" s="600" t="s">
        <v>931</v>
      </c>
      <c r="E98" s="602" t="s">
        <v>932</v>
      </c>
      <c r="F98" s="656" t="s">
        <v>305</v>
      </c>
      <c r="G98" s="320"/>
      <c r="H98" s="951"/>
      <c r="I98" s="320"/>
      <c r="J98" s="951"/>
      <c r="K98" s="225" t="s">
        <v>630</v>
      </c>
      <c r="X98" s="691">
        <v>0</v>
      </c>
    </row>
    <row r="99" spans="1:24" s="1560" customFormat="1" ht="95.25" hidden="1" customHeight="1">
      <c r="A99" s="2291"/>
      <c r="B99" s="446" t="s">
        <v>587</v>
      </c>
      <c r="D99" s="600" t="s">
        <v>112</v>
      </c>
      <c r="E99" s="601" t="s">
        <v>933</v>
      </c>
      <c r="F99" s="656" t="s">
        <v>305</v>
      </c>
      <c r="G99" s="320"/>
      <c r="H99" s="951"/>
      <c r="I99" s="320"/>
      <c r="J99" s="951"/>
      <c r="K99" s="225" t="s">
        <v>630</v>
      </c>
      <c r="X99" s="691">
        <v>0</v>
      </c>
    </row>
    <row r="100" spans="1:24" s="1560" customFormat="1" ht="22.5" hidden="1" customHeight="1">
      <c r="A100" s="2291"/>
      <c r="B100" s="446" t="s">
        <v>587</v>
      </c>
      <c r="D100" s="600" t="s">
        <v>149</v>
      </c>
      <c r="E100" s="601" t="s">
        <v>934</v>
      </c>
      <c r="F100" s="656" t="s">
        <v>305</v>
      </c>
      <c r="G100" s="320"/>
      <c r="H100" s="951"/>
      <c r="I100" s="320"/>
      <c r="J100" s="951"/>
      <c r="K100" s="225" t="s">
        <v>630</v>
      </c>
      <c r="X100" s="691">
        <v>0</v>
      </c>
    </row>
    <row r="101" spans="1:24" s="1560" customFormat="1" ht="11.45" customHeight="1">
      <c r="A101" s="961"/>
      <c r="B101" s="453"/>
      <c r="D101" s="962"/>
      <c r="E101" s="963"/>
      <c r="X101" s="444">
        <v>11</v>
      </c>
    </row>
    <row r="102" spans="1:24" ht="22.5" hidden="1" customHeight="1">
      <c r="A102" s="471" t="s">
        <v>82</v>
      </c>
      <c r="B102" s="446">
        <v>0</v>
      </c>
      <c r="C102" s="440">
        <v>3</v>
      </c>
      <c r="D102" s="440">
        <v>7</v>
      </c>
      <c r="E102" s="440">
        <v>69</v>
      </c>
      <c r="F102" s="440">
        <v>10</v>
      </c>
      <c r="G102" s="440">
        <v>0</v>
      </c>
      <c r="H102" s="440">
        <v>0</v>
      </c>
      <c r="I102" s="691">
        <v>43</v>
      </c>
      <c r="J102" s="691">
        <v>43</v>
      </c>
      <c r="K102" s="440">
        <v>73</v>
      </c>
      <c r="L102" s="440">
        <v>3</v>
      </c>
      <c r="M102" s="440">
        <v>10</v>
      </c>
      <c r="N102" s="440">
        <v>10</v>
      </c>
      <c r="O102" s="440">
        <v>10</v>
      </c>
      <c r="P102" s="440">
        <v>10</v>
      </c>
      <c r="Q102" s="440">
        <v>10</v>
      </c>
      <c r="R102" s="440">
        <v>10</v>
      </c>
      <c r="S102" s="440">
        <v>10</v>
      </c>
      <c r="T102" s="440">
        <v>10</v>
      </c>
      <c r="U102" s="440">
        <v>10</v>
      </c>
      <c r="V102" s="440">
        <v>10</v>
      </c>
      <c r="W102" s="440">
        <v>10</v>
      </c>
      <c r="X102" s="440">
        <v>23</v>
      </c>
    </row>
  </sheetData>
  <sheetProtection formatColumns="0" formatRows="0" insertRows="0" deleteColumns="0" deleteRows="0" sort="0" autoFilter="0"/>
  <mergeCells count="18">
    <mergeCell ref="D3:F3"/>
    <mergeCell ref="K7:K11"/>
    <mergeCell ref="G7:H7"/>
    <mergeCell ref="E7:F7"/>
    <mergeCell ref="E8:F8"/>
    <mergeCell ref="E9:F9"/>
    <mergeCell ref="G8:H8"/>
    <mergeCell ref="G9:H9"/>
    <mergeCell ref="D4:F4"/>
    <mergeCell ref="I7:J7"/>
    <mergeCell ref="I8:J8"/>
    <mergeCell ref="I9:J9"/>
    <mergeCell ref="D10:J10"/>
    <mergeCell ref="A37:A63"/>
    <mergeCell ref="A65:A75"/>
    <mergeCell ref="A77:A100"/>
    <mergeCell ref="A13:A35"/>
    <mergeCell ref="A11:B11"/>
  </mergeCells>
  <dataValidations count="6">
    <dataValidation type="list" allowBlank="1" showInputMessage="1" errorTitle="Ошибка" error="Укажите значение вручную или выберите из списка!" prompt="Укажите значение вручную или выберите из списка" sqref="G19 I19">
      <formula1>"Не утверждены"</formula1>
    </dataValidation>
    <dataValidation type="decimal" allowBlank="1" showErrorMessage="1" errorTitle="Ошибка" error="Введите значение от 0 до 100%" sqref="G31 G95 G60 G72 G42:G43 G69:G70 I31 I95 I60 I72 I42:I43 I69:I70">
      <formula1>0</formula1>
      <formula2>100</formula2>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H31:H32 J31:J32 G62:G63 G74:G75 G97:G100 I62:I63 I74:I75 I97:I100 H13:H14 H19 J19 J13:J14">
      <formula1>900</formula1>
    </dataValidation>
    <dataValidation type="decimal" allowBlank="1" showErrorMessage="1" errorTitle="Ошибка" error="Допускается ввод только неотрицательных чисел!" sqref="G32 G67:G68 G39:G40 G37 G44:G59 G61 G77:G94 G73 G71 G96 G65 G18 G13:G14 G29:G30 G26:G27 I32 I67:I68 I39:I40 I37 I44:I59 I61 I77:I94 I73 I71 I96 I65 I18 I13:I14 I29:I30 I26:I27 I21:I22 G24 G21:G22 I24">
      <formula1>0</formula1>
      <formula2>9.99999999999999E+23</formula2>
    </dataValidation>
    <dataValidation type="whole" allowBlank="1" showErrorMessage="1" errorTitle="Ошибка" error="Допускается ввод только неотрицательных целых чисел!" sqref="G16:G17 I16:I17">
      <formula1>0</formula1>
      <formula2>9.99999999999999E+23</formula2>
    </dataValidation>
    <dataValidation type="textLength" operator="lessThanOrEqual" allowBlank="1" showInputMessage="1" showErrorMessage="1" errorTitle="Ошибка" error="Допускается ввод не более 900 символов!" sqref="H21:H22 H29:H30 H24 H26:H27 H15:H18 J26:J27 J15:J18 J21:J22 J29:J30 J24">
      <formula1>900</formula1>
    </dataValidation>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E26B0A"/>
    <pageSetUpPr fitToPage="1"/>
  </sheetPr>
  <dimension ref="A1:V40"/>
  <sheetViews>
    <sheetView showGridLines="0" zoomScale="90" workbookViewId="0">
      <pane xSplit="8" ySplit="31" topLeftCell="I32" activePane="bottomRight" state="frozen"/>
      <selection pane="topRight" activeCell="I1" sqref="I1"/>
      <selection pane="bottomLeft" activeCell="A32" sqref="A32"/>
      <selection pane="bottomRight" activeCell="I38" sqref="I38"/>
    </sheetView>
  </sheetViews>
  <sheetFormatPr defaultColWidth="10.5703125" defaultRowHeight="15" customHeight="1"/>
  <cols>
    <col min="1" max="1" width="9.140625" style="1557" hidden="1" customWidth="1"/>
    <col min="2" max="2" width="9.140625" style="1560" hidden="1" customWidth="1"/>
    <col min="3" max="3" width="4" style="618" customWidth="1"/>
    <col min="4" max="4" width="6" style="1560" customWidth="1"/>
    <col min="5" max="5" width="36" style="1560" customWidth="1"/>
    <col min="6" max="6" width="9" style="1560" customWidth="1"/>
    <col min="7" max="7" width="25.7109375" style="1560" hidden="1" customWidth="1"/>
    <col min="8" max="8" width="33.7109375" style="1560" hidden="1" customWidth="1"/>
    <col min="9" max="9" width="25.7109375" style="1560" customWidth="1"/>
    <col min="10" max="10" width="33" style="1560" customWidth="1"/>
    <col min="11" max="11" width="93" style="1291" customWidth="1"/>
    <col min="12" max="20" width="10" style="1560" customWidth="1"/>
    <col min="21" max="21" width="10" style="610" customWidth="1"/>
    <col min="22" max="22" width="10.5703125" style="1560" hidden="1"/>
  </cols>
  <sheetData>
    <row r="1" spans="1:22" s="1291" customFormat="1" ht="22.5" hidden="1" customHeight="1">
      <c r="C1" s="607"/>
      <c r="G1" s="352">
        <v>4</v>
      </c>
      <c r="I1" s="352">
        <v>4</v>
      </c>
      <c r="U1" s="355"/>
      <c r="V1" s="352" t="s">
        <v>14</v>
      </c>
    </row>
    <row r="2" spans="1:22" s="1291" customFormat="1" ht="15" hidden="1" customHeight="1">
      <c r="C2" s="607"/>
      <c r="U2" s="355"/>
      <c r="V2" s="352">
        <v>0</v>
      </c>
    </row>
    <row r="3" spans="1:22" ht="22.5" hidden="1" customHeight="1">
      <c r="A3" s="440"/>
      <c r="B3" s="2296"/>
      <c r="C3" s="2297" t="s">
        <v>688</v>
      </c>
      <c r="D3" s="624" t="str">
        <f>B3&amp;".1"</f>
        <v>.1</v>
      </c>
      <c r="E3" s="625" t="s">
        <v>935</v>
      </c>
      <c r="F3" s="626" t="s">
        <v>305</v>
      </c>
      <c r="G3" s="621"/>
      <c r="H3" s="336"/>
      <c r="I3" s="621"/>
      <c r="J3" s="336"/>
      <c r="K3" s="225" t="s">
        <v>936</v>
      </c>
      <c r="V3" s="440">
        <v>0</v>
      </c>
    </row>
    <row r="4" spans="1:22" ht="15" hidden="1" customHeight="1">
      <c r="A4" s="440"/>
      <c r="B4" s="2296"/>
      <c r="C4" s="2297"/>
      <c r="D4" s="624" t="str">
        <f>B3&amp;".2"</f>
        <v>.2</v>
      </c>
      <c r="E4" s="625" t="s">
        <v>937</v>
      </c>
      <c r="F4" s="626" t="s">
        <v>305</v>
      </c>
      <c r="G4" s="1663" t="s">
        <v>22</v>
      </c>
      <c r="H4" s="336"/>
      <c r="I4" s="1663" t="s">
        <v>22</v>
      </c>
      <c r="J4" s="336"/>
      <c r="K4" s="225" t="s">
        <v>938</v>
      </c>
      <c r="V4" s="440">
        <v>0</v>
      </c>
    </row>
    <row r="5" spans="1:22" s="1291" customFormat="1" ht="15" hidden="1" customHeight="1">
      <c r="C5" s="607"/>
      <c r="U5" s="355"/>
      <c r="V5" s="352">
        <v>0</v>
      </c>
    </row>
    <row r="6" spans="1:22" ht="22.5" hidden="1" customHeight="1">
      <c r="A6" s="440"/>
      <c r="B6" s="2296"/>
      <c r="C6" s="2297" t="s">
        <v>688</v>
      </c>
      <c r="D6" s="624" t="str">
        <f>B6&amp;".1"</f>
        <v>.1</v>
      </c>
      <c r="E6" s="625" t="s">
        <v>939</v>
      </c>
      <c r="F6" s="626" t="s">
        <v>305</v>
      </c>
      <c r="G6" s="621"/>
      <c r="H6" s="336"/>
      <c r="I6" s="621"/>
      <c r="J6" s="336"/>
      <c r="K6" s="225" t="s">
        <v>940</v>
      </c>
      <c r="V6" s="440">
        <v>0</v>
      </c>
    </row>
    <row r="7" spans="1:22" ht="15" hidden="1" customHeight="1">
      <c r="A7" s="440"/>
      <c r="B7" s="2296"/>
      <c r="C7" s="2297"/>
      <c r="D7" s="624" t="str">
        <f>B6&amp;".2"</f>
        <v>.2</v>
      </c>
      <c r="E7" s="625" t="s">
        <v>937</v>
      </c>
      <c r="F7" s="626" t="s">
        <v>305</v>
      </c>
      <c r="G7" s="1663" t="s">
        <v>22</v>
      </c>
      <c r="H7" s="336"/>
      <c r="I7" s="1663" t="s">
        <v>22</v>
      </c>
      <c r="J7" s="336"/>
      <c r="K7" s="225" t="s">
        <v>938</v>
      </c>
      <c r="V7" s="440">
        <v>0</v>
      </c>
    </row>
    <row r="8" spans="1:22" s="1291" customFormat="1" ht="15" hidden="1" customHeight="1">
      <c r="C8" s="607"/>
      <c r="U8" s="355"/>
      <c r="V8" s="352">
        <v>0</v>
      </c>
    </row>
    <row r="9" spans="1:22" ht="22.5" hidden="1" customHeight="1">
      <c r="A9" s="440"/>
      <c r="B9" s="2296"/>
      <c r="C9" s="2297" t="s">
        <v>688</v>
      </c>
      <c r="D9" s="624" t="str">
        <f>B9&amp;".1"</f>
        <v>.1</v>
      </c>
      <c r="E9" s="625" t="s">
        <v>941</v>
      </c>
      <c r="F9" s="626" t="s">
        <v>305</v>
      </c>
      <c r="G9" s="632" t="s">
        <v>22</v>
      </c>
      <c r="H9" s="336" t="s">
        <v>22</v>
      </c>
      <c r="I9" s="2016" t="s">
        <v>22</v>
      </c>
      <c r="J9" s="2017" t="s">
        <v>22</v>
      </c>
      <c r="K9" s="225"/>
      <c r="V9" s="440">
        <v>0</v>
      </c>
    </row>
    <row r="10" spans="1:22" ht="15" hidden="1" customHeight="1">
      <c r="A10" s="440"/>
      <c r="B10" s="2296"/>
      <c r="C10" s="2297"/>
      <c r="D10" s="624" t="str">
        <f>B9&amp;".2"</f>
        <v>.2</v>
      </c>
      <c r="E10" s="625" t="s">
        <v>942</v>
      </c>
      <c r="F10" s="626" t="s">
        <v>305</v>
      </c>
      <c r="G10" s="1657" t="s">
        <v>22</v>
      </c>
      <c r="H10" s="336" t="s">
        <v>22</v>
      </c>
      <c r="I10" s="2018" t="s">
        <v>22</v>
      </c>
      <c r="J10" s="2017" t="s">
        <v>22</v>
      </c>
      <c r="K10" s="225" t="s">
        <v>943</v>
      </c>
      <c r="V10" s="440">
        <v>0</v>
      </c>
    </row>
    <row r="11" spans="1:22" ht="15" hidden="1" customHeight="1">
      <c r="A11" s="440"/>
      <c r="B11" s="2296"/>
      <c r="C11" s="2297"/>
      <c r="D11" s="624" t="str">
        <f>B9&amp;".3"</f>
        <v>.3</v>
      </c>
      <c r="E11" s="625" t="s">
        <v>944</v>
      </c>
      <c r="F11" s="626" t="s">
        <v>305</v>
      </c>
      <c r="G11" s="1657" t="s">
        <v>22</v>
      </c>
      <c r="H11" s="336" t="s">
        <v>22</v>
      </c>
      <c r="I11" s="2018" t="s">
        <v>22</v>
      </c>
      <c r="J11" s="2017" t="s">
        <v>22</v>
      </c>
      <c r="K11" s="225" t="s">
        <v>945</v>
      </c>
      <c r="V11" s="440">
        <v>0</v>
      </c>
    </row>
    <row r="12" spans="1:22" s="1291" customFormat="1" ht="15" hidden="1" customHeight="1">
      <c r="C12" s="607"/>
      <c r="U12" s="355"/>
      <c r="V12" s="352">
        <v>0</v>
      </c>
    </row>
    <row r="13" spans="1:22" ht="33.75" hidden="1" customHeight="1">
      <c r="A13" s="440"/>
      <c r="B13" s="2296"/>
      <c r="C13" s="2297" t="s">
        <v>688</v>
      </c>
      <c r="D13" s="624" t="str">
        <f>B13&amp;".1"</f>
        <v>.1</v>
      </c>
      <c r="E13" s="625" t="s">
        <v>946</v>
      </c>
      <c r="F13" s="626" t="s">
        <v>305</v>
      </c>
      <c r="G13" s="632" t="s">
        <v>22</v>
      </c>
      <c r="H13" s="336" t="s">
        <v>22</v>
      </c>
      <c r="I13" s="2016" t="s">
        <v>22</v>
      </c>
      <c r="J13" s="2017" t="s">
        <v>22</v>
      </c>
      <c r="K13" s="225" t="s">
        <v>947</v>
      </c>
      <c r="V13" s="440">
        <v>0</v>
      </c>
    </row>
    <row r="14" spans="1:22" ht="15" hidden="1" customHeight="1">
      <c r="B14" s="2296"/>
      <c r="C14" s="2297"/>
      <c r="D14" s="624" t="str">
        <f>B13&amp;".2"</f>
        <v>.2</v>
      </c>
      <c r="E14" s="625" t="s">
        <v>948</v>
      </c>
      <c r="F14" s="626" t="s">
        <v>305</v>
      </c>
      <c r="G14" s="1657" t="s">
        <v>22</v>
      </c>
      <c r="H14" s="336" t="s">
        <v>22</v>
      </c>
      <c r="I14" s="2018" t="s">
        <v>22</v>
      </c>
      <c r="J14" s="2017" t="s">
        <v>22</v>
      </c>
      <c r="K14" s="225" t="s">
        <v>949</v>
      </c>
      <c r="V14" s="440">
        <v>0</v>
      </c>
    </row>
    <row r="15" spans="1:22" s="1291" customFormat="1" ht="15" hidden="1" customHeight="1">
      <c r="C15" s="607"/>
      <c r="U15" s="355"/>
      <c r="V15" s="352">
        <v>0</v>
      </c>
    </row>
    <row r="16" spans="1:22" s="1291" customFormat="1" ht="15" hidden="1" customHeight="1">
      <c r="C16" s="607"/>
      <c r="U16" s="355"/>
      <c r="V16" s="352">
        <v>0</v>
      </c>
    </row>
    <row r="17" spans="1:22" s="1291" customFormat="1" ht="15" hidden="1" customHeight="1">
      <c r="C17" s="607"/>
      <c r="U17" s="355"/>
      <c r="V17" s="352">
        <v>0</v>
      </c>
    </row>
    <row r="18" spans="1:22" s="1291" customFormat="1" ht="15" hidden="1" customHeight="1">
      <c r="C18" s="607"/>
      <c r="U18" s="355"/>
      <c r="V18" s="352">
        <v>0</v>
      </c>
    </row>
    <row r="19" spans="1:22" s="1291" customFormat="1" ht="15" hidden="1" customHeight="1">
      <c r="C19" s="607"/>
      <c r="U19" s="355"/>
      <c r="V19" s="352">
        <v>0</v>
      </c>
    </row>
    <row r="20" spans="1:22" s="1291" customFormat="1" ht="15" hidden="1" customHeight="1">
      <c r="C20" s="607"/>
      <c r="U20" s="355"/>
      <c r="V20" s="352">
        <v>0</v>
      </c>
    </row>
    <row r="21" spans="1:22" ht="15.75" customHeight="1">
      <c r="C21" s="112"/>
      <c r="D21" s="444"/>
      <c r="E21" s="444"/>
      <c r="F21" s="444"/>
      <c r="G21" s="444"/>
      <c r="H21" s="444"/>
      <c r="I21" s="444"/>
      <c r="J21" s="444"/>
      <c r="V21" s="440">
        <v>15</v>
      </c>
    </row>
    <row r="22" spans="1:22" ht="23.25" customHeight="1">
      <c r="C22" s="112"/>
      <c r="D22" s="2170" t="str">
        <f>KNE_NAME_FORM</f>
        <v>Форма 12. Информация об основных потребительских характеристиках товаров, услуг регулируемой организации, цены (тарифы) в сфере теплоснабжения на которые подлежат регулированию, об основных потребительских характеристиках товаров (услуг), поставляемых (оказываемых) единой теплоснабжающей организацией в ценовых зонах теплоснабжения, об основных потребительских характеристиках товаров (услуг), поставляемых (оказываемых) теплоснабжающей организацией в ценовых зонах теплоснабжения и теплосетевой организацией в ценовых зонах теплоснабжения</v>
      </c>
      <c r="E22" s="2170"/>
      <c r="F22" s="2170"/>
      <c r="G22" s="2170"/>
      <c r="H22" s="2170"/>
      <c r="I22" s="2170"/>
      <c r="J22" s="611"/>
      <c r="K22" s="472"/>
      <c r="V22" s="440">
        <v>22</v>
      </c>
    </row>
    <row r="23" spans="1:22" ht="15.75" customHeight="1">
      <c r="C23" s="112"/>
      <c r="D23" s="2115" t="str">
        <f>IF(org=0,"Не определено",org)</f>
        <v>ООО "ЗЕНИТ ЭНЕРГО"</v>
      </c>
      <c r="E23" s="2115"/>
      <c r="F23" s="2115"/>
      <c r="G23" s="2115"/>
      <c r="H23" s="2115"/>
      <c r="I23" s="2115"/>
      <c r="J23" s="611"/>
      <c r="K23" s="472"/>
      <c r="V23" s="440">
        <v>15</v>
      </c>
    </row>
    <row r="24" spans="1:22" ht="15.75" customHeight="1">
      <c r="C24" s="112"/>
      <c r="D24" s="444"/>
      <c r="E24" s="444"/>
      <c r="F24" s="444"/>
      <c r="G24" s="472">
        <v>22</v>
      </c>
      <c r="H24" s="687"/>
      <c r="I24" s="472">
        <v>22</v>
      </c>
      <c r="J24" s="687"/>
      <c r="V24" s="440">
        <v>15</v>
      </c>
    </row>
    <row r="25" spans="1:22" s="1560" customFormat="1" ht="1.1499999999999999" customHeight="1">
      <c r="A25" s="692"/>
      <c r="C25" s="112"/>
      <c r="D25" s="444"/>
      <c r="E25" s="444"/>
      <c r="F25" s="444"/>
      <c r="G25" s="472"/>
      <c r="H25" s="687"/>
      <c r="I25" s="472" t="s">
        <v>117</v>
      </c>
      <c r="J25" s="687"/>
      <c r="K25" s="352"/>
      <c r="U25" s="610"/>
      <c r="V25" s="691">
        <v>1</v>
      </c>
    </row>
    <row r="26" spans="1:22" ht="15.75" customHeight="1">
      <c r="C26" s="112"/>
      <c r="D26" s="646"/>
      <c r="E26" s="2269" t="s">
        <v>105</v>
      </c>
      <c r="F26" s="2270"/>
      <c r="G26" s="2294" t="str">
        <f>IF(G25="","",INDEX(DIFFERENTIATION_UNMERGE_VD,MATCH(G25,DIFFERENTIATION_ID_DIFF,0)))</f>
        <v/>
      </c>
      <c r="H26" s="2295"/>
      <c r="I26" s="2294" t="str">
        <f>IF(I25="","",INDEX(DIFFERENTIATION_UNMERGE_VD,MATCH(I25,DIFFERENTIATION_ID_DIFF,0)))</f>
        <v>Производство тепловой энергии. Некомбинированная выработка; Передача. Тепловая энергия; Сбыт. Тепловая энергия</v>
      </c>
      <c r="J26" s="2295"/>
      <c r="K26" s="2114" t="s">
        <v>300</v>
      </c>
      <c r="V26" s="440">
        <v>15</v>
      </c>
    </row>
    <row r="27" spans="1:22" s="1560" customFormat="1" ht="15.75" customHeight="1">
      <c r="A27" s="692"/>
      <c r="C27" s="112"/>
      <c r="D27" s="646"/>
      <c r="E27" s="2269" t="s">
        <v>563</v>
      </c>
      <c r="F27" s="2270"/>
      <c r="G27" s="2294" t="str">
        <f>IF(G25="","",INDEX(DIFFERENTIATION_UNMERGE_AREA,MATCH(G25,DIFFERENTIATION_ID_DIFF,0)))</f>
        <v/>
      </c>
      <c r="H27" s="2295"/>
      <c r="I27" s="2294" t="str">
        <f>IF(I25="","",INDEX(DIFFERENTIATION_UNMERGE_AREA,MATCH(I25,DIFFERENTIATION_ID_DIFF,0)))</f>
        <v>Территория 1</v>
      </c>
      <c r="J27" s="2295"/>
      <c r="K27" s="2134"/>
      <c r="U27" s="610"/>
      <c r="V27" s="691">
        <v>15</v>
      </c>
    </row>
    <row r="28" spans="1:22" s="1560" customFormat="1" ht="15.75" customHeight="1">
      <c r="A28" s="692"/>
      <c r="C28" s="112"/>
      <c r="D28" s="646"/>
      <c r="E28" s="2269" t="s">
        <v>564</v>
      </c>
      <c r="F28" s="2270"/>
      <c r="G28" s="2294" t="str">
        <f>IF(G25="","",INDEX(DIFFERENTIATION_UNMERGE_SYSTEM,MATCH(G25,DIFFERENTIATION_ID_DIFF,0)))</f>
        <v/>
      </c>
      <c r="H28" s="2295"/>
      <c r="I28" s="2294" t="str">
        <f>IF(I25="","",INDEX(DIFFERENTIATION_UNMERGE_SYSTEM,MATCH(I25,DIFFERENTIATION_ID_DIFF,0)))</f>
        <v>без дифференциации</v>
      </c>
      <c r="J28" s="2295"/>
      <c r="K28" s="2134"/>
      <c r="U28" s="610"/>
      <c r="V28" s="691">
        <v>15</v>
      </c>
    </row>
    <row r="29" spans="1:22" s="1560" customFormat="1" ht="15.75" customHeight="1">
      <c r="A29" s="692"/>
      <c r="C29" s="112"/>
      <c r="D29" s="2271" t="s">
        <v>299</v>
      </c>
      <c r="E29" s="2272"/>
      <c r="F29" s="2272"/>
      <c r="G29" s="815"/>
      <c r="H29" s="815"/>
      <c r="I29" s="815"/>
      <c r="J29" s="816"/>
      <c r="K29" s="2134"/>
      <c r="U29" s="610"/>
      <c r="V29" s="691">
        <v>15</v>
      </c>
    </row>
    <row r="30" spans="1:22" ht="35.65" customHeight="1">
      <c r="C30" s="112"/>
      <c r="D30" s="694" t="s">
        <v>88</v>
      </c>
      <c r="E30" s="693" t="s">
        <v>301</v>
      </c>
      <c r="F30" s="693" t="s">
        <v>565</v>
      </c>
      <c r="G30" s="737" t="s">
        <v>302</v>
      </c>
      <c r="H30" s="736" t="s">
        <v>389</v>
      </c>
      <c r="I30" s="619" t="s">
        <v>302</v>
      </c>
      <c r="J30" s="400" t="s">
        <v>389</v>
      </c>
      <c r="K30" s="2137"/>
      <c r="V30" s="440">
        <v>34</v>
      </c>
    </row>
    <row r="31" spans="1:22" ht="15" hidden="1" customHeight="1">
      <c r="C31" s="112"/>
      <c r="D31" s="528"/>
      <c r="E31" s="528"/>
      <c r="F31" s="528"/>
      <c r="G31" s="594"/>
      <c r="H31" s="594"/>
      <c r="I31" s="594"/>
      <c r="J31" s="594"/>
      <c r="K31" s="225"/>
      <c r="V31" s="440">
        <v>0</v>
      </c>
    </row>
    <row r="32" spans="1:22" ht="24" customHeight="1">
      <c r="A32" s="440"/>
      <c r="B32" s="440" t="s">
        <v>950</v>
      </c>
      <c r="C32" s="461"/>
      <c r="D32" s="627">
        <v>1</v>
      </c>
      <c r="E32" s="628" t="s">
        <v>951</v>
      </c>
      <c r="F32" s="626" t="s">
        <v>305</v>
      </c>
      <c r="G32" s="742" t="s">
        <v>305</v>
      </c>
      <c r="H32" s="742" t="s">
        <v>305</v>
      </c>
      <c r="I32" s="626" t="s">
        <v>305</v>
      </c>
      <c r="J32" s="626" t="s">
        <v>305</v>
      </c>
      <c r="K32" s="225"/>
      <c r="V32" s="440">
        <v>23</v>
      </c>
    </row>
    <row r="33" spans="1:22" ht="11.45" customHeight="1">
      <c r="A33" s="440"/>
      <c r="C33" s="440"/>
      <c r="D33" s="283"/>
      <c r="E33" s="515" t="s">
        <v>585</v>
      </c>
      <c r="F33" s="507"/>
      <c r="G33" s="507"/>
      <c r="H33" s="507"/>
      <c r="I33" s="507"/>
      <c r="J33" s="507"/>
      <c r="K33" s="508"/>
      <c r="U33" s="440"/>
      <c r="V33" s="440">
        <v>11</v>
      </c>
    </row>
    <row r="34" spans="1:22" ht="24" customHeight="1">
      <c r="A34" s="440"/>
      <c r="B34" s="516" t="s">
        <v>635</v>
      </c>
      <c r="C34" s="461"/>
      <c r="D34" s="627">
        <v>2</v>
      </c>
      <c r="E34" s="628" t="s">
        <v>952</v>
      </c>
      <c r="F34" s="749" t="s">
        <v>305</v>
      </c>
      <c r="G34" s="749" t="s">
        <v>305</v>
      </c>
      <c r="H34" s="749" t="s">
        <v>305</v>
      </c>
      <c r="I34" s="626"/>
      <c r="J34" s="626"/>
      <c r="K34" s="225"/>
      <c r="V34" s="440">
        <v>23</v>
      </c>
    </row>
    <row r="35" spans="1:22" ht="11.45" customHeight="1">
      <c r="A35" s="440"/>
      <c r="C35" s="440"/>
      <c r="D35" s="283"/>
      <c r="E35" s="515" t="s">
        <v>953</v>
      </c>
      <c r="F35" s="507"/>
      <c r="G35" s="629"/>
      <c r="H35" s="507"/>
      <c r="I35" s="629"/>
      <c r="J35" s="507"/>
      <c r="K35" s="508"/>
      <c r="U35" s="440"/>
      <c r="V35" s="440">
        <v>11</v>
      </c>
    </row>
    <row r="36" spans="1:22" ht="71.25" customHeight="1">
      <c r="A36" s="440"/>
      <c r="B36" s="440" t="s">
        <v>954</v>
      </c>
      <c r="C36" s="461"/>
      <c r="D36" s="627">
        <v>3</v>
      </c>
      <c r="E36" s="628" t="s">
        <v>955</v>
      </c>
      <c r="F36" s="630" t="s">
        <v>305</v>
      </c>
      <c r="G36" s="743" t="s">
        <v>956</v>
      </c>
      <c r="H36" s="742" t="s">
        <v>305</v>
      </c>
      <c r="I36" s="459" t="s">
        <v>957</v>
      </c>
      <c r="J36" s="626" t="s">
        <v>305</v>
      </c>
      <c r="K36" s="225" t="s">
        <v>958</v>
      </c>
      <c r="V36" s="440">
        <v>68</v>
      </c>
    </row>
    <row r="37" spans="1:22" ht="11.45" customHeight="1">
      <c r="A37" s="440"/>
      <c r="C37" s="440"/>
      <c r="D37" s="283"/>
      <c r="E37" s="515" t="s">
        <v>959</v>
      </c>
      <c r="F37" s="507"/>
      <c r="G37" s="629"/>
      <c r="H37" s="629"/>
      <c r="I37" s="629"/>
      <c r="J37" s="629"/>
      <c r="K37" s="508"/>
      <c r="U37" s="440"/>
      <c r="V37" s="440">
        <v>11</v>
      </c>
    </row>
    <row r="38" spans="1:22" ht="71.25" customHeight="1">
      <c r="A38" s="440"/>
      <c r="B38" s="440" t="s">
        <v>960</v>
      </c>
      <c r="C38" s="461"/>
      <c r="D38" s="627">
        <v>4</v>
      </c>
      <c r="E38" s="628" t="s">
        <v>961</v>
      </c>
      <c r="F38" s="630" t="s">
        <v>305</v>
      </c>
      <c r="G38" s="743" t="s">
        <v>956</v>
      </c>
      <c r="H38" s="744" t="s">
        <v>305</v>
      </c>
      <c r="I38" s="459" t="s">
        <v>957</v>
      </c>
      <c r="J38" s="456" t="s">
        <v>305</v>
      </c>
      <c r="K38" s="614" t="s">
        <v>962</v>
      </c>
      <c r="V38" s="440">
        <v>68</v>
      </c>
    </row>
    <row r="39" spans="1:22" ht="11.45" customHeight="1">
      <c r="A39" s="440"/>
      <c r="C39" s="440"/>
      <c r="D39" s="283"/>
      <c r="E39" s="515" t="s">
        <v>963</v>
      </c>
      <c r="F39" s="507"/>
      <c r="G39" s="507"/>
      <c r="H39" s="631"/>
      <c r="I39" s="507"/>
      <c r="J39" s="631"/>
      <c r="K39" s="508"/>
      <c r="U39" s="440"/>
      <c r="V39" s="440">
        <v>11</v>
      </c>
    </row>
    <row r="40" spans="1:22" ht="22.5" hidden="1" customHeight="1">
      <c r="A40" s="384" t="s">
        <v>82</v>
      </c>
      <c r="B40" s="440">
        <v>0</v>
      </c>
      <c r="C40" s="618">
        <v>4</v>
      </c>
      <c r="D40" s="440">
        <v>6</v>
      </c>
      <c r="E40" s="440">
        <v>36</v>
      </c>
      <c r="F40" s="440">
        <v>9</v>
      </c>
      <c r="G40" s="691">
        <v>0</v>
      </c>
      <c r="H40" s="691">
        <v>0</v>
      </c>
      <c r="I40" s="440">
        <v>25</v>
      </c>
      <c r="J40" s="440">
        <v>33</v>
      </c>
      <c r="K40" s="352">
        <v>93</v>
      </c>
      <c r="L40" s="440">
        <v>10</v>
      </c>
      <c r="M40" s="440">
        <v>10</v>
      </c>
      <c r="N40" s="440">
        <v>10</v>
      </c>
      <c r="O40" s="440">
        <v>10</v>
      </c>
      <c r="P40" s="440">
        <v>10</v>
      </c>
      <c r="Q40" s="440">
        <v>10</v>
      </c>
      <c r="R40" s="440">
        <v>10</v>
      </c>
      <c r="S40" s="440">
        <v>10</v>
      </c>
      <c r="T40" s="440">
        <v>10</v>
      </c>
      <c r="U40" s="610">
        <v>10</v>
      </c>
      <c r="V40" s="440">
        <v>23</v>
      </c>
    </row>
  </sheetData>
  <sheetProtection formatColumns="0" formatRows="0" insertRows="0" deleteColumns="0" deleteRows="0" sort="0" autoFilter="0"/>
  <mergeCells count="21">
    <mergeCell ref="B3:B4"/>
    <mergeCell ref="C3:C4"/>
    <mergeCell ref="B6:B7"/>
    <mergeCell ref="C6:C7"/>
    <mergeCell ref="B9:B11"/>
    <mergeCell ref="C9:C11"/>
    <mergeCell ref="B13:B14"/>
    <mergeCell ref="C13:C14"/>
    <mergeCell ref="D22:I22"/>
    <mergeCell ref="D23:I23"/>
    <mergeCell ref="I26:J26"/>
    <mergeCell ref="E26:F26"/>
    <mergeCell ref="G28:H28"/>
    <mergeCell ref="K26:K30"/>
    <mergeCell ref="E27:F27"/>
    <mergeCell ref="E28:F28"/>
    <mergeCell ref="I27:J27"/>
    <mergeCell ref="I28:J28"/>
    <mergeCell ref="G26:H26"/>
    <mergeCell ref="G27:H27"/>
    <mergeCell ref="D29:F29"/>
  </mergeCells>
  <dataValidations count="5">
    <dataValidation allowBlank="1" showInputMessage="1" showErrorMessage="1" prompt="Для выбора выполните двойной щелчок левой клавиши мыши по ячейке." sqref="I36 G38 I38 G36"/>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H3:H4 J3:J4 H6:H7 J6:J7 J9:J11 H9:H11 J13:J14 H13:H14">
      <formula1>900</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I14 I4 I10:I11 G7 G14 I7 G10:G11 G4"/>
    <dataValidation type="textLength" operator="lessThanOrEqual" allowBlank="1" showInputMessage="1" showErrorMessage="1" errorTitle="Ошибка" error="Допускается ввод не более 900 символов!" sqref="I3 I6 I9 I13 G6 G13 G9 G3">
      <formula1>900</formula1>
    </dataValidation>
    <dataValidation allowBlank="1" showInputMessage="1" showErrorMessage="1" prompt="Количество поданных заявок на подключение (технологическое присоединение) к системе теплоснабжения в течение квартала, шт." sqref="E30"/>
  </dataValidations>
  <pageMargins left="0.70866141732283472" right="0.70866141732283472" top="0.74803149606299213" bottom="0.74803149606299213" header="0.31496062992125984" footer="0.31496062992125984"/>
  <pageSetup paperSize="9" scale="72" orientation="landscape" r:id="rId1"/>
  <headerFooter>
    <oddHeader>&amp;L&amp;C&amp;R</oddHeader>
    <oddFooter>&amp;L&amp;C&amp;R</oddFooter>
    <evenHeader>&amp;L&amp;C&amp;R</evenHeader>
    <evenFooter>&amp;L&amp;C&amp;R</evenFooter>
  </headerFooter>
</worksheet>
</file>

<file path=xl/worksheets/sheet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9" tint="-0.249977111117893"/>
  </sheetPr>
  <dimension ref="A1:AE16"/>
  <sheetViews>
    <sheetView showGridLines="0" zoomScale="85" workbookViewId="0">
      <pane xSplit="7" ySplit="10" topLeftCell="H11" activePane="bottomRight" state="frozen"/>
      <selection pane="topRight" activeCell="H1" sqref="H1"/>
      <selection pane="bottomLeft" activeCell="A11" sqref="A11"/>
      <selection pane="bottomRight"/>
    </sheetView>
  </sheetViews>
  <sheetFormatPr defaultColWidth="9.140625" defaultRowHeight="10.5" customHeight="1"/>
  <cols>
    <col min="1" max="3" width="6.7109375" style="1091" hidden="1" customWidth="1"/>
    <col min="4" max="4" width="6.7109375" style="1291" hidden="1" customWidth="1"/>
    <col min="5" max="5" width="3" style="1560" customWidth="1"/>
    <col min="6" max="6" width="6" style="1560" customWidth="1"/>
    <col min="7" max="7" width="37" style="1560" customWidth="1"/>
    <col min="8" max="8" width="16" style="1560" customWidth="1"/>
    <col min="9" max="10" width="19" style="1560" customWidth="1"/>
    <col min="11" max="11" width="24" style="1560" customWidth="1"/>
    <col min="12" max="13" width="25" style="1560" customWidth="1"/>
    <col min="14" max="16" width="17" style="1560" customWidth="1"/>
    <col min="17" max="24" width="19" style="1560" customWidth="1"/>
    <col min="25" max="25" width="7" style="1560" customWidth="1"/>
    <col min="26" max="26" width="3" style="1560" customWidth="1"/>
    <col min="27" max="27" width="6" style="1560" customWidth="1"/>
    <col min="28" max="28" width="34" style="1560" customWidth="1"/>
    <col min="29" max="30" width="8" style="1560" customWidth="1"/>
    <col min="31" max="31" width="9.140625" style="1560" hidden="1"/>
  </cols>
  <sheetData>
    <row r="1" spans="1:31" s="1291" customFormat="1" ht="10.5" hidden="1" customHeight="1">
      <c r="A1" s="823"/>
      <c r="B1" s="823"/>
      <c r="C1" s="823"/>
      <c r="E1" s="472"/>
      <c r="H1" s="1085"/>
      <c r="AE1" s="352" t="s">
        <v>14</v>
      </c>
    </row>
    <row r="2" spans="1:31" ht="10.5" hidden="1" customHeight="1">
      <c r="AE2" s="691">
        <v>0</v>
      </c>
    </row>
    <row r="3" spans="1:31" s="1557" customFormat="1" ht="10.5" hidden="1" customHeight="1">
      <c r="A3" s="823"/>
      <c r="B3" s="823"/>
      <c r="C3" s="823"/>
      <c r="D3" s="352"/>
      <c r="E3" s="297"/>
      <c r="G3" s="1557" t="s">
        <v>964</v>
      </c>
      <c r="H3" s="1081"/>
      <c r="AE3" s="692">
        <v>0</v>
      </c>
    </row>
    <row r="4" spans="1:31" ht="3" customHeight="1">
      <c r="AE4" s="691">
        <v>3</v>
      </c>
    </row>
    <row r="5" spans="1:31" ht="27.4" customHeight="1">
      <c r="F5" s="2170" t="str">
        <f>IP_NAME_FORM</f>
        <v>Форма 13. Информация об инвестиционных программах регулируемой организации и отчетах об их исполнении, об инвестиционных программах единой теплоснабжающей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 об инвестиционных программах теплоснабжающей организации в ценовых зонах теплоснабжения и теплосетевой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v>
      </c>
      <c r="G5" s="2170"/>
      <c r="H5" s="2170"/>
      <c r="I5" s="2170"/>
      <c r="J5" s="2170"/>
      <c r="K5" s="2170"/>
      <c r="M5" s="517"/>
      <c r="AB5" s="834"/>
      <c r="AE5" s="691">
        <v>26</v>
      </c>
    </row>
    <row r="6" spans="1:31" s="1560" customFormat="1" ht="16.899999999999999" customHeight="1">
      <c r="A6" s="1091"/>
      <c r="B6" s="1091"/>
      <c r="C6" s="1091"/>
      <c r="D6" s="1085"/>
      <c r="F6" s="2115" t="str">
        <f>IF(org=0,"Не определено",org)</f>
        <v>ООО "ЗЕНИТ ЭНЕРГО"</v>
      </c>
      <c r="G6" s="2115"/>
      <c r="H6" s="2115"/>
      <c r="I6" s="2115"/>
      <c r="J6" s="2115"/>
      <c r="K6" s="2115"/>
      <c r="M6" s="517"/>
      <c r="AB6" s="1073"/>
      <c r="AE6" s="1556">
        <v>16</v>
      </c>
    </row>
    <row r="7" spans="1:31" ht="10.5" customHeight="1">
      <c r="AE7" s="691">
        <v>10</v>
      </c>
    </row>
    <row r="8" spans="1:31" ht="10.5" customHeight="1">
      <c r="A8" s="979"/>
      <c r="B8" s="979"/>
      <c r="C8" s="979"/>
      <c r="F8" s="2038" t="s">
        <v>299</v>
      </c>
      <c r="G8" s="2043"/>
      <c r="H8" s="2043"/>
      <c r="I8" s="2043"/>
      <c r="J8" s="2043"/>
      <c r="K8" s="2043"/>
      <c r="L8" s="2043"/>
      <c r="M8" s="2043"/>
      <c r="N8" s="2043"/>
      <c r="O8" s="2043"/>
      <c r="P8" s="2043"/>
      <c r="Q8" s="2043"/>
      <c r="R8" s="2043"/>
      <c r="S8" s="2043"/>
      <c r="T8" s="2043"/>
      <c r="U8" s="2043"/>
      <c r="V8" s="2043"/>
      <c r="W8" s="2043"/>
      <c r="X8" s="2043"/>
      <c r="Y8" s="2043"/>
      <c r="Z8" s="2043"/>
      <c r="AA8" s="2043"/>
      <c r="AB8" s="2037"/>
      <c r="AE8" s="691">
        <v>10</v>
      </c>
    </row>
    <row r="9" spans="1:31" ht="43.15" customHeight="1">
      <c r="A9" s="833"/>
      <c r="B9" s="833"/>
      <c r="C9" s="833"/>
      <c r="F9" s="2066" t="s">
        <v>88</v>
      </c>
      <c r="G9" s="2066" t="s">
        <v>964</v>
      </c>
      <c r="H9" s="2114" t="s">
        <v>965</v>
      </c>
      <c r="I9" s="2066" t="s">
        <v>966</v>
      </c>
      <c r="J9" s="2066" t="s">
        <v>967</v>
      </c>
      <c r="K9" s="2066" t="s">
        <v>968</v>
      </c>
      <c r="L9" s="2066" t="s">
        <v>969</v>
      </c>
      <c r="M9" s="2066" t="s">
        <v>970</v>
      </c>
      <c r="N9" s="2145" t="s">
        <v>971</v>
      </c>
      <c r="O9" s="2145"/>
      <c r="P9" s="2145"/>
      <c r="Q9" s="2195" t="s">
        <v>972</v>
      </c>
      <c r="R9" s="2196"/>
      <c r="S9" s="2196"/>
      <c r="T9" s="2197"/>
      <c r="U9" s="2195" t="s">
        <v>973</v>
      </c>
      <c r="V9" s="2196"/>
      <c r="W9" s="2196"/>
      <c r="X9" s="2197"/>
      <c r="Y9" s="2038" t="s">
        <v>974</v>
      </c>
      <c r="Z9" s="2043"/>
      <c r="AA9" s="2043"/>
      <c r="AB9" s="2037"/>
      <c r="AE9" s="691">
        <v>41</v>
      </c>
    </row>
    <row r="10" spans="1:31" ht="43.15" customHeight="1">
      <c r="A10" s="833"/>
      <c r="B10" s="833"/>
      <c r="C10" s="833"/>
      <c r="F10" s="2114"/>
      <c r="G10" s="2114"/>
      <c r="H10" s="2165"/>
      <c r="I10" s="2114"/>
      <c r="J10" s="2114"/>
      <c r="K10" s="2114"/>
      <c r="L10" s="2114"/>
      <c r="M10" s="2114"/>
      <c r="N10" s="831" t="s">
        <v>975</v>
      </c>
      <c r="O10" s="831" t="s">
        <v>976</v>
      </c>
      <c r="P10" s="832" t="s">
        <v>977</v>
      </c>
      <c r="Q10" s="843" t="s">
        <v>89</v>
      </c>
      <c r="R10" s="843" t="s">
        <v>978</v>
      </c>
      <c r="S10" s="843" t="s">
        <v>979</v>
      </c>
      <c r="T10" s="844" t="s">
        <v>980</v>
      </c>
      <c r="U10" s="843" t="s">
        <v>89</v>
      </c>
      <c r="V10" s="843" t="s">
        <v>981</v>
      </c>
      <c r="W10" s="843" t="s">
        <v>979</v>
      </c>
      <c r="X10" s="844" t="s">
        <v>980</v>
      </c>
      <c r="Y10" s="237" t="s">
        <v>982</v>
      </c>
      <c r="Z10" s="2038" t="s">
        <v>88</v>
      </c>
      <c r="AA10" s="2037"/>
      <c r="AB10" s="977" t="s">
        <v>983</v>
      </c>
      <c r="AE10" s="691">
        <v>41</v>
      </c>
    </row>
    <row r="11" spans="1:31" s="1567" customFormat="1" ht="5.25" hidden="1" customHeight="1">
      <c r="A11" s="980"/>
      <c r="B11" s="980"/>
      <c r="C11" s="980"/>
      <c r="E11" s="978"/>
      <c r="F11" s="2302" t="s">
        <v>375</v>
      </c>
      <c r="G11" s="2299"/>
      <c r="H11" s="2298"/>
      <c r="I11" s="2298"/>
      <c r="J11" s="2298"/>
      <c r="K11" s="2300"/>
      <c r="L11" s="2300"/>
      <c r="M11" s="2300"/>
      <c r="N11" s="2298"/>
      <c r="O11" s="2298"/>
      <c r="P11" s="2066"/>
      <c r="Q11" s="2118"/>
      <c r="R11" s="2118"/>
      <c r="S11" s="2118"/>
      <c r="T11" s="2298"/>
      <c r="U11" s="2118"/>
      <c r="V11" s="2118"/>
      <c r="W11" s="2118"/>
      <c r="X11" s="2298"/>
      <c r="Y11" s="2048"/>
      <c r="Z11" s="2048"/>
      <c r="AA11" s="2048"/>
      <c r="AB11" s="2048"/>
      <c r="AD11" s="446" t="s">
        <v>984</v>
      </c>
      <c r="AE11" s="446">
        <v>0</v>
      </c>
    </row>
    <row r="12" spans="1:31" s="1567" customFormat="1" ht="5.25" hidden="1" customHeight="1">
      <c r="A12" s="824"/>
      <c r="B12" s="824"/>
      <c r="C12" s="824"/>
      <c r="E12" s="453"/>
      <c r="F12" s="2302"/>
      <c r="G12" s="2299"/>
      <c r="H12" s="2298"/>
      <c r="I12" s="2298"/>
      <c r="J12" s="2298"/>
      <c r="K12" s="2300"/>
      <c r="L12" s="2300"/>
      <c r="M12" s="2300"/>
      <c r="N12" s="2298"/>
      <c r="O12" s="2298"/>
      <c r="P12" s="2066"/>
      <c r="Q12" s="2118"/>
      <c r="R12" s="2118"/>
      <c r="S12" s="2118"/>
      <c r="T12" s="2298"/>
      <c r="U12" s="2118"/>
      <c r="V12" s="2118"/>
      <c r="W12" s="2118"/>
      <c r="X12" s="2298"/>
      <c r="Y12" s="2301"/>
      <c r="Z12" s="2301"/>
      <c r="AA12" s="2301"/>
      <c r="AB12" s="2301"/>
      <c r="AE12" s="446">
        <v>0</v>
      </c>
    </row>
    <row r="13" spans="1:31" ht="10.5" customHeight="1">
      <c r="F13" s="830"/>
      <c r="G13" s="585" t="s">
        <v>985</v>
      </c>
      <c r="H13" s="1093"/>
      <c r="I13" s="507"/>
      <c r="J13" s="507"/>
      <c r="K13" s="507"/>
      <c r="L13" s="507"/>
      <c r="M13" s="507"/>
      <c r="N13" s="507"/>
      <c r="O13" s="507"/>
      <c r="P13" s="507"/>
      <c r="Q13" s="507"/>
      <c r="R13" s="507"/>
      <c r="S13" s="507"/>
      <c r="T13" s="507"/>
      <c r="U13" s="507"/>
      <c r="V13" s="507"/>
      <c r="W13" s="507"/>
      <c r="X13" s="507"/>
      <c r="Y13" s="507"/>
      <c r="Z13" s="631"/>
      <c r="AA13" s="631"/>
      <c r="AB13" s="845"/>
      <c r="AE13" s="691">
        <v>10</v>
      </c>
    </row>
    <row r="14" spans="1:31" ht="10.5" customHeight="1">
      <c r="AE14" s="691">
        <v>10</v>
      </c>
    </row>
    <row r="15" spans="1:31" s="1567" customFormat="1" ht="10.5" customHeight="1">
      <c r="A15" s="1092"/>
      <c r="B15" s="1092"/>
      <c r="C15" s="1092"/>
      <c r="E15" s="453"/>
      <c r="H15" s="446">
        <f>IFERROR(MATCH("нет",IP_MAIN_DIFFERENTIATION_EVENTS_FLAG,0),0)</f>
        <v>0</v>
      </c>
      <c r="AE15" s="446">
        <v>10</v>
      </c>
    </row>
    <row r="16" spans="1:31" ht="10.5" hidden="1" customHeight="1">
      <c r="A16" s="823" t="s">
        <v>82</v>
      </c>
      <c r="B16" s="823">
        <v>0</v>
      </c>
      <c r="C16" s="823">
        <v>0</v>
      </c>
      <c r="D16" s="352">
        <v>0</v>
      </c>
      <c r="E16" s="444">
        <v>3</v>
      </c>
      <c r="F16" s="691">
        <v>6</v>
      </c>
      <c r="G16" s="691">
        <v>37</v>
      </c>
      <c r="H16" s="1080">
        <v>16</v>
      </c>
      <c r="I16" s="691">
        <v>19</v>
      </c>
      <c r="J16" s="691">
        <v>19</v>
      </c>
      <c r="K16" s="691">
        <v>24</v>
      </c>
      <c r="L16" s="691">
        <v>25</v>
      </c>
      <c r="M16" s="691">
        <v>25</v>
      </c>
      <c r="N16" s="691">
        <v>17</v>
      </c>
      <c r="O16" s="691">
        <v>17</v>
      </c>
      <c r="P16" s="691">
        <v>17</v>
      </c>
      <c r="Q16" s="691">
        <v>19</v>
      </c>
      <c r="R16" s="691">
        <v>19</v>
      </c>
      <c r="S16" s="691">
        <v>19</v>
      </c>
      <c r="T16" s="691">
        <v>19</v>
      </c>
      <c r="U16" s="691">
        <v>19</v>
      </c>
      <c r="V16" s="691">
        <v>19</v>
      </c>
      <c r="W16" s="691">
        <v>19</v>
      </c>
      <c r="X16" s="691">
        <v>19</v>
      </c>
      <c r="Y16" s="691">
        <v>7</v>
      </c>
      <c r="Z16" s="691">
        <v>3</v>
      </c>
      <c r="AA16" s="691">
        <v>6</v>
      </c>
      <c r="AB16" s="691">
        <v>34</v>
      </c>
      <c r="AC16" s="691">
        <v>8</v>
      </c>
      <c r="AD16" s="691">
        <v>8</v>
      </c>
      <c r="AE16" s="691">
        <v>10</v>
      </c>
    </row>
  </sheetData>
  <sheetProtection formatColumns="0" formatRows="0" insertRows="0" deleteColumns="0" deleteRows="0" sort="0" autoFilter="0"/>
  <mergeCells count="39">
    <mergeCell ref="F5:K5"/>
    <mergeCell ref="N11:N12"/>
    <mergeCell ref="O11:O12"/>
    <mergeCell ref="P11:P12"/>
    <mergeCell ref="Y11:Y12"/>
    <mergeCell ref="N9:P9"/>
    <mergeCell ref="M9:M10"/>
    <mergeCell ref="F9:F10"/>
    <mergeCell ref="G9:G10"/>
    <mergeCell ref="I9:I10"/>
    <mergeCell ref="K9:K10"/>
    <mergeCell ref="L9:L10"/>
    <mergeCell ref="F11:F12"/>
    <mergeCell ref="M11:M12"/>
    <mergeCell ref="L11:L12"/>
    <mergeCell ref="J11:J12"/>
    <mergeCell ref="J9:J10"/>
    <mergeCell ref="K11:K12"/>
    <mergeCell ref="Z11:Z12"/>
    <mergeCell ref="Y9:AB9"/>
    <mergeCell ref="AB11:AB12"/>
    <mergeCell ref="Z10:AA10"/>
    <mergeCell ref="AA11:AA12"/>
    <mergeCell ref="F6:K6"/>
    <mergeCell ref="F8:AB8"/>
    <mergeCell ref="U9:X9"/>
    <mergeCell ref="U11:U12"/>
    <mergeCell ref="V11:V12"/>
    <mergeCell ref="W11:W12"/>
    <mergeCell ref="X11:X12"/>
    <mergeCell ref="Q9:T9"/>
    <mergeCell ref="I11:I12"/>
    <mergeCell ref="G11:G12"/>
    <mergeCell ref="T11:T12"/>
    <mergeCell ref="S11:S12"/>
    <mergeCell ref="H9:H10"/>
    <mergeCell ref="H11:H12"/>
    <mergeCell ref="Q11:Q12"/>
    <mergeCell ref="R11:R12"/>
  </mergeCell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9" tint="-0.249977111117893"/>
  </sheetPr>
  <dimension ref="A1:BG20"/>
  <sheetViews>
    <sheetView showGridLines="0" zoomScale="90" workbookViewId="0">
      <pane xSplit="8" ySplit="12" topLeftCell="I13" activePane="bottomRight" state="frozen"/>
      <selection pane="topRight" activeCell="I1" sqref="I1"/>
      <selection pane="bottomLeft" activeCell="A13" sqref="A13"/>
      <selection pane="bottomRight"/>
    </sheetView>
  </sheetViews>
  <sheetFormatPr defaultColWidth="9.140625" defaultRowHeight="10.5" customHeight="1"/>
  <cols>
    <col min="1" max="3" width="4.140625" style="1091" hidden="1" customWidth="1"/>
    <col min="4" max="4" width="4.140625" style="1291" hidden="1" customWidth="1"/>
    <col min="5" max="5" width="3" style="1560" customWidth="1"/>
    <col min="6" max="6" width="14" style="1560" customWidth="1"/>
    <col min="7" max="7" width="3" style="1560" customWidth="1"/>
    <col min="8" max="8" width="7" style="1560" customWidth="1"/>
    <col min="9" max="10" width="16" style="1560" customWidth="1"/>
    <col min="11" max="11" width="25" style="1560" customWidth="1"/>
    <col min="12" max="12" width="7" style="1560" customWidth="1"/>
    <col min="13" max="13" width="15" style="1560" customWidth="1"/>
    <col min="14" max="14" width="3" style="1560" customWidth="1"/>
    <col min="15" max="15" width="4" style="1560" customWidth="1"/>
    <col min="16" max="16" width="8" style="1560" customWidth="1"/>
    <col min="17" max="17" width="21" style="1560" customWidth="1"/>
    <col min="18" max="18" width="14" style="1560" customWidth="1"/>
    <col min="19" max="20" width="17" style="1560" customWidth="1"/>
    <col min="21" max="21" width="9" style="1560" customWidth="1"/>
    <col min="22" max="22" width="12" style="1560" customWidth="1"/>
    <col min="23" max="23" width="9" style="1560" customWidth="1"/>
    <col min="24" max="24" width="21" style="1560" customWidth="1"/>
    <col min="25" max="25" width="12" style="1560" customWidth="1"/>
    <col min="26" max="26" width="3" style="1560" customWidth="1"/>
    <col min="27" max="27" width="6" style="1560" customWidth="1"/>
    <col min="28" max="28" width="38" style="1560" customWidth="1"/>
    <col min="29" max="29" width="15" style="1560" customWidth="1"/>
    <col min="30" max="30" width="37.5703125" style="1560" hidden="1" customWidth="1"/>
    <col min="31" max="31" width="15.7109375" style="1560" hidden="1" customWidth="1"/>
    <col min="32" max="34" width="16" style="1560" customWidth="1"/>
    <col min="35" max="37" width="16.7109375" style="1560" hidden="1" customWidth="1"/>
    <col min="38" max="58" width="8" style="1560" customWidth="1"/>
    <col min="59" max="59" width="9.140625" style="1560" hidden="1"/>
  </cols>
  <sheetData>
    <row r="1" spans="1:59" s="1291" customFormat="1" ht="10.5" hidden="1" customHeight="1">
      <c r="A1" s="823"/>
      <c r="B1" s="823"/>
      <c r="C1" s="823"/>
      <c r="E1" s="472"/>
      <c r="H1" s="1085"/>
      <c r="L1" s="1053"/>
      <c r="M1" s="1053"/>
      <c r="AD1" s="1053"/>
      <c r="AH1" s="1072"/>
      <c r="AI1" s="1065"/>
      <c r="BG1" s="352" t="s">
        <v>14</v>
      </c>
    </row>
    <row r="2" spans="1:59" ht="10.5" hidden="1" customHeight="1">
      <c r="BG2" s="691">
        <v>0</v>
      </c>
    </row>
    <row r="3" spans="1:59" s="1557" customFormat="1" ht="10.5" hidden="1" customHeight="1">
      <c r="A3" s="823"/>
      <c r="B3" s="823"/>
      <c r="C3" s="823"/>
      <c r="D3" s="352"/>
      <c r="E3" s="297"/>
      <c r="H3" s="1081"/>
      <c r="L3" s="1051"/>
      <c r="M3" s="1051"/>
      <c r="AD3" s="1051"/>
      <c r="AH3" s="1070"/>
      <c r="AI3" s="1063"/>
      <c r="BG3" s="692">
        <v>0</v>
      </c>
    </row>
    <row r="4" spans="1:59" ht="3" customHeight="1">
      <c r="BG4" s="691">
        <v>3</v>
      </c>
    </row>
    <row r="5" spans="1:59" ht="27.4" customHeight="1">
      <c r="F5" s="2170" t="str">
        <f>IP_NAME_FORM</f>
        <v>Форма 13. Информация об инвестиционных программах регулируемой организации и отчетах об их исполнении, об инвестиционных программах единой теплоснабжающей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 об инвестиционных программах теплоснабжающей организации в ценовых зонах теплоснабжения и теплосетевой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v>
      </c>
      <c r="G5" s="2170"/>
      <c r="H5" s="2170"/>
      <c r="I5" s="2170"/>
      <c r="J5" s="2170"/>
      <c r="K5" s="2170"/>
      <c r="L5" s="1060"/>
      <c r="M5" s="1060"/>
      <c r="AG5" s="834"/>
      <c r="AH5" s="1073"/>
      <c r="BG5" s="691">
        <v>26</v>
      </c>
    </row>
    <row r="6" spans="1:59" ht="10.5" customHeight="1">
      <c r="F6" s="2115" t="str">
        <f>IF(org=0,"Не определено",org)</f>
        <v>ООО "ЗЕНИТ ЭНЕРГО"</v>
      </c>
      <c r="G6" s="2115"/>
      <c r="H6" s="2115"/>
      <c r="I6" s="2115"/>
      <c r="J6" s="2115"/>
      <c r="K6" s="2115"/>
      <c r="L6" s="1061"/>
      <c r="M6" s="1061"/>
      <c r="BG6" s="691">
        <v>10</v>
      </c>
    </row>
    <row r="7" spans="1:59" ht="11.45" customHeight="1">
      <c r="E7" s="836"/>
      <c r="F7" s="847"/>
      <c r="G7" s="847"/>
      <c r="H7" s="1109"/>
      <c r="I7" s="847"/>
      <c r="J7" s="847"/>
      <c r="K7" s="849"/>
      <c r="L7" s="1058"/>
      <c r="M7" s="1058"/>
      <c r="N7" s="847"/>
      <c r="O7" s="847"/>
      <c r="P7" s="847"/>
      <c r="Q7" s="849"/>
      <c r="R7" s="847"/>
      <c r="S7" s="847"/>
      <c r="T7" s="847"/>
      <c r="U7" s="847"/>
      <c r="V7" s="847"/>
      <c r="W7" s="847"/>
      <c r="X7" s="847"/>
      <c r="Y7" s="847"/>
      <c r="Z7" s="847"/>
      <c r="AA7" s="847"/>
      <c r="AB7" s="847"/>
      <c r="AC7" s="848"/>
      <c r="AD7" s="1057"/>
      <c r="AE7" s="848"/>
      <c r="AF7" s="847"/>
      <c r="AG7" s="847"/>
      <c r="AH7" s="1075"/>
      <c r="AI7" s="1068"/>
      <c r="AJ7" s="847"/>
      <c r="AK7" s="847"/>
      <c r="AL7" s="838"/>
      <c r="AM7" s="838"/>
      <c r="AN7" s="838"/>
      <c r="AO7" s="835"/>
      <c r="AP7" s="835"/>
      <c r="AQ7" s="835"/>
      <c r="AR7" s="835"/>
      <c r="AS7" s="835"/>
      <c r="AT7" s="835"/>
      <c r="AU7" s="835"/>
      <c r="AV7" s="835"/>
      <c r="AW7" s="835"/>
      <c r="AX7" s="835"/>
      <c r="AY7" s="835"/>
      <c r="AZ7" s="835"/>
      <c r="BA7" s="835"/>
      <c r="BB7" s="835"/>
      <c r="BC7" s="835"/>
      <c r="BD7" s="835"/>
      <c r="BE7" s="835"/>
      <c r="BF7" s="835"/>
      <c r="BG7" s="691">
        <v>11</v>
      </c>
    </row>
    <row r="8" spans="1:59" ht="10.5" customHeight="1">
      <c r="E8" s="836"/>
      <c r="F8" s="2305" t="s">
        <v>299</v>
      </c>
      <c r="G8" s="2306"/>
      <c r="H8" s="2306"/>
      <c r="I8" s="2306"/>
      <c r="J8" s="2306"/>
      <c r="K8" s="2306"/>
      <c r="L8" s="2306"/>
      <c r="M8" s="2306"/>
      <c r="N8" s="2306"/>
      <c r="O8" s="2306"/>
      <c r="P8" s="2306"/>
      <c r="Q8" s="2306"/>
      <c r="R8" s="2306"/>
      <c r="S8" s="2306"/>
      <c r="T8" s="2306"/>
      <c r="U8" s="2306"/>
      <c r="V8" s="2306"/>
      <c r="W8" s="2306"/>
      <c r="X8" s="2306"/>
      <c r="Y8" s="2306"/>
      <c r="Z8" s="2306"/>
      <c r="AA8" s="2306"/>
      <c r="AB8" s="2306"/>
      <c r="AC8" s="2306"/>
      <c r="AD8" s="2306"/>
      <c r="AE8" s="2306"/>
      <c r="AF8" s="2306"/>
      <c r="AG8" s="2306"/>
      <c r="AH8" s="2306"/>
      <c r="AI8" s="2306"/>
      <c r="AJ8" s="2306"/>
      <c r="AK8" s="2307"/>
      <c r="AL8" s="837"/>
      <c r="AM8" s="835"/>
      <c r="AN8" s="835"/>
      <c r="AO8" s="835"/>
      <c r="AP8" s="835"/>
      <c r="AQ8" s="835"/>
      <c r="AR8" s="835"/>
      <c r="AS8" s="835"/>
      <c r="AT8" s="835"/>
      <c r="AU8" s="835"/>
      <c r="AV8" s="835"/>
      <c r="AW8" s="835"/>
      <c r="AX8" s="835"/>
      <c r="AY8" s="835"/>
      <c r="AZ8" s="835"/>
      <c r="BA8" s="835"/>
      <c r="BB8" s="835"/>
      <c r="BC8" s="835"/>
      <c r="BD8" s="835"/>
      <c r="BE8" s="835"/>
      <c r="BF8" s="835"/>
      <c r="BG8" s="691">
        <v>10</v>
      </c>
    </row>
    <row r="9" spans="1:59" ht="24" customHeight="1">
      <c r="A9" s="833"/>
      <c r="B9" s="833"/>
      <c r="C9" s="833"/>
      <c r="E9" s="836"/>
      <c r="F9" s="2145" t="s">
        <v>986</v>
      </c>
      <c r="G9" s="2239" t="s">
        <v>987</v>
      </c>
      <c r="H9" s="2287"/>
      <c r="I9" s="2066" t="s">
        <v>988</v>
      </c>
      <c r="J9" s="2066"/>
      <c r="K9" s="2066" t="s">
        <v>989</v>
      </c>
      <c r="L9" s="2066"/>
      <c r="M9" s="2066"/>
      <c r="N9" s="2066"/>
      <c r="O9" s="2066"/>
      <c r="P9" s="2066"/>
      <c r="Q9" s="2066"/>
      <c r="R9" s="2066"/>
      <c r="S9" s="2066"/>
      <c r="T9" s="2066"/>
      <c r="U9" s="2066"/>
      <c r="V9" s="2066"/>
      <c r="W9" s="2066"/>
      <c r="X9" s="2066"/>
      <c r="Y9" s="2066"/>
      <c r="Z9" s="2131" t="s">
        <v>990</v>
      </c>
      <c r="AA9" s="2132"/>
      <c r="AB9" s="2066" t="s">
        <v>991</v>
      </c>
      <c r="AC9" s="2066"/>
      <c r="AD9" s="2066"/>
      <c r="AE9" s="2066"/>
      <c r="AF9" s="2114" t="s">
        <v>992</v>
      </c>
      <c r="AG9" s="2066" t="s">
        <v>993</v>
      </c>
      <c r="AH9" s="2066"/>
      <c r="AI9" s="2114" t="s">
        <v>994</v>
      </c>
      <c r="AJ9" s="2066" t="s">
        <v>995</v>
      </c>
      <c r="AK9" s="2066"/>
      <c r="AL9" s="1067"/>
      <c r="AM9" s="835"/>
      <c r="AN9" s="835"/>
      <c r="AO9" s="835"/>
      <c r="AP9" s="835"/>
      <c r="AQ9" s="835"/>
      <c r="AR9" s="835"/>
      <c r="AS9" s="835"/>
      <c r="AT9" s="835"/>
      <c r="AU9" s="835"/>
      <c r="AV9" s="835"/>
      <c r="AW9" s="835"/>
      <c r="AX9" s="835"/>
      <c r="AY9" s="835"/>
      <c r="AZ9" s="835"/>
      <c r="BA9" s="835"/>
      <c r="BB9" s="835"/>
      <c r="BC9" s="835"/>
      <c r="BD9" s="835"/>
      <c r="BE9" s="835"/>
      <c r="BF9" s="835"/>
      <c r="BG9" s="691">
        <v>23</v>
      </c>
    </row>
    <row r="10" spans="1:59" ht="25.15" customHeight="1">
      <c r="A10" s="833"/>
      <c r="B10" s="833"/>
      <c r="C10" s="833"/>
      <c r="E10" s="840"/>
      <c r="F10" s="2145"/>
      <c r="G10" s="2240"/>
      <c r="H10" s="2149"/>
      <c r="I10" s="2066"/>
      <c r="J10" s="2066"/>
      <c r="K10" s="2066" t="s">
        <v>996</v>
      </c>
      <c r="L10" s="2038" t="s">
        <v>997</v>
      </c>
      <c r="M10" s="2037"/>
      <c r="N10" s="2066" t="s">
        <v>998</v>
      </c>
      <c r="O10" s="2066"/>
      <c r="P10" s="2066"/>
      <c r="Q10" s="2066"/>
      <c r="R10" s="2066"/>
      <c r="S10" s="2066"/>
      <c r="T10" s="2066"/>
      <c r="U10" s="2066"/>
      <c r="V10" s="2066"/>
      <c r="W10" s="2066"/>
      <c r="X10" s="2066"/>
      <c r="Y10" s="2066"/>
      <c r="Z10" s="2133"/>
      <c r="AA10" s="2134"/>
      <c r="AB10" s="2066"/>
      <c r="AC10" s="2066"/>
      <c r="AD10" s="2066"/>
      <c r="AE10" s="2066"/>
      <c r="AF10" s="2135"/>
      <c r="AG10" s="2066"/>
      <c r="AH10" s="2066"/>
      <c r="AI10" s="2135"/>
      <c r="AJ10" s="2066"/>
      <c r="AK10" s="2066"/>
      <c r="AL10" s="1067"/>
      <c r="AM10" s="841"/>
      <c r="AN10" s="841"/>
      <c r="AO10" s="841"/>
      <c r="AP10" s="841"/>
      <c r="AQ10" s="841"/>
      <c r="AR10" s="841"/>
      <c r="AS10" s="841"/>
      <c r="AT10" s="841"/>
      <c r="AU10" s="841"/>
      <c r="AV10" s="841"/>
      <c r="AW10" s="841"/>
      <c r="AX10" s="841"/>
      <c r="AY10" s="841"/>
      <c r="AZ10" s="841"/>
      <c r="BA10" s="841"/>
      <c r="BB10" s="841"/>
      <c r="BC10" s="841"/>
      <c r="BD10" s="841"/>
      <c r="BE10" s="841"/>
      <c r="BF10" s="841"/>
      <c r="BG10" s="691">
        <v>24</v>
      </c>
    </row>
    <row r="11" spans="1:59" s="1560" customFormat="1" ht="25.15" customHeight="1">
      <c r="A11" s="1054"/>
      <c r="B11" s="1054"/>
      <c r="C11" s="1054"/>
      <c r="D11" s="1053"/>
      <c r="E11" s="1055"/>
      <c r="F11" s="2145"/>
      <c r="G11" s="2240"/>
      <c r="H11" s="2149"/>
      <c r="I11" s="2066"/>
      <c r="J11" s="2066"/>
      <c r="K11" s="2066"/>
      <c r="L11" s="2114" t="s">
        <v>999</v>
      </c>
      <c r="M11" s="2114" t="s">
        <v>1000</v>
      </c>
      <c r="N11" s="2066" t="s">
        <v>1001</v>
      </c>
      <c r="O11" s="2066"/>
      <c r="P11" s="2094" t="s">
        <v>982</v>
      </c>
      <c r="Q11" s="2094" t="s">
        <v>1002</v>
      </c>
      <c r="R11" s="2094" t="s">
        <v>1003</v>
      </c>
      <c r="S11" s="2094" t="s">
        <v>1004</v>
      </c>
      <c r="T11" s="2094"/>
      <c r="U11" s="2094"/>
      <c r="V11" s="2094"/>
      <c r="W11" s="2094"/>
      <c r="X11" s="2094"/>
      <c r="Y11" s="2094"/>
      <c r="Z11" s="2133"/>
      <c r="AA11" s="2134"/>
      <c r="AB11" s="2066" t="s">
        <v>1005</v>
      </c>
      <c r="AC11" s="2066"/>
      <c r="AD11" s="2038" t="s">
        <v>1006</v>
      </c>
      <c r="AE11" s="2037"/>
      <c r="AF11" s="2135"/>
      <c r="AG11" s="2066"/>
      <c r="AH11" s="2066"/>
      <c r="AI11" s="2135"/>
      <c r="AJ11" s="2066"/>
      <c r="AK11" s="2066"/>
      <c r="AL11" s="1067"/>
      <c r="AM11" s="1052"/>
      <c r="AN11" s="1052"/>
      <c r="AO11" s="1052"/>
      <c r="AP11" s="1052"/>
      <c r="AQ11" s="1052"/>
      <c r="AR11" s="1052"/>
      <c r="AS11" s="1052"/>
      <c r="AT11" s="1052"/>
      <c r="AU11" s="1052"/>
      <c r="AV11" s="1052"/>
      <c r="AW11" s="1052"/>
      <c r="AX11" s="1052"/>
      <c r="AY11" s="1052"/>
      <c r="AZ11" s="1052"/>
      <c r="BA11" s="1052"/>
      <c r="BB11" s="1052"/>
      <c r="BC11" s="1052"/>
      <c r="BD11" s="1052"/>
      <c r="BE11" s="1052"/>
      <c r="BF11" s="1052"/>
      <c r="BG11" s="1050">
        <v>24</v>
      </c>
    </row>
    <row r="12" spans="1:59" ht="35.65" customHeight="1">
      <c r="A12" s="833"/>
      <c r="B12" s="833"/>
      <c r="C12" s="833"/>
      <c r="E12" s="836"/>
      <c r="F12" s="2145"/>
      <c r="G12" s="2241"/>
      <c r="H12" s="2304"/>
      <c r="I12" s="1078" t="s">
        <v>89</v>
      </c>
      <c r="J12" s="1078" t="s">
        <v>1007</v>
      </c>
      <c r="K12" s="2066"/>
      <c r="L12" s="2165"/>
      <c r="M12" s="2165"/>
      <c r="N12" s="2066"/>
      <c r="O12" s="2066"/>
      <c r="P12" s="2094"/>
      <c r="Q12" s="2094"/>
      <c r="R12" s="2094"/>
      <c r="S12" s="1059" t="s">
        <v>86</v>
      </c>
      <c r="T12" s="1059" t="s">
        <v>87</v>
      </c>
      <c r="U12" s="1059" t="s">
        <v>85</v>
      </c>
      <c r="V12" s="1059" t="s">
        <v>1008</v>
      </c>
      <c r="W12" s="1059" t="s">
        <v>85</v>
      </c>
      <c r="X12" s="1059" t="s">
        <v>1009</v>
      </c>
      <c r="Y12" s="1059" t="s">
        <v>1010</v>
      </c>
      <c r="Z12" s="2136"/>
      <c r="AA12" s="2137"/>
      <c r="AB12" s="1066" t="s">
        <v>1011</v>
      </c>
      <c r="AC12" s="1066" t="s">
        <v>1012</v>
      </c>
      <c r="AD12" s="1066" t="s">
        <v>1011</v>
      </c>
      <c r="AE12" s="1066" t="s">
        <v>1012</v>
      </c>
      <c r="AF12" s="2165"/>
      <c r="AG12" s="1079" t="s">
        <v>1013</v>
      </c>
      <c r="AH12" s="1079" t="s">
        <v>1014</v>
      </c>
      <c r="AI12" s="2165"/>
      <c r="AJ12" s="1079" t="s">
        <v>1013</v>
      </c>
      <c r="AK12" s="1079" t="s">
        <v>1014</v>
      </c>
      <c r="AL12" s="1067"/>
      <c r="AM12" s="835"/>
      <c r="AN12" s="835"/>
      <c r="AO12" s="835"/>
      <c r="AP12" s="835"/>
      <c r="AQ12" s="835"/>
      <c r="AR12" s="835"/>
      <c r="AS12" s="835"/>
      <c r="AT12" s="835"/>
      <c r="AU12" s="835"/>
      <c r="AV12" s="835"/>
      <c r="AW12" s="835"/>
      <c r="AX12" s="835"/>
      <c r="AY12" s="835"/>
      <c r="AZ12" s="835"/>
      <c r="BA12" s="835"/>
      <c r="BB12" s="835"/>
      <c r="BC12" s="835"/>
      <c r="BD12" s="835"/>
      <c r="BE12" s="835"/>
      <c r="BF12" s="835"/>
      <c r="BG12" s="691">
        <v>34</v>
      </c>
    </row>
    <row r="13" spans="1:59" ht="1.1499999999999999" customHeight="1">
      <c r="E13" s="836"/>
      <c r="F13" s="1049">
        <v>0</v>
      </c>
      <c r="G13" s="1049"/>
      <c r="H13" s="1049"/>
      <c r="I13" s="1049"/>
      <c r="J13" s="1049"/>
      <c r="K13" s="1056"/>
      <c r="L13" s="1056"/>
      <c r="M13" s="1056"/>
      <c r="N13" s="1056"/>
      <c r="O13" s="1056"/>
      <c r="P13" s="1056"/>
      <c r="Q13" s="1056"/>
      <c r="R13" s="1056"/>
      <c r="S13" s="1056"/>
      <c r="T13" s="1056"/>
      <c r="U13" s="1056"/>
      <c r="V13" s="1056"/>
      <c r="W13" s="1056"/>
      <c r="X13" s="1056"/>
      <c r="Y13" s="1056"/>
      <c r="Z13" s="1056"/>
      <c r="AA13" s="1056"/>
      <c r="AB13" s="1056"/>
      <c r="AC13" s="1056"/>
      <c r="AD13" s="1056"/>
      <c r="AE13" s="1056"/>
      <c r="AF13" s="1056"/>
      <c r="AG13" s="1056"/>
      <c r="AH13" s="1074"/>
      <c r="AI13" s="1067"/>
      <c r="AJ13" s="1056"/>
      <c r="AK13" s="1056"/>
      <c r="AL13" s="837"/>
      <c r="AM13" s="835"/>
      <c r="AN13" s="835"/>
      <c r="AO13" s="835"/>
      <c r="AP13" s="835"/>
      <c r="AQ13" s="835"/>
      <c r="AR13" s="835"/>
      <c r="AS13" s="835"/>
      <c r="AT13" s="835"/>
      <c r="AU13" s="835"/>
      <c r="AV13" s="835"/>
      <c r="AW13" s="835"/>
      <c r="AX13" s="835"/>
      <c r="AY13" s="835"/>
      <c r="AZ13" s="835"/>
      <c r="BA13" s="835"/>
      <c r="BB13" s="835"/>
      <c r="BC13" s="835"/>
      <c r="BD13" s="835"/>
      <c r="BE13" s="835"/>
      <c r="BF13" s="835"/>
      <c r="BG13" s="691">
        <v>1</v>
      </c>
    </row>
    <row r="14" spans="1:59" ht="10.5" customHeight="1">
      <c r="E14" s="835"/>
      <c r="F14" s="846"/>
      <c r="G14" s="846"/>
      <c r="H14" s="1097"/>
      <c r="I14" s="846"/>
      <c r="J14" s="846"/>
      <c r="K14" s="846"/>
      <c r="L14" s="1056"/>
      <c r="M14" s="1056"/>
      <c r="N14" s="846"/>
      <c r="O14" s="846"/>
      <c r="P14" s="846"/>
      <c r="Q14" s="846"/>
      <c r="R14" s="846"/>
      <c r="S14" s="846"/>
      <c r="T14" s="846"/>
      <c r="U14" s="846"/>
      <c r="V14" s="846"/>
      <c r="W14" s="846"/>
      <c r="X14" s="846"/>
      <c r="Y14" s="846"/>
      <c r="Z14" s="846"/>
      <c r="AA14" s="846"/>
      <c r="AB14" s="846"/>
      <c r="AC14" s="846"/>
      <c r="AD14" s="1056"/>
      <c r="AE14" s="846"/>
      <c r="AF14" s="846"/>
      <c r="AG14" s="846"/>
      <c r="AH14" s="1074"/>
      <c r="AI14" s="1067"/>
      <c r="AJ14" s="846"/>
      <c r="AK14" s="846"/>
      <c r="AL14" s="835"/>
      <c r="AM14" s="835"/>
      <c r="AN14" s="835"/>
      <c r="AO14" s="835"/>
      <c r="AP14" s="835"/>
      <c r="AQ14" s="835"/>
      <c r="AR14" s="835"/>
      <c r="AS14" s="835"/>
      <c r="AT14" s="835"/>
      <c r="AU14" s="835"/>
      <c r="AV14" s="835"/>
      <c r="AW14" s="835"/>
      <c r="AX14" s="835"/>
      <c r="AY14" s="835"/>
      <c r="AZ14" s="835"/>
      <c r="BA14" s="835"/>
      <c r="BB14" s="835"/>
      <c r="BC14" s="835"/>
      <c r="BD14" s="835"/>
      <c r="BE14" s="835"/>
      <c r="BF14" s="835"/>
      <c r="BG14" s="691">
        <v>10</v>
      </c>
    </row>
    <row r="15" spans="1:59" ht="13.5" customHeight="1">
      <c r="E15" s="835"/>
      <c r="F15" s="842" t="s">
        <v>1015</v>
      </c>
      <c r="G15" s="842"/>
      <c r="H15" s="1096"/>
      <c r="I15" s="842"/>
      <c r="J15" s="842"/>
      <c r="K15" s="839"/>
      <c r="L15" s="1052"/>
      <c r="M15" s="1052"/>
      <c r="N15" s="841"/>
      <c r="O15" s="841"/>
      <c r="P15" s="841"/>
      <c r="Q15" s="841"/>
      <c r="R15" s="841"/>
      <c r="S15" s="841"/>
      <c r="T15" s="841"/>
      <c r="U15" s="841"/>
      <c r="V15" s="841"/>
      <c r="W15" s="841"/>
      <c r="X15" s="841"/>
      <c r="Y15" s="841"/>
      <c r="Z15" s="839"/>
      <c r="AA15" s="839"/>
      <c r="AB15" s="839"/>
      <c r="AC15" s="839"/>
      <c r="AD15" s="1052"/>
      <c r="AE15" s="839"/>
      <c r="AF15" s="839"/>
      <c r="AG15" s="839"/>
      <c r="AH15" s="1071"/>
      <c r="AI15" s="1064"/>
      <c r="AJ15" s="839"/>
      <c r="AK15" s="839"/>
      <c r="AL15" s="835"/>
      <c r="AM15" s="835"/>
      <c r="AN15" s="835"/>
      <c r="AO15" s="835"/>
      <c r="AP15" s="835"/>
      <c r="AQ15" s="835"/>
      <c r="AR15" s="835"/>
      <c r="AS15" s="835"/>
      <c r="AT15" s="835"/>
      <c r="AU15" s="835"/>
      <c r="AV15" s="835"/>
      <c r="AW15" s="835"/>
      <c r="AX15" s="835"/>
      <c r="AY15" s="835"/>
      <c r="AZ15" s="835"/>
      <c r="BA15" s="835"/>
      <c r="BB15" s="835"/>
      <c r="BC15" s="835"/>
      <c r="BD15" s="835"/>
      <c r="BE15" s="835"/>
      <c r="BF15" s="835"/>
      <c r="BG15" s="691">
        <v>13</v>
      </c>
    </row>
    <row r="16" spans="1:59" ht="10.5" customHeight="1">
      <c r="BG16" s="691">
        <v>10</v>
      </c>
    </row>
    <row r="17" spans="1:59" ht="10.5" customHeight="1">
      <c r="E17" s="835"/>
      <c r="F17" s="2303"/>
      <c r="G17" s="2303"/>
      <c r="H17" s="2303"/>
      <c r="I17" s="2303"/>
      <c r="J17" s="2303"/>
      <c r="K17" s="839"/>
      <c r="L17" s="1052"/>
      <c r="M17" s="1052"/>
      <c r="N17" s="841"/>
      <c r="O17" s="841"/>
      <c r="P17" s="841"/>
      <c r="Q17" s="841"/>
      <c r="R17" s="841"/>
      <c r="S17" s="841"/>
      <c r="T17" s="841"/>
      <c r="U17" s="841"/>
      <c r="V17" s="841"/>
      <c r="W17" s="841"/>
      <c r="X17" s="841"/>
      <c r="Y17" s="841"/>
      <c r="Z17" s="839"/>
      <c r="AA17" s="839"/>
      <c r="AB17" s="839"/>
      <c r="AC17" s="839"/>
      <c r="AD17" s="1052"/>
      <c r="AE17" s="839"/>
      <c r="AF17" s="839"/>
      <c r="AG17" s="839"/>
      <c r="AH17" s="1071"/>
      <c r="AI17" s="1064"/>
      <c r="AJ17" s="839"/>
      <c r="AK17" s="839"/>
      <c r="AL17" s="835"/>
      <c r="AM17" s="835"/>
      <c r="AN17" s="835"/>
      <c r="AO17" s="835"/>
      <c r="AP17" s="835"/>
      <c r="AQ17" s="835"/>
      <c r="AR17" s="835"/>
      <c r="AS17" s="835"/>
      <c r="AT17" s="835"/>
      <c r="AU17" s="835"/>
      <c r="AV17" s="835"/>
      <c r="AW17" s="835"/>
      <c r="AX17" s="835"/>
      <c r="AY17" s="835"/>
      <c r="AZ17" s="835"/>
      <c r="BA17" s="835"/>
      <c r="BB17" s="835"/>
      <c r="BC17" s="835"/>
      <c r="BD17" s="835"/>
      <c r="BE17" s="835"/>
      <c r="BF17" s="835"/>
      <c r="BG17" s="691">
        <v>10</v>
      </c>
    </row>
    <row r="18" spans="1:59" ht="10.5" customHeight="1">
      <c r="E18" s="835"/>
      <c r="F18" s="2303"/>
      <c r="G18" s="2303"/>
      <c r="H18" s="2303"/>
      <c r="I18" s="2303"/>
      <c r="J18" s="2303"/>
      <c r="K18" s="839"/>
      <c r="L18" s="1052"/>
      <c r="M18" s="1052"/>
      <c r="N18" s="841"/>
      <c r="O18" s="841"/>
      <c r="P18" s="841"/>
      <c r="Q18" s="841"/>
      <c r="R18" s="841"/>
      <c r="S18" s="841"/>
      <c r="T18" s="841"/>
      <c r="U18" s="841"/>
      <c r="V18" s="841"/>
      <c r="W18" s="841"/>
      <c r="X18" s="841"/>
      <c r="Y18" s="841"/>
      <c r="Z18" s="839"/>
      <c r="AA18" s="839"/>
      <c r="AB18" s="839"/>
      <c r="AC18" s="839"/>
      <c r="AD18" s="1052"/>
      <c r="AE18" s="839"/>
      <c r="AF18" s="839"/>
      <c r="AG18" s="839"/>
      <c r="AH18" s="1071"/>
      <c r="AI18" s="1064"/>
      <c r="AJ18" s="839"/>
      <c r="AK18" s="839"/>
      <c r="AL18" s="835"/>
      <c r="AM18" s="835"/>
      <c r="AN18" s="835"/>
      <c r="AO18" s="835"/>
      <c r="AP18" s="835"/>
      <c r="AQ18" s="835"/>
      <c r="AR18" s="835"/>
      <c r="AS18" s="835"/>
      <c r="AT18" s="835"/>
      <c r="AU18" s="835"/>
      <c r="AV18" s="835"/>
      <c r="AW18" s="835"/>
      <c r="AX18" s="835"/>
      <c r="AY18" s="835"/>
      <c r="AZ18" s="835"/>
      <c r="BA18" s="835"/>
      <c r="BB18" s="835"/>
      <c r="BC18" s="835"/>
      <c r="BD18" s="835"/>
      <c r="BE18" s="835"/>
      <c r="BF18" s="835"/>
      <c r="BG18" s="691">
        <v>10</v>
      </c>
    </row>
    <row r="19" spans="1:59" ht="10.5" customHeight="1">
      <c r="E19" s="835"/>
      <c r="F19" s="2303"/>
      <c r="G19" s="2303"/>
      <c r="H19" s="2303"/>
      <c r="I19" s="2303"/>
      <c r="J19" s="2303"/>
      <c r="K19" s="839"/>
      <c r="L19" s="1052"/>
      <c r="M19" s="1052"/>
      <c r="N19" s="841"/>
      <c r="O19" s="841"/>
      <c r="P19" s="841"/>
      <c r="Q19" s="841"/>
      <c r="R19" s="841"/>
      <c r="S19" s="841"/>
      <c r="T19" s="841"/>
      <c r="U19" s="841"/>
      <c r="V19" s="841"/>
      <c r="W19" s="841"/>
      <c r="X19" s="841"/>
      <c r="Y19" s="841"/>
      <c r="Z19" s="839"/>
      <c r="AA19" s="839"/>
      <c r="AB19" s="839"/>
      <c r="AC19" s="839"/>
      <c r="AD19" s="1052"/>
      <c r="AE19" s="839"/>
      <c r="AF19" s="839"/>
      <c r="AG19" s="839"/>
      <c r="AH19" s="1071"/>
      <c r="AI19" s="1064"/>
      <c r="AJ19" s="839"/>
      <c r="AK19" s="839"/>
      <c r="AL19" s="835"/>
      <c r="AM19" s="835"/>
      <c r="AN19" s="835"/>
      <c r="AO19" s="835"/>
      <c r="AP19" s="835"/>
      <c r="AQ19" s="835"/>
      <c r="AR19" s="835"/>
      <c r="AS19" s="835"/>
      <c r="AT19" s="835"/>
      <c r="AU19" s="835"/>
      <c r="AV19" s="835"/>
      <c r="AW19" s="835"/>
      <c r="AX19" s="835"/>
      <c r="AY19" s="835"/>
      <c r="AZ19" s="835"/>
      <c r="BA19" s="835"/>
      <c r="BB19" s="835"/>
      <c r="BC19" s="835"/>
      <c r="BD19" s="835"/>
      <c r="BE19" s="835"/>
      <c r="BF19" s="835"/>
      <c r="BG19" s="691">
        <v>10</v>
      </c>
    </row>
    <row r="20" spans="1:59" ht="10.5" hidden="1" customHeight="1">
      <c r="A20" s="823" t="s">
        <v>82</v>
      </c>
      <c r="B20" s="823">
        <v>0</v>
      </c>
      <c r="C20" s="823">
        <v>0</v>
      </c>
      <c r="D20" s="352">
        <v>0</v>
      </c>
      <c r="E20" s="444">
        <v>3</v>
      </c>
      <c r="F20" s="691">
        <v>14</v>
      </c>
      <c r="G20" s="691">
        <v>3</v>
      </c>
      <c r="H20" s="1080">
        <v>7</v>
      </c>
      <c r="I20" s="691">
        <v>16</v>
      </c>
      <c r="J20" s="691">
        <v>16</v>
      </c>
      <c r="K20" s="691">
        <v>25</v>
      </c>
      <c r="L20" s="1050">
        <v>7</v>
      </c>
      <c r="M20" s="1050">
        <v>15</v>
      </c>
      <c r="N20" s="691">
        <v>3</v>
      </c>
      <c r="O20" s="691">
        <v>4</v>
      </c>
      <c r="P20" s="691">
        <v>8</v>
      </c>
      <c r="Q20" s="691">
        <v>21</v>
      </c>
      <c r="R20" s="691">
        <v>14</v>
      </c>
      <c r="S20" s="691">
        <v>17</v>
      </c>
      <c r="T20" s="691">
        <v>17</v>
      </c>
      <c r="U20" s="691">
        <v>9</v>
      </c>
      <c r="V20" s="691">
        <v>12</v>
      </c>
      <c r="W20" s="691">
        <v>9</v>
      </c>
      <c r="X20" s="691">
        <v>21</v>
      </c>
      <c r="Y20" s="691">
        <v>12</v>
      </c>
      <c r="Z20" s="691">
        <v>3</v>
      </c>
      <c r="AA20" s="691">
        <v>6</v>
      </c>
      <c r="AB20" s="691">
        <v>38</v>
      </c>
      <c r="AC20" s="691">
        <v>15</v>
      </c>
      <c r="AD20" s="1050">
        <v>0</v>
      </c>
      <c r="AE20" s="691">
        <v>0</v>
      </c>
      <c r="AF20" s="691">
        <v>16</v>
      </c>
      <c r="AG20" s="691">
        <v>16</v>
      </c>
      <c r="AH20" s="1069">
        <v>16</v>
      </c>
      <c r="AI20" s="1062">
        <v>0</v>
      </c>
      <c r="AJ20" s="691">
        <v>0</v>
      </c>
      <c r="AK20" s="691">
        <v>0</v>
      </c>
      <c r="AL20" s="691">
        <v>8</v>
      </c>
      <c r="AM20" s="691">
        <v>8</v>
      </c>
      <c r="AN20" s="691">
        <v>8</v>
      </c>
      <c r="AO20" s="691">
        <v>8</v>
      </c>
      <c r="AP20" s="691">
        <v>8</v>
      </c>
      <c r="AQ20" s="691">
        <v>8</v>
      </c>
      <c r="AR20" s="691">
        <v>8</v>
      </c>
      <c r="AS20" s="691">
        <v>8</v>
      </c>
      <c r="AT20" s="691">
        <v>8</v>
      </c>
      <c r="AU20" s="691">
        <v>8</v>
      </c>
      <c r="AV20" s="691">
        <v>8</v>
      </c>
      <c r="AW20" s="691">
        <v>8</v>
      </c>
      <c r="AX20" s="691">
        <v>8</v>
      </c>
      <c r="AY20" s="691">
        <v>8</v>
      </c>
      <c r="AZ20" s="691">
        <v>8</v>
      </c>
      <c r="BA20" s="691">
        <v>8</v>
      </c>
      <c r="BB20" s="691">
        <v>8</v>
      </c>
      <c r="BC20" s="691">
        <v>8</v>
      </c>
      <c r="BD20" s="691">
        <v>8</v>
      </c>
      <c r="BE20" s="691">
        <v>8</v>
      </c>
      <c r="BF20" s="691">
        <v>8</v>
      </c>
      <c r="BG20" s="691">
        <v>10</v>
      </c>
    </row>
  </sheetData>
  <sheetProtection formatColumns="0" formatRows="0" insertRows="0" deleteColumns="0" deleteRows="0" sort="0" autoFilter="0"/>
  <mergeCells count="28">
    <mergeCell ref="AB9:AE10"/>
    <mergeCell ref="S11:Y11"/>
    <mergeCell ref="N10:Y10"/>
    <mergeCell ref="K9:Y9"/>
    <mergeCell ref="N11:O12"/>
    <mergeCell ref="P11:P12"/>
    <mergeCell ref="Q11:Q12"/>
    <mergeCell ref="F19:J19"/>
    <mergeCell ref="F9:F12"/>
    <mergeCell ref="G9:H12"/>
    <mergeCell ref="F6:K6"/>
    <mergeCell ref="F8:AK8"/>
    <mergeCell ref="R11:R12"/>
    <mergeCell ref="L10:M10"/>
    <mergeCell ref="Z9:AA12"/>
    <mergeCell ref="M11:M12"/>
    <mergeCell ref="L11:L12"/>
    <mergeCell ref="AB11:AC11"/>
    <mergeCell ref="AD11:AE11"/>
    <mergeCell ref="AI9:AI12"/>
    <mergeCell ref="AG9:AH11"/>
    <mergeCell ref="AJ9:AK11"/>
    <mergeCell ref="AF9:AF12"/>
    <mergeCell ref="I9:J11"/>
    <mergeCell ref="K10:K12"/>
    <mergeCell ref="F18:J18"/>
    <mergeCell ref="F17:J17"/>
    <mergeCell ref="F5:K5"/>
  </mergeCell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9" tint="-0.249977111117893"/>
  </sheetPr>
  <dimension ref="A1:W59"/>
  <sheetViews>
    <sheetView showGridLines="0" zoomScale="85" workbookViewId="0">
      <pane xSplit="9" ySplit="13" topLeftCell="J14" activePane="bottomRight" state="frozen"/>
      <selection pane="topRight" activeCell="J1" sqref="J1"/>
      <selection pane="bottomLeft" activeCell="A14" sqref="A14"/>
      <selection pane="bottomRight"/>
    </sheetView>
  </sheetViews>
  <sheetFormatPr defaultColWidth="9.140625" defaultRowHeight="10.5" customHeight="1"/>
  <cols>
    <col min="1" max="3" width="4.140625" style="1091" hidden="1" customWidth="1"/>
    <col min="4" max="4" width="4.140625" style="1291" hidden="1" customWidth="1"/>
    <col min="5" max="5" width="3" style="1560" customWidth="1"/>
    <col min="6" max="6" width="6" style="1560" customWidth="1"/>
    <col min="7" max="7" width="60" style="1560" customWidth="1"/>
    <col min="8" max="9" width="21.7109375" style="1560" hidden="1" customWidth="1"/>
    <col min="10" max="10" width="0.140625" style="1560" customWidth="1"/>
    <col min="11" max="11" width="1" style="1560" customWidth="1"/>
    <col min="12" max="22" width="8" style="1560" customWidth="1"/>
    <col min="23" max="23" width="9.140625" style="1560" hidden="1"/>
  </cols>
  <sheetData>
    <row r="1" spans="1:23" s="1291" customFormat="1" ht="10.5" hidden="1" customHeight="1">
      <c r="A1" s="1091"/>
      <c r="B1" s="1091"/>
      <c r="C1" s="1091"/>
      <c r="E1" s="472"/>
      <c r="W1" s="1085" t="s">
        <v>14</v>
      </c>
    </row>
    <row r="2" spans="1:23" ht="10.5" hidden="1" customHeight="1">
      <c r="W2" s="1080">
        <v>0</v>
      </c>
    </row>
    <row r="3" spans="1:23" s="1557" customFormat="1" ht="10.5" hidden="1" customHeight="1">
      <c r="A3" s="1091"/>
      <c r="B3" s="1091"/>
      <c r="C3" s="1091"/>
      <c r="D3" s="1085"/>
      <c r="E3" s="297"/>
      <c r="W3" s="1081">
        <v>0</v>
      </c>
    </row>
    <row r="4" spans="1:23" ht="3" customHeight="1">
      <c r="W4" s="1080">
        <v>3</v>
      </c>
    </row>
    <row r="5" spans="1:23" ht="27.4" customHeight="1">
      <c r="F5" s="2170" t="str">
        <f>IP_NAME_FORM&amp;"
Финансовый план"</f>
        <v>Форма 13. Информация об инвестиционных программах регулируемой организации и отчетах об их исполнении, об инвестиционных программах единой теплоснабжающей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 об инвестиционных программах теплоснабжающей организации в ценовых зонах теплоснабжения и теплосетевой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
Финансовый план</v>
      </c>
      <c r="G5" s="2170"/>
      <c r="H5" s="2170"/>
      <c r="I5" s="2170"/>
      <c r="J5" s="2170"/>
      <c r="W5" s="1080">
        <v>26</v>
      </c>
    </row>
    <row r="6" spans="1:23" ht="10.5" customHeight="1">
      <c r="F6" s="2115" t="str">
        <f>IF(org=0,"Не определено",org)</f>
        <v>ООО "ЗЕНИТ ЭНЕРГО"</v>
      </c>
      <c r="G6" s="2115"/>
      <c r="H6" s="2115"/>
      <c r="I6" s="2115"/>
      <c r="J6" s="2115"/>
      <c r="W6" s="1080">
        <v>10</v>
      </c>
    </row>
    <row r="7" spans="1:23" ht="11.45" customHeight="1">
      <c r="E7" s="1095"/>
      <c r="F7" s="1152"/>
      <c r="G7" s="1152"/>
      <c r="H7" s="1152"/>
      <c r="I7" s="1152"/>
      <c r="J7" s="1152"/>
      <c r="K7" s="1082"/>
      <c r="L7" s="1082"/>
      <c r="M7" s="1082"/>
      <c r="N7" s="1082"/>
      <c r="O7" s="1082"/>
      <c r="P7" s="1082"/>
      <c r="Q7" s="1082"/>
      <c r="R7" s="1082"/>
      <c r="S7" s="1082"/>
      <c r="T7" s="1082"/>
      <c r="U7" s="1082"/>
      <c r="V7" s="1082"/>
      <c r="W7" s="1080">
        <v>11</v>
      </c>
    </row>
    <row r="8" spans="1:23" s="1567" customFormat="1" ht="4.1500000000000004" customHeight="1">
      <c r="A8" s="1092"/>
      <c r="B8" s="1092"/>
      <c r="C8" s="1092"/>
      <c r="E8" s="1153"/>
      <c r="F8" s="1154"/>
      <c r="G8" s="1154"/>
      <c r="H8" s="1154"/>
      <c r="I8" s="1154"/>
      <c r="J8" s="1154"/>
      <c r="K8" s="1153"/>
      <c r="L8" s="1153"/>
      <c r="M8" s="1153"/>
      <c r="N8" s="1153"/>
      <c r="O8" s="1153"/>
      <c r="P8" s="1153"/>
      <c r="Q8" s="1153"/>
      <c r="R8" s="1153"/>
      <c r="S8" s="1153"/>
      <c r="T8" s="1153"/>
      <c r="U8" s="1153"/>
      <c r="V8" s="1153"/>
      <c r="W8" s="446">
        <v>4</v>
      </c>
    </row>
    <row r="9" spans="1:23" ht="10.5" customHeight="1">
      <c r="E9" s="1095"/>
      <c r="F9" s="2308" t="s">
        <v>299</v>
      </c>
      <c r="G9" s="2309"/>
      <c r="H9" s="2309"/>
      <c r="I9" s="2309"/>
      <c r="J9" s="2309"/>
      <c r="K9" s="1165"/>
      <c r="L9" s="1082"/>
      <c r="M9" s="1082"/>
      <c r="N9" s="1082"/>
      <c r="O9" s="1082"/>
      <c r="P9" s="1082"/>
      <c r="Q9" s="1082"/>
      <c r="R9" s="1082"/>
      <c r="S9" s="1082"/>
      <c r="T9" s="1082"/>
      <c r="U9" s="1082"/>
      <c r="V9" s="1082"/>
      <c r="W9" s="1080">
        <v>10</v>
      </c>
    </row>
    <row r="10" spans="1:23" ht="25.15" customHeight="1">
      <c r="E10" s="1082"/>
      <c r="F10" s="2312" t="s">
        <v>88</v>
      </c>
      <c r="G10" s="2316" t="s">
        <v>1016</v>
      </c>
      <c r="H10" s="2298" t="s">
        <v>1017</v>
      </c>
      <c r="I10" s="2298"/>
      <c r="J10" s="2298"/>
      <c r="K10" s="1158"/>
      <c r="L10" s="1082"/>
      <c r="M10" s="1082"/>
      <c r="N10" s="1082"/>
      <c r="O10" s="1082"/>
      <c r="P10" s="1082"/>
      <c r="Q10" s="1082"/>
      <c r="R10" s="1082"/>
      <c r="S10" s="1082"/>
      <c r="T10" s="1082"/>
      <c r="U10" s="1082"/>
      <c r="V10" s="1082"/>
      <c r="W10" s="1080">
        <v>24</v>
      </c>
    </row>
    <row r="11" spans="1:23" ht="25.5" customHeight="1">
      <c r="E11" s="1082"/>
      <c r="F11" s="2313"/>
      <c r="G11" s="2316"/>
      <c r="H11" s="2315" t="e">
        <f>INDEX(IP_MAIN_LIST_NAME_IP,MATCH(H8,IP_MAIN_LIST_IP_ID,0))&amp;" ("&amp;INDEX(IP_MAIN_START_DATE,MATCH(H8,IP_MAIN_LIST_IP_ID,0))&amp;"-"&amp;INDEX(IP_MAIN_END_DATE,MATCH(H8,IP_MAIN_LIST_IP_ID,0))&amp;")"</f>
        <v>#N/A</v>
      </c>
      <c r="I11" s="2315"/>
      <c r="J11" s="2315"/>
      <c r="K11" s="1158"/>
      <c r="L11" s="1082"/>
      <c r="M11" s="1082"/>
      <c r="N11" s="1082"/>
      <c r="O11" s="1082"/>
      <c r="P11" s="1082"/>
      <c r="Q11" s="1082"/>
      <c r="R11" s="1082"/>
      <c r="S11" s="1082"/>
      <c r="T11" s="1082"/>
      <c r="U11" s="1082"/>
      <c r="V11" s="1082"/>
      <c r="W11" s="1080">
        <v>24</v>
      </c>
    </row>
    <row r="12" spans="1:23" ht="10.5" customHeight="1">
      <c r="F12" s="2314"/>
      <c r="G12" s="2316"/>
      <c r="H12" s="1151" t="s">
        <v>1018</v>
      </c>
      <c r="I12" s="1157"/>
      <c r="J12" s="1151"/>
      <c r="K12" s="1159"/>
      <c r="W12" s="1080">
        <v>10</v>
      </c>
    </row>
    <row r="13" spans="1:23" ht="10.5" hidden="1" customHeight="1">
      <c r="F13" s="1151">
        <v>1</v>
      </c>
      <c r="G13" s="1151">
        <v>2</v>
      </c>
      <c r="H13" s="1151">
        <v>3</v>
      </c>
      <c r="I13" s="1151">
        <v>4</v>
      </c>
      <c r="J13" s="1151">
        <v>5</v>
      </c>
      <c r="K13" s="1159"/>
      <c r="W13" s="1080">
        <v>0</v>
      </c>
    </row>
    <row r="14" spans="1:23" ht="11.45" customHeight="1">
      <c r="F14" s="1150" t="s">
        <v>1019</v>
      </c>
      <c r="G14" s="2310" t="s">
        <v>1020</v>
      </c>
      <c r="H14" s="2310"/>
      <c r="I14" s="2310"/>
      <c r="J14" s="2310"/>
      <c r="K14" s="1159"/>
      <c r="W14" s="1080">
        <v>11</v>
      </c>
    </row>
    <row r="15" spans="1:23" ht="11.45" customHeight="1">
      <c r="F15" s="1155">
        <v>1</v>
      </c>
      <c r="G15" s="625" t="s">
        <v>1021</v>
      </c>
      <c r="H15" s="1161">
        <f t="shared" ref="H15:H36" si="0">SUM(I15:J15)</f>
        <v>0</v>
      </c>
      <c r="I15" s="1161">
        <f>SUM(I16:I27)</f>
        <v>0</v>
      </c>
      <c r="J15" s="1150"/>
      <c r="K15" s="1159"/>
      <c r="W15" s="1080">
        <v>11</v>
      </c>
    </row>
    <row r="16" spans="1:23" ht="24" customHeight="1">
      <c r="F16" s="1155" t="s">
        <v>1022</v>
      </c>
      <c r="G16" s="1162" t="s">
        <v>1023</v>
      </c>
      <c r="H16" s="1161">
        <f t="shared" si="0"/>
        <v>0</v>
      </c>
      <c r="I16" s="1160"/>
      <c r="J16" s="1150"/>
      <c r="K16" s="1159"/>
      <c r="W16" s="1080">
        <v>23</v>
      </c>
    </row>
    <row r="17" spans="6:23" ht="24" customHeight="1">
      <c r="F17" s="1155" t="s">
        <v>1024</v>
      </c>
      <c r="G17" s="1162" t="s">
        <v>1025</v>
      </c>
      <c r="H17" s="1161">
        <f t="shared" si="0"/>
        <v>0</v>
      </c>
      <c r="I17" s="1160"/>
      <c r="J17" s="1150"/>
      <c r="K17" s="1159"/>
      <c r="W17" s="1080">
        <v>23</v>
      </c>
    </row>
    <row r="18" spans="6:23" ht="35.65" customHeight="1">
      <c r="F18" s="1155" t="s">
        <v>1026</v>
      </c>
      <c r="G18" s="1162" t="s">
        <v>1027</v>
      </c>
      <c r="H18" s="1161">
        <f t="shared" si="0"/>
        <v>0</v>
      </c>
      <c r="I18" s="1160"/>
      <c r="J18" s="1150"/>
      <c r="K18" s="1159"/>
      <c r="W18" s="1080">
        <v>34</v>
      </c>
    </row>
    <row r="19" spans="6:23" ht="35.65" customHeight="1">
      <c r="F19" s="1155" t="s">
        <v>1028</v>
      </c>
      <c r="G19" s="1162" t="s">
        <v>1029</v>
      </c>
      <c r="H19" s="1161">
        <f t="shared" si="0"/>
        <v>0</v>
      </c>
      <c r="I19" s="1160"/>
      <c r="J19" s="1150"/>
      <c r="K19" s="1159"/>
      <c r="W19" s="1080">
        <v>34</v>
      </c>
    </row>
    <row r="20" spans="6:23" ht="48.2" customHeight="1">
      <c r="F20" s="1155" t="s">
        <v>1030</v>
      </c>
      <c r="G20" s="1162" t="s">
        <v>1031</v>
      </c>
      <c r="H20" s="1161">
        <f t="shared" si="0"/>
        <v>0</v>
      </c>
      <c r="I20" s="1160"/>
      <c r="J20" s="1150"/>
      <c r="K20" s="1159"/>
      <c r="W20" s="1080">
        <v>46</v>
      </c>
    </row>
    <row r="21" spans="6:23" ht="35.65" customHeight="1">
      <c r="F21" s="1155" t="s">
        <v>1032</v>
      </c>
      <c r="G21" s="1162" t="s">
        <v>1033</v>
      </c>
      <c r="H21" s="1161">
        <f t="shared" si="0"/>
        <v>0</v>
      </c>
      <c r="I21" s="1160"/>
      <c r="J21" s="1150"/>
      <c r="K21" s="1159"/>
      <c r="W21" s="1080">
        <v>34</v>
      </c>
    </row>
    <row r="22" spans="6:23" ht="35.65" customHeight="1">
      <c r="F22" s="1155" t="s">
        <v>1034</v>
      </c>
      <c r="G22" s="1162" t="s">
        <v>1035</v>
      </c>
      <c r="H22" s="1161">
        <f t="shared" si="0"/>
        <v>0</v>
      </c>
      <c r="I22" s="1160"/>
      <c r="J22" s="1150"/>
      <c r="K22" s="1159"/>
      <c r="W22" s="1080">
        <v>34</v>
      </c>
    </row>
    <row r="23" spans="6:23" ht="24" customHeight="1">
      <c r="F23" s="1155" t="s">
        <v>1036</v>
      </c>
      <c r="G23" s="1162" t="s">
        <v>1037</v>
      </c>
      <c r="H23" s="1161">
        <f t="shared" si="0"/>
        <v>0</v>
      </c>
      <c r="I23" s="1160"/>
      <c r="J23" s="1150"/>
      <c r="K23" s="1159"/>
      <c r="W23" s="1080">
        <v>23</v>
      </c>
    </row>
    <row r="24" spans="6:23" ht="24" customHeight="1">
      <c r="F24" s="1155" t="s">
        <v>1038</v>
      </c>
      <c r="G24" s="1162" t="s">
        <v>1039</v>
      </c>
      <c r="H24" s="1161">
        <f t="shared" si="0"/>
        <v>0</v>
      </c>
      <c r="I24" s="1160"/>
      <c r="J24" s="1150"/>
      <c r="K24" s="1159"/>
      <c r="W24" s="1080">
        <v>23</v>
      </c>
    </row>
    <row r="25" spans="6:23" ht="35.65" customHeight="1">
      <c r="F25" s="1155" t="s">
        <v>1040</v>
      </c>
      <c r="G25" s="1162" t="s">
        <v>1041</v>
      </c>
      <c r="H25" s="1161">
        <f t="shared" si="0"/>
        <v>0</v>
      </c>
      <c r="I25" s="1160"/>
      <c r="J25" s="1150"/>
      <c r="K25" s="1159"/>
      <c r="W25" s="1080">
        <v>34</v>
      </c>
    </row>
    <row r="26" spans="6:23" ht="35.65" customHeight="1">
      <c r="F26" s="1155" t="s">
        <v>1042</v>
      </c>
      <c r="G26" s="1162" t="s">
        <v>1043</v>
      </c>
      <c r="H26" s="1161">
        <f t="shared" si="0"/>
        <v>0</v>
      </c>
      <c r="I26" s="1160"/>
      <c r="J26" s="1150"/>
      <c r="K26" s="1159"/>
      <c r="W26" s="1080">
        <v>34</v>
      </c>
    </row>
    <row r="27" spans="6:23" ht="11.45" customHeight="1">
      <c r="F27" s="1155" t="s">
        <v>1044</v>
      </c>
      <c r="G27" s="1162" t="s">
        <v>1045</v>
      </c>
      <c r="H27" s="1161">
        <f t="shared" si="0"/>
        <v>0</v>
      </c>
      <c r="I27" s="1160"/>
      <c r="J27" s="1150"/>
      <c r="K27" s="1159"/>
      <c r="W27" s="1080">
        <v>11</v>
      </c>
    </row>
    <row r="28" spans="6:23" ht="11.45" customHeight="1">
      <c r="F28" s="1155">
        <v>2</v>
      </c>
      <c r="G28" s="625" t="s">
        <v>1046</v>
      </c>
      <c r="H28" s="1161">
        <f t="shared" si="0"/>
        <v>0</v>
      </c>
      <c r="I28" s="1161">
        <f>SUM(I29:I31)</f>
        <v>0</v>
      </c>
      <c r="J28" s="1150"/>
      <c r="K28" s="1159"/>
      <c r="W28" s="1080">
        <v>11</v>
      </c>
    </row>
    <row r="29" spans="6:23" ht="11.45" customHeight="1">
      <c r="F29" s="1155" t="s">
        <v>708</v>
      </c>
      <c r="G29" s="1162" t="s">
        <v>1047</v>
      </c>
      <c r="H29" s="1161">
        <f t="shared" si="0"/>
        <v>0</v>
      </c>
      <c r="I29" s="1160"/>
      <c r="J29" s="1150"/>
      <c r="K29" s="1159"/>
      <c r="W29" s="1080">
        <v>11</v>
      </c>
    </row>
    <row r="30" spans="6:23" ht="11.45" customHeight="1">
      <c r="F30" s="1155" t="s">
        <v>306</v>
      </c>
      <c r="G30" s="1162" t="s">
        <v>1048</v>
      </c>
      <c r="H30" s="1161">
        <f t="shared" si="0"/>
        <v>0</v>
      </c>
      <c r="I30" s="1160"/>
      <c r="J30" s="1150"/>
      <c r="K30" s="1159"/>
      <c r="W30" s="1080">
        <v>11</v>
      </c>
    </row>
    <row r="31" spans="6:23" ht="11.45" customHeight="1">
      <c r="F31" s="1155" t="s">
        <v>309</v>
      </c>
      <c r="G31" s="1162" t="s">
        <v>1049</v>
      </c>
      <c r="H31" s="1161">
        <f t="shared" si="0"/>
        <v>0</v>
      </c>
      <c r="I31" s="1160"/>
      <c r="J31" s="1150"/>
      <c r="K31" s="1159"/>
      <c r="W31" s="1080">
        <v>11</v>
      </c>
    </row>
    <row r="32" spans="6:23" ht="11.45" customHeight="1">
      <c r="F32" s="1155">
        <v>3</v>
      </c>
      <c r="G32" s="625" t="s">
        <v>1050</v>
      </c>
      <c r="H32" s="1161">
        <f t="shared" si="0"/>
        <v>0</v>
      </c>
      <c r="I32" s="1161">
        <f>SUM(I33:I34)</f>
        <v>0</v>
      </c>
      <c r="J32" s="1150"/>
      <c r="K32" s="1159"/>
      <c r="W32" s="1080">
        <v>11</v>
      </c>
    </row>
    <row r="33" spans="6:23" ht="48.2" customHeight="1">
      <c r="F33" s="1155" t="s">
        <v>323</v>
      </c>
      <c r="G33" s="1162" t="s">
        <v>1051</v>
      </c>
      <c r="H33" s="1161">
        <f t="shared" si="0"/>
        <v>0</v>
      </c>
      <c r="I33" s="1160"/>
      <c r="J33" s="1150"/>
      <c r="K33" s="1159"/>
      <c r="W33" s="1080">
        <v>46</v>
      </c>
    </row>
    <row r="34" spans="6:23" ht="11.45" customHeight="1">
      <c r="F34" s="1155" t="s">
        <v>331</v>
      </c>
      <c r="G34" s="1162" t="s">
        <v>1052</v>
      </c>
      <c r="H34" s="1161">
        <f t="shared" si="0"/>
        <v>0</v>
      </c>
      <c r="I34" s="1160"/>
      <c r="J34" s="1150"/>
      <c r="K34" s="1159"/>
      <c r="W34" s="1080">
        <v>11</v>
      </c>
    </row>
    <row r="35" spans="6:23" ht="11.45" customHeight="1">
      <c r="F35" s="1155">
        <v>4</v>
      </c>
      <c r="G35" s="625" t="s">
        <v>1053</v>
      </c>
      <c r="H35" s="1161">
        <f t="shared" si="0"/>
        <v>0</v>
      </c>
      <c r="I35" s="1160"/>
      <c r="J35" s="1150"/>
      <c r="K35" s="1159"/>
      <c r="W35" s="1080">
        <v>11</v>
      </c>
    </row>
    <row r="36" spans="6:23" ht="11.45" customHeight="1">
      <c r="F36" s="1155"/>
      <c r="G36" s="628" t="s">
        <v>1054</v>
      </c>
      <c r="H36" s="1161">
        <f t="shared" si="0"/>
        <v>0</v>
      </c>
      <c r="I36" s="1161">
        <f>SUM(I15,I28,I32,I35)</f>
        <v>0</v>
      </c>
      <c r="J36" s="1150"/>
      <c r="K36" s="1159"/>
      <c r="W36" s="1080">
        <v>11</v>
      </c>
    </row>
    <row r="37" spans="6:23" ht="29.25" customHeight="1">
      <c r="F37" s="1156" t="s">
        <v>1055</v>
      </c>
      <c r="G37" s="2311" t="s">
        <v>1056</v>
      </c>
      <c r="H37" s="2311"/>
      <c r="I37" s="2311"/>
      <c r="J37" s="2311"/>
      <c r="K37" s="1159"/>
      <c r="W37" s="1080">
        <v>28</v>
      </c>
    </row>
    <row r="38" spans="6:23" ht="24" customHeight="1">
      <c r="F38" s="1155" t="s">
        <v>109</v>
      </c>
      <c r="G38" s="625" t="s">
        <v>1057</v>
      </c>
      <c r="H38" s="1161">
        <f t="shared" ref="H38:H58" si="1">SUM(I38:J38)</f>
        <v>0</v>
      </c>
      <c r="I38" s="1161">
        <f>SUM(I39,I44,I47)</f>
        <v>0</v>
      </c>
      <c r="J38" s="1150"/>
      <c r="K38" s="1159"/>
      <c r="W38" s="1080">
        <v>23</v>
      </c>
    </row>
    <row r="39" spans="6:23" ht="11.45" customHeight="1">
      <c r="F39" s="1155" t="s">
        <v>1022</v>
      </c>
      <c r="G39" s="1162" t="s">
        <v>1021</v>
      </c>
      <c r="H39" s="1161">
        <f t="shared" si="1"/>
        <v>0</v>
      </c>
      <c r="I39" s="1161">
        <f>SUM(I40:I43)</f>
        <v>0</v>
      </c>
      <c r="J39" s="1150"/>
      <c r="K39" s="1159"/>
      <c r="W39" s="1080">
        <v>11</v>
      </c>
    </row>
    <row r="40" spans="6:23" ht="24" customHeight="1">
      <c r="F40" s="1155" t="s">
        <v>1058</v>
      </c>
      <c r="G40" s="1163" t="s">
        <v>1059</v>
      </c>
      <c r="H40" s="1161">
        <f t="shared" si="1"/>
        <v>0</v>
      </c>
      <c r="I40" s="1160"/>
      <c r="J40" s="1150"/>
      <c r="K40" s="1159"/>
      <c r="W40" s="1080">
        <v>23</v>
      </c>
    </row>
    <row r="41" spans="6:23" ht="11.45" customHeight="1">
      <c r="F41" s="1155" t="s">
        <v>1060</v>
      </c>
      <c r="G41" s="1163" t="s">
        <v>1061</v>
      </c>
      <c r="H41" s="1161">
        <f t="shared" si="1"/>
        <v>0</v>
      </c>
      <c r="I41" s="1160"/>
      <c r="J41" s="1150"/>
      <c r="K41" s="1159"/>
      <c r="W41" s="1080">
        <v>11</v>
      </c>
    </row>
    <row r="42" spans="6:23" ht="11.45" customHeight="1">
      <c r="F42" s="1155" t="s">
        <v>1062</v>
      </c>
      <c r="G42" s="1163" t="s">
        <v>1063</v>
      </c>
      <c r="H42" s="1161">
        <f t="shared" si="1"/>
        <v>0</v>
      </c>
      <c r="I42" s="1160"/>
      <c r="J42" s="1150"/>
      <c r="K42" s="1159"/>
      <c r="W42" s="1080">
        <v>11</v>
      </c>
    </row>
    <row r="43" spans="6:23" ht="35.65" customHeight="1">
      <c r="F43" s="1155" t="s">
        <v>1064</v>
      </c>
      <c r="G43" s="1163" t="s">
        <v>1065</v>
      </c>
      <c r="H43" s="1161">
        <f t="shared" si="1"/>
        <v>0</v>
      </c>
      <c r="I43" s="1160"/>
      <c r="J43" s="1150"/>
      <c r="K43" s="1159"/>
      <c r="W43" s="1080">
        <v>34</v>
      </c>
    </row>
    <row r="44" spans="6:23" ht="11.45" customHeight="1">
      <c r="F44" s="1155" t="s">
        <v>1024</v>
      </c>
      <c r="G44" s="1162" t="s">
        <v>1050</v>
      </c>
      <c r="H44" s="1161">
        <f t="shared" si="1"/>
        <v>0</v>
      </c>
      <c r="I44" s="1161">
        <f>SUM(I45:I46)</f>
        <v>0</v>
      </c>
      <c r="J44" s="1150"/>
      <c r="K44" s="1159"/>
      <c r="W44" s="1080">
        <v>11</v>
      </c>
    </row>
    <row r="45" spans="6:23" ht="48.2" customHeight="1">
      <c r="F45" s="1155" t="s">
        <v>1066</v>
      </c>
      <c r="G45" s="1163" t="s">
        <v>1051</v>
      </c>
      <c r="H45" s="1161">
        <f t="shared" si="1"/>
        <v>0</v>
      </c>
      <c r="I45" s="1160"/>
      <c r="J45" s="1150"/>
      <c r="K45" s="1159"/>
      <c r="W45" s="1080">
        <v>46</v>
      </c>
    </row>
    <row r="46" spans="6:23" ht="11.45" customHeight="1">
      <c r="F46" s="1155" t="s">
        <v>1067</v>
      </c>
      <c r="G46" s="1163" t="s">
        <v>1052</v>
      </c>
      <c r="H46" s="1161">
        <f t="shared" si="1"/>
        <v>0</v>
      </c>
      <c r="I46" s="1160"/>
      <c r="J46" s="1150"/>
      <c r="K46" s="1159"/>
      <c r="W46" s="1080">
        <v>11</v>
      </c>
    </row>
    <row r="47" spans="6:23" ht="11.45" customHeight="1">
      <c r="F47" s="1155" t="s">
        <v>1026</v>
      </c>
      <c r="G47" s="1162" t="s">
        <v>1068</v>
      </c>
      <c r="H47" s="1161">
        <f t="shared" si="1"/>
        <v>0</v>
      </c>
      <c r="I47" s="1160"/>
      <c r="J47" s="1150"/>
      <c r="K47" s="1159"/>
      <c r="W47" s="1080">
        <v>11</v>
      </c>
    </row>
    <row r="48" spans="6:23" ht="24" customHeight="1">
      <c r="F48" s="1155" t="s">
        <v>110</v>
      </c>
      <c r="G48" s="625" t="s">
        <v>1069</v>
      </c>
      <c r="H48" s="1161">
        <f t="shared" si="1"/>
        <v>0</v>
      </c>
      <c r="I48" s="1161">
        <f>SUM(I49,I54,I57)</f>
        <v>0</v>
      </c>
      <c r="J48" s="1150"/>
      <c r="K48" s="1159"/>
      <c r="W48" s="1080">
        <v>23</v>
      </c>
    </row>
    <row r="49" spans="1:23" ht="11.45" customHeight="1">
      <c r="F49" s="1155" t="s">
        <v>708</v>
      </c>
      <c r="G49" s="1162" t="s">
        <v>1021</v>
      </c>
      <c r="H49" s="1161">
        <f t="shared" si="1"/>
        <v>0</v>
      </c>
      <c r="I49" s="1161">
        <f>SUM(I50:I53)</f>
        <v>0</v>
      </c>
      <c r="J49" s="1150"/>
      <c r="K49" s="1159"/>
      <c r="W49" s="1080">
        <v>11</v>
      </c>
    </row>
    <row r="50" spans="1:23" ht="24" customHeight="1">
      <c r="F50" s="1155" t="s">
        <v>711</v>
      </c>
      <c r="G50" s="1163" t="s">
        <v>1059</v>
      </c>
      <c r="H50" s="1161">
        <f t="shared" si="1"/>
        <v>0</v>
      </c>
      <c r="I50" s="1160"/>
      <c r="J50" s="1150"/>
      <c r="K50" s="1159"/>
      <c r="W50" s="1080">
        <v>23</v>
      </c>
    </row>
    <row r="51" spans="1:23" ht="11.45" customHeight="1">
      <c r="F51" s="1155" t="s">
        <v>714</v>
      </c>
      <c r="G51" s="1163" t="s">
        <v>1061</v>
      </c>
      <c r="H51" s="1161">
        <f t="shared" si="1"/>
        <v>0</v>
      </c>
      <c r="I51" s="1160"/>
      <c r="J51" s="1150"/>
      <c r="K51" s="1159"/>
      <c r="W51" s="1080">
        <v>11</v>
      </c>
    </row>
    <row r="52" spans="1:23" ht="11.45" customHeight="1">
      <c r="F52" s="1155" t="s">
        <v>1070</v>
      </c>
      <c r="G52" s="1163" t="s">
        <v>1063</v>
      </c>
      <c r="H52" s="1161">
        <f t="shared" si="1"/>
        <v>0</v>
      </c>
      <c r="I52" s="1160"/>
      <c r="J52" s="1150"/>
      <c r="K52" s="1159"/>
      <c r="W52" s="1080">
        <v>11</v>
      </c>
    </row>
    <row r="53" spans="1:23" ht="35.65" customHeight="1">
      <c r="F53" s="1155" t="s">
        <v>1071</v>
      </c>
      <c r="G53" s="1163" t="s">
        <v>1065</v>
      </c>
      <c r="H53" s="1161">
        <f t="shared" si="1"/>
        <v>0</v>
      </c>
      <c r="I53" s="1160"/>
      <c r="J53" s="1150"/>
      <c r="K53" s="1159"/>
      <c r="W53" s="1080">
        <v>34</v>
      </c>
    </row>
    <row r="54" spans="1:23" ht="11.45" customHeight="1">
      <c r="F54" s="1155" t="s">
        <v>306</v>
      </c>
      <c r="G54" s="1162" t="s">
        <v>1050</v>
      </c>
      <c r="H54" s="1161">
        <f t="shared" si="1"/>
        <v>0</v>
      </c>
      <c r="I54" s="1161">
        <f>SUM(I55:I56)</f>
        <v>0</v>
      </c>
      <c r="J54" s="1150"/>
      <c r="K54" s="1159"/>
      <c r="W54" s="1080">
        <v>11</v>
      </c>
    </row>
    <row r="55" spans="1:23" ht="48.2" customHeight="1">
      <c r="F55" s="1155" t="s">
        <v>718</v>
      </c>
      <c r="G55" s="1163" t="s">
        <v>1051</v>
      </c>
      <c r="H55" s="1161">
        <f t="shared" si="1"/>
        <v>0</v>
      </c>
      <c r="I55" s="1160"/>
      <c r="J55" s="1150"/>
      <c r="K55" s="1159"/>
      <c r="W55" s="1080">
        <v>46</v>
      </c>
    </row>
    <row r="56" spans="1:23" ht="11.45" customHeight="1">
      <c r="F56" s="1155" t="s">
        <v>720</v>
      </c>
      <c r="G56" s="1163" t="s">
        <v>1052</v>
      </c>
      <c r="H56" s="1161">
        <f t="shared" si="1"/>
        <v>0</v>
      </c>
      <c r="I56" s="1160"/>
      <c r="J56" s="1150"/>
      <c r="K56" s="1159"/>
      <c r="W56" s="1080">
        <v>11</v>
      </c>
    </row>
    <row r="57" spans="1:23" ht="11.45" customHeight="1">
      <c r="F57" s="1155" t="s">
        <v>309</v>
      </c>
      <c r="G57" s="1162" t="s">
        <v>1068</v>
      </c>
      <c r="H57" s="1161">
        <f t="shared" si="1"/>
        <v>0</v>
      </c>
      <c r="I57" s="1160"/>
      <c r="J57" s="1150"/>
      <c r="K57" s="1159"/>
      <c r="W57" s="1080">
        <v>11</v>
      </c>
    </row>
    <row r="58" spans="1:23" ht="11.45" customHeight="1">
      <c r="F58" s="1155"/>
      <c r="G58" s="1164" t="s">
        <v>1054</v>
      </c>
      <c r="H58" s="1161">
        <f t="shared" si="1"/>
        <v>0</v>
      </c>
      <c r="I58" s="1161">
        <f>SUM(I38,I48)</f>
        <v>0</v>
      </c>
      <c r="J58" s="1150"/>
      <c r="K58" s="1159"/>
      <c r="W58" s="1080">
        <v>11</v>
      </c>
    </row>
    <row r="59" spans="1:23" ht="10.5" hidden="1" customHeight="1">
      <c r="A59" s="1091" t="s">
        <v>82</v>
      </c>
      <c r="B59" s="1091">
        <v>0</v>
      </c>
      <c r="C59" s="1091">
        <v>0</v>
      </c>
      <c r="D59" s="1085">
        <v>0</v>
      </c>
      <c r="E59" s="444">
        <v>3</v>
      </c>
      <c r="F59" s="1080">
        <v>6</v>
      </c>
      <c r="G59" s="1080">
        <v>60</v>
      </c>
      <c r="H59" s="1080">
        <v>0</v>
      </c>
      <c r="I59" s="1080">
        <v>0</v>
      </c>
      <c r="J59" s="1080">
        <v>0</v>
      </c>
      <c r="K59" s="1080">
        <v>1</v>
      </c>
      <c r="L59" s="1080">
        <v>8</v>
      </c>
      <c r="M59" s="1080">
        <v>8</v>
      </c>
      <c r="N59" s="1080">
        <v>8</v>
      </c>
      <c r="O59" s="1080">
        <v>8</v>
      </c>
      <c r="P59" s="1080">
        <v>8</v>
      </c>
      <c r="Q59" s="1080">
        <v>8</v>
      </c>
      <c r="R59" s="1080">
        <v>8</v>
      </c>
      <c r="S59" s="1080">
        <v>8</v>
      </c>
      <c r="T59" s="1080">
        <v>8</v>
      </c>
      <c r="U59" s="1080">
        <v>8</v>
      </c>
      <c r="V59" s="1080">
        <v>8</v>
      </c>
      <c r="W59" s="1080">
        <v>10</v>
      </c>
    </row>
  </sheetData>
  <sheetProtection formatColumns="0" formatRows="0" insertRows="0" deleteColumns="0" deleteRows="0" sort="0" autoFilter="0"/>
  <mergeCells count="9">
    <mergeCell ref="F5:J5"/>
    <mergeCell ref="F6:J6"/>
    <mergeCell ref="F9:J9"/>
    <mergeCell ref="G14:J14"/>
    <mergeCell ref="G37:J37"/>
    <mergeCell ref="F10:F12"/>
    <mergeCell ref="H10:J10"/>
    <mergeCell ref="H11:J11"/>
    <mergeCell ref="G10:G12"/>
  </mergeCells>
  <dataValidations count="1">
    <dataValidation type="decimal" allowBlank="1" showErrorMessage="1" errorTitle="Ошибка" error="Допускается ввод только неотрицательных чисел!" sqref="I29:I31 I33:I35 I40:I43 I45:I47 I50:I53 I55:I57 I16:I27">
      <formula1>0</formula1>
      <formula2>9.99999999999999E+23</formula2>
    </dataValidation>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4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9" tint="-0.249977111117893"/>
  </sheetPr>
  <dimension ref="A1:GC25"/>
  <sheetViews>
    <sheetView showGridLines="0" zoomScale="90" workbookViewId="0">
      <pane xSplit="14" ySplit="17" topLeftCell="O18" activePane="bottomRight" state="frozen"/>
      <selection pane="topRight" activeCell="O1" sqref="O1"/>
      <selection pane="bottomLeft" activeCell="A18" sqref="A18"/>
      <selection pane="bottomRight"/>
    </sheetView>
  </sheetViews>
  <sheetFormatPr defaultColWidth="9.140625" defaultRowHeight="12" customHeight="1"/>
  <cols>
    <col min="1" max="1" width="4.7109375" style="991" hidden="1" customWidth="1"/>
    <col min="2" max="2" width="4.7109375" style="864" hidden="1" customWidth="1"/>
    <col min="3" max="4" width="4.7109375" style="991" hidden="1" customWidth="1"/>
    <col min="5" max="5" width="3" style="991" customWidth="1"/>
    <col min="6" max="6" width="6" style="991" customWidth="1"/>
    <col min="7" max="7" width="18" style="991" customWidth="1"/>
    <col min="8" max="8" width="27" style="991" customWidth="1"/>
    <col min="9" max="9" width="18" style="991" customWidth="1"/>
    <col min="10" max="14" width="0.85546875" style="991" hidden="1" customWidth="1"/>
    <col min="15" max="28" width="21.7109375" style="991" customWidth="1"/>
    <col min="29" max="71" width="0.85546875" style="991" customWidth="1"/>
    <col min="72" max="79" width="21.7109375" style="991" hidden="1" customWidth="1"/>
    <col min="80" max="81" width="29.140625" style="991" hidden="1" customWidth="1"/>
    <col min="82" max="89" width="21.7109375" style="991" hidden="1" customWidth="1"/>
    <col min="90" max="102" width="0.7109375" style="991" hidden="1" customWidth="1"/>
    <col min="103" max="114" width="21.7109375" style="991" hidden="1" customWidth="1"/>
    <col min="115" max="178" width="0.7109375" style="991" hidden="1" customWidth="1"/>
    <col min="179" max="179" width="0.140625" style="991" customWidth="1"/>
    <col min="180" max="184" width="8" style="991" customWidth="1"/>
    <col min="185" max="185" width="9.140625" style="991" hidden="1"/>
  </cols>
  <sheetData>
    <row r="1" spans="2:185" s="853" customFormat="1" ht="12" hidden="1" customHeight="1">
      <c r="B1" s="851"/>
      <c r="C1" s="852"/>
      <c r="D1" s="852"/>
      <c r="GC1" s="850" t="s">
        <v>14</v>
      </c>
    </row>
    <row r="2" spans="2:185" s="853" customFormat="1" ht="12" hidden="1" customHeight="1">
      <c r="B2" s="851"/>
      <c r="C2" s="852"/>
      <c r="D2" s="852"/>
      <c r="E2" s="852"/>
      <c r="F2" s="852"/>
      <c r="G2" s="852"/>
      <c r="H2" s="852"/>
      <c r="I2" s="852"/>
      <c r="J2" s="852"/>
      <c r="K2" s="852"/>
      <c r="L2" s="852"/>
      <c r="M2" s="852"/>
      <c r="N2" s="852"/>
      <c r="O2" s="852"/>
      <c r="P2" s="852"/>
      <c r="Q2" s="852"/>
      <c r="R2" s="852"/>
      <c r="S2" s="852"/>
      <c r="T2" s="852"/>
      <c r="U2" s="852"/>
      <c r="V2" s="852"/>
      <c r="W2" s="852"/>
      <c r="X2" s="852"/>
      <c r="Y2" s="852"/>
      <c r="Z2" s="852"/>
      <c r="AA2" s="852"/>
      <c r="AC2" s="852"/>
      <c r="AD2" s="852"/>
      <c r="AE2" s="852"/>
      <c r="AF2" s="852"/>
      <c r="AG2" s="852"/>
      <c r="AH2" s="852"/>
      <c r="AI2" s="852"/>
      <c r="AJ2" s="852"/>
      <c r="AK2" s="852"/>
      <c r="AL2" s="852"/>
      <c r="AM2" s="852"/>
      <c r="AN2" s="852"/>
      <c r="AO2" s="852"/>
      <c r="AP2" s="852"/>
      <c r="AQ2" s="852"/>
      <c r="AR2" s="852"/>
      <c r="AS2" s="852"/>
      <c r="AT2" s="852"/>
      <c r="AU2" s="852"/>
      <c r="AV2" s="852"/>
      <c r="AW2" s="852"/>
      <c r="AX2" s="852"/>
      <c r="AY2" s="852"/>
      <c r="AZ2" s="852"/>
      <c r="BA2" s="852"/>
      <c r="BB2" s="852"/>
      <c r="BC2" s="852"/>
      <c r="BD2" s="852"/>
      <c r="BE2" s="852"/>
      <c r="BF2" s="852"/>
      <c r="BG2" s="852"/>
      <c r="BH2" s="852"/>
      <c r="BI2" s="852"/>
      <c r="BJ2" s="852"/>
      <c r="BK2" s="852"/>
      <c r="BL2" s="852"/>
      <c r="BM2" s="852"/>
      <c r="BN2" s="852"/>
      <c r="BO2" s="852"/>
      <c r="BP2" s="852"/>
      <c r="BQ2" s="852"/>
      <c r="BR2" s="852"/>
      <c r="BS2" s="852"/>
      <c r="BT2" s="852"/>
      <c r="BU2" s="852"/>
      <c r="BV2" s="852"/>
      <c r="BW2" s="852"/>
      <c r="BX2" s="852"/>
      <c r="BY2" s="852"/>
      <c r="BZ2" s="852"/>
      <c r="CA2" s="852"/>
      <c r="CB2" s="852"/>
      <c r="CC2" s="852"/>
      <c r="CD2" s="852"/>
      <c r="CE2" s="852"/>
      <c r="CF2" s="852"/>
      <c r="CG2" s="852"/>
      <c r="CH2" s="852"/>
      <c r="CI2" s="852"/>
      <c r="CJ2" s="852"/>
      <c r="CK2" s="852"/>
      <c r="CL2" s="852"/>
      <c r="CM2" s="852"/>
      <c r="CN2" s="852"/>
      <c r="CO2" s="852"/>
      <c r="CP2" s="852"/>
      <c r="CQ2" s="852"/>
      <c r="CR2" s="852"/>
      <c r="CS2" s="852"/>
      <c r="CT2" s="852"/>
      <c r="CU2" s="852"/>
      <c r="CV2" s="852"/>
      <c r="CW2" s="852"/>
      <c r="CX2" s="852"/>
      <c r="CY2" s="852"/>
      <c r="CZ2" s="852"/>
      <c r="DA2" s="852"/>
      <c r="DB2" s="852"/>
      <c r="DC2" s="852"/>
      <c r="DD2" s="852"/>
      <c r="DE2" s="852"/>
      <c r="DF2" s="852"/>
      <c r="DG2" s="852"/>
      <c r="DH2" s="852"/>
      <c r="DI2" s="852"/>
      <c r="DJ2" s="852"/>
      <c r="DK2" s="852"/>
      <c r="DL2" s="852"/>
      <c r="DM2" s="852"/>
      <c r="DN2" s="852"/>
      <c r="DO2" s="852"/>
      <c r="DP2" s="852"/>
      <c r="DQ2" s="852"/>
      <c r="DR2" s="852"/>
      <c r="DS2" s="852"/>
      <c r="DT2" s="852"/>
      <c r="DU2" s="852"/>
      <c r="DV2" s="852"/>
      <c r="DW2" s="852"/>
      <c r="DX2" s="852"/>
      <c r="DY2" s="852"/>
      <c r="DZ2" s="852"/>
      <c r="EA2" s="852"/>
      <c r="EB2" s="852"/>
      <c r="EC2" s="852"/>
      <c r="ED2" s="852"/>
      <c r="EE2" s="852"/>
      <c r="EF2" s="852"/>
      <c r="EG2" s="852"/>
      <c r="EH2" s="852"/>
      <c r="EI2" s="852"/>
      <c r="EJ2" s="852"/>
      <c r="EK2" s="852"/>
      <c r="EL2" s="852"/>
      <c r="EM2" s="852"/>
      <c r="EN2" s="852"/>
      <c r="EO2" s="852"/>
      <c r="EP2" s="852"/>
      <c r="EQ2" s="852"/>
      <c r="ER2" s="852"/>
      <c r="ES2" s="852"/>
      <c r="ET2" s="852"/>
      <c r="EU2" s="852"/>
      <c r="EV2" s="852"/>
      <c r="EW2" s="852"/>
      <c r="EX2" s="852"/>
      <c r="EY2" s="852"/>
      <c r="EZ2" s="852"/>
      <c r="FA2" s="852"/>
      <c r="FB2" s="852"/>
      <c r="FC2" s="852"/>
      <c r="FD2" s="852"/>
      <c r="FE2" s="852"/>
      <c r="FF2" s="852"/>
      <c r="FG2" s="852"/>
      <c r="FH2" s="852"/>
      <c r="FI2" s="852"/>
      <c r="FJ2" s="852"/>
      <c r="FK2" s="852"/>
      <c r="FL2" s="852"/>
      <c r="FM2" s="852"/>
      <c r="FN2" s="852"/>
      <c r="FO2" s="852"/>
      <c r="FP2" s="852"/>
      <c r="FQ2" s="852"/>
      <c r="FR2" s="852"/>
      <c r="FS2" s="852"/>
      <c r="FT2" s="852"/>
      <c r="FU2" s="852"/>
      <c r="FV2" s="852"/>
      <c r="FW2" s="852"/>
      <c r="GC2" s="850">
        <v>0</v>
      </c>
    </row>
    <row r="3" spans="2:185" s="853" customFormat="1" ht="12" hidden="1" customHeight="1">
      <c r="B3" s="851"/>
      <c r="C3" s="852"/>
      <c r="D3" s="852"/>
      <c r="E3" s="852"/>
      <c r="F3" s="852"/>
      <c r="G3" s="852"/>
      <c r="H3" s="852"/>
      <c r="I3" s="852"/>
      <c r="J3" s="852"/>
      <c r="K3" s="852"/>
      <c r="L3" s="852"/>
      <c r="M3" s="852"/>
      <c r="N3" s="852"/>
      <c r="O3" s="852"/>
      <c r="P3" s="852"/>
      <c r="Q3" s="852"/>
      <c r="R3" s="852"/>
      <c r="S3" s="852"/>
      <c r="T3" s="852"/>
      <c r="U3" s="852"/>
      <c r="V3" s="852"/>
      <c r="W3" s="852"/>
      <c r="X3" s="852"/>
      <c r="Y3" s="852"/>
      <c r="Z3" s="852"/>
      <c r="AA3" s="852"/>
      <c r="AC3" s="852"/>
      <c r="AD3" s="852"/>
      <c r="AE3" s="852"/>
      <c r="AF3" s="852"/>
      <c r="AG3" s="852"/>
      <c r="AH3" s="852"/>
      <c r="AI3" s="852"/>
      <c r="AJ3" s="852"/>
      <c r="AK3" s="852"/>
      <c r="AL3" s="852"/>
      <c r="AM3" s="852"/>
      <c r="AN3" s="852"/>
      <c r="AO3" s="852"/>
      <c r="AP3" s="852"/>
      <c r="AQ3" s="852"/>
      <c r="AR3" s="852"/>
      <c r="AS3" s="852"/>
      <c r="AT3" s="852"/>
      <c r="AU3" s="852"/>
      <c r="AV3" s="852"/>
      <c r="AW3" s="852"/>
      <c r="AX3" s="852"/>
      <c r="AY3" s="852"/>
      <c r="AZ3" s="852"/>
      <c r="BA3" s="852"/>
      <c r="BB3" s="852"/>
      <c r="BC3" s="852"/>
      <c r="BD3" s="852"/>
      <c r="BE3" s="852"/>
      <c r="BF3" s="852"/>
      <c r="BG3" s="852"/>
      <c r="BH3" s="852"/>
      <c r="BI3" s="852"/>
      <c r="BJ3" s="852"/>
      <c r="BK3" s="852"/>
      <c r="BL3" s="852"/>
      <c r="BM3" s="852"/>
      <c r="BN3" s="852"/>
      <c r="BO3" s="852"/>
      <c r="BP3" s="852"/>
      <c r="BQ3" s="852"/>
      <c r="BR3" s="852"/>
      <c r="BS3" s="852"/>
      <c r="BT3" s="852"/>
      <c r="BU3" s="852"/>
      <c r="BV3" s="852"/>
      <c r="BW3" s="852"/>
      <c r="BX3" s="852"/>
      <c r="BY3" s="852"/>
      <c r="BZ3" s="852"/>
      <c r="CA3" s="852"/>
      <c r="CB3" s="852"/>
      <c r="CC3" s="852"/>
      <c r="CD3" s="852"/>
      <c r="CE3" s="852"/>
      <c r="CF3" s="852"/>
      <c r="CG3" s="852"/>
      <c r="CH3" s="852"/>
      <c r="CI3" s="852"/>
      <c r="CJ3" s="852"/>
      <c r="CK3" s="852"/>
      <c r="CL3" s="852"/>
      <c r="CM3" s="852"/>
      <c r="CN3" s="852"/>
      <c r="CO3" s="852"/>
      <c r="CP3" s="852"/>
      <c r="CQ3" s="852"/>
      <c r="CR3" s="852"/>
      <c r="CS3" s="852"/>
      <c r="CT3" s="852"/>
      <c r="CU3" s="852"/>
      <c r="CV3" s="852"/>
      <c r="CW3" s="852"/>
      <c r="CX3" s="852"/>
      <c r="CY3" s="852"/>
      <c r="CZ3" s="852"/>
      <c r="DA3" s="852"/>
      <c r="DB3" s="852"/>
      <c r="DC3" s="852"/>
      <c r="DD3" s="852"/>
      <c r="DE3" s="852"/>
      <c r="DF3" s="852"/>
      <c r="DG3" s="852"/>
      <c r="DH3" s="852"/>
      <c r="DI3" s="852"/>
      <c r="DJ3" s="852"/>
      <c r="DK3" s="852"/>
      <c r="DL3" s="852"/>
      <c r="DM3" s="852"/>
      <c r="DN3" s="852"/>
      <c r="DO3" s="852"/>
      <c r="DP3" s="852"/>
      <c r="DQ3" s="852"/>
      <c r="DR3" s="852"/>
      <c r="DS3" s="852"/>
      <c r="DT3" s="852"/>
      <c r="DU3" s="852"/>
      <c r="DV3" s="852"/>
      <c r="DW3" s="852"/>
      <c r="DX3" s="852"/>
      <c r="DY3" s="852"/>
      <c r="DZ3" s="852"/>
      <c r="EA3" s="852"/>
      <c r="EB3" s="852"/>
      <c r="EC3" s="852"/>
      <c r="ED3" s="852"/>
      <c r="EE3" s="852"/>
      <c r="EF3" s="852"/>
      <c r="EG3" s="852"/>
      <c r="EH3" s="852"/>
      <c r="EI3" s="852"/>
      <c r="EJ3" s="852"/>
      <c r="EK3" s="852"/>
      <c r="EL3" s="852"/>
      <c r="EM3" s="852"/>
      <c r="EN3" s="852"/>
      <c r="EO3" s="852"/>
      <c r="EP3" s="852"/>
      <c r="EQ3" s="852"/>
      <c r="ER3" s="852"/>
      <c r="ES3" s="852"/>
      <c r="ET3" s="852"/>
      <c r="EU3" s="852"/>
      <c r="EV3" s="852"/>
      <c r="EW3" s="852"/>
      <c r="EX3" s="852"/>
      <c r="EY3" s="852"/>
      <c r="EZ3" s="852"/>
      <c r="FA3" s="852"/>
      <c r="FB3" s="852"/>
      <c r="FC3" s="852"/>
      <c r="FD3" s="852"/>
      <c r="FE3" s="852"/>
      <c r="FF3" s="852"/>
      <c r="FG3" s="852"/>
      <c r="FH3" s="852"/>
      <c r="FI3" s="852"/>
      <c r="FJ3" s="852"/>
      <c r="FK3" s="852"/>
      <c r="FL3" s="852"/>
      <c r="FM3" s="852"/>
      <c r="FN3" s="852"/>
      <c r="FO3" s="852"/>
      <c r="FP3" s="852"/>
      <c r="FQ3" s="852"/>
      <c r="FR3" s="852"/>
      <c r="FS3" s="852"/>
      <c r="FT3" s="852"/>
      <c r="FU3" s="852"/>
      <c r="FV3" s="852"/>
      <c r="FW3" s="852"/>
      <c r="GC3" s="850">
        <v>0</v>
      </c>
    </row>
    <row r="4" spans="2:185" ht="10.5" customHeight="1">
      <c r="B4" s="855"/>
      <c r="C4" s="856"/>
      <c r="D4" s="856"/>
      <c r="E4" s="856"/>
      <c r="F4" s="856"/>
      <c r="G4" s="856"/>
      <c r="H4" s="857"/>
      <c r="I4" s="857"/>
      <c r="J4" s="857"/>
      <c r="K4" s="857"/>
      <c r="L4" s="857"/>
      <c r="M4" s="858"/>
      <c r="N4" s="858"/>
      <c r="O4" s="858"/>
      <c r="P4" s="858"/>
      <c r="Q4" s="858"/>
      <c r="R4" s="858"/>
      <c r="S4" s="858"/>
      <c r="T4" s="858"/>
      <c r="U4" s="858"/>
      <c r="V4" s="858"/>
      <c r="W4" s="858"/>
      <c r="X4" s="858"/>
      <c r="Y4" s="858"/>
      <c r="Z4" s="858"/>
      <c r="AA4" s="858"/>
      <c r="AB4" s="858"/>
      <c r="AC4" s="858"/>
      <c r="AD4" s="858"/>
      <c r="AE4" s="858"/>
      <c r="AF4" s="858"/>
      <c r="AG4" s="858"/>
      <c r="AH4" s="858"/>
      <c r="AI4" s="858"/>
      <c r="AJ4" s="858"/>
      <c r="AK4" s="858"/>
      <c r="AL4" s="858"/>
      <c r="AM4" s="858"/>
      <c r="AN4" s="858"/>
      <c r="AO4" s="858"/>
      <c r="AP4" s="858"/>
      <c r="AQ4" s="858"/>
      <c r="AR4" s="858"/>
      <c r="AS4" s="858"/>
      <c r="AT4" s="858"/>
      <c r="AU4" s="858"/>
      <c r="AV4" s="858"/>
      <c r="AW4" s="858"/>
      <c r="AX4" s="858"/>
      <c r="AY4" s="858"/>
      <c r="AZ4" s="858"/>
      <c r="BA4" s="858"/>
      <c r="BB4" s="858"/>
      <c r="BC4" s="858"/>
      <c r="BD4" s="858"/>
      <c r="BE4" s="858"/>
      <c r="BF4" s="858"/>
      <c r="BG4" s="858"/>
      <c r="BH4" s="858"/>
      <c r="BI4" s="858"/>
      <c r="BJ4" s="858"/>
      <c r="BK4" s="858"/>
      <c r="BL4" s="858"/>
      <c r="BM4" s="858"/>
      <c r="BN4" s="858"/>
      <c r="BO4" s="858"/>
      <c r="BP4" s="858"/>
      <c r="BQ4" s="858"/>
      <c r="BR4" s="858"/>
      <c r="BS4" s="858"/>
      <c r="BT4" s="858"/>
      <c r="BU4" s="858"/>
      <c r="BV4" s="858"/>
      <c r="BW4" s="858"/>
      <c r="BX4" s="858"/>
      <c r="BY4" s="858"/>
      <c r="BZ4" s="858"/>
      <c r="CA4" s="858"/>
      <c r="CB4" s="858"/>
      <c r="CC4" s="858"/>
      <c r="CD4" s="858"/>
      <c r="CE4" s="858"/>
      <c r="CF4" s="858"/>
      <c r="CG4" s="858"/>
      <c r="CH4" s="858"/>
      <c r="CI4" s="858"/>
      <c r="CJ4" s="858"/>
      <c r="CK4" s="858"/>
      <c r="CL4" s="858"/>
      <c r="CM4" s="858"/>
      <c r="CN4" s="858"/>
      <c r="CO4" s="858"/>
      <c r="CP4" s="858"/>
      <c r="CQ4" s="858"/>
      <c r="CR4" s="858"/>
      <c r="CS4" s="858"/>
      <c r="CT4" s="858"/>
      <c r="CU4" s="858"/>
      <c r="CV4" s="858"/>
      <c r="CW4" s="858"/>
      <c r="CX4" s="858"/>
      <c r="CY4" s="858"/>
      <c r="CZ4" s="858"/>
      <c r="DA4" s="858"/>
      <c r="DB4" s="858"/>
      <c r="DC4" s="858"/>
      <c r="DD4" s="858"/>
      <c r="DE4" s="858"/>
      <c r="DF4" s="858"/>
      <c r="DG4" s="858"/>
      <c r="DH4" s="858"/>
      <c r="DI4" s="858"/>
      <c r="DJ4" s="858"/>
      <c r="DK4" s="858"/>
      <c r="DL4" s="858"/>
      <c r="DM4" s="858"/>
      <c r="DN4" s="858"/>
      <c r="DO4" s="858"/>
      <c r="DP4" s="858"/>
      <c r="DQ4" s="858"/>
      <c r="DR4" s="858"/>
      <c r="DS4" s="858"/>
      <c r="DT4" s="858"/>
      <c r="DU4" s="858"/>
      <c r="DV4" s="858"/>
      <c r="DW4" s="858"/>
      <c r="DX4" s="858"/>
      <c r="DY4" s="858"/>
      <c r="DZ4" s="858"/>
      <c r="EA4" s="858"/>
      <c r="EB4" s="858"/>
      <c r="EC4" s="858"/>
      <c r="ED4" s="858"/>
      <c r="EE4" s="858"/>
      <c r="EF4" s="858"/>
      <c r="EG4" s="858"/>
      <c r="EH4" s="858"/>
      <c r="EI4" s="858"/>
      <c r="EJ4" s="858"/>
      <c r="EK4" s="858"/>
      <c r="EL4" s="858"/>
      <c r="EM4" s="858"/>
      <c r="EN4" s="858"/>
      <c r="EO4" s="858"/>
      <c r="EP4" s="858"/>
      <c r="EQ4" s="858"/>
      <c r="ER4" s="858"/>
      <c r="ES4" s="858"/>
      <c r="ET4" s="858"/>
      <c r="EU4" s="858"/>
      <c r="EV4" s="858"/>
      <c r="EW4" s="858"/>
      <c r="EX4" s="858"/>
      <c r="EY4" s="858"/>
      <c r="EZ4" s="858"/>
      <c r="FA4" s="858"/>
      <c r="FB4" s="858"/>
      <c r="FC4" s="858"/>
      <c r="FD4" s="858"/>
      <c r="FE4" s="858"/>
      <c r="FF4" s="858"/>
      <c r="FG4" s="858"/>
      <c r="FH4" s="858"/>
      <c r="FI4" s="858"/>
      <c r="FJ4" s="858"/>
      <c r="FK4" s="858"/>
      <c r="FL4" s="858"/>
      <c r="FM4" s="858"/>
      <c r="FN4" s="858"/>
      <c r="FO4" s="858"/>
      <c r="FP4" s="858"/>
      <c r="FQ4" s="858"/>
      <c r="FR4" s="858"/>
      <c r="FS4" s="858"/>
      <c r="FT4" s="858"/>
      <c r="FU4" s="858"/>
      <c r="FV4" s="858"/>
      <c r="FW4" s="858"/>
      <c r="GC4" s="854">
        <v>10</v>
      </c>
    </row>
    <row r="5" spans="2:185" s="1797" customFormat="1" ht="27.4" customHeight="1">
      <c r="B5" s="1796"/>
      <c r="E5" s="1798"/>
      <c r="F5" s="2319" t="str">
        <f>IP_NAME_FORM&amp;"
Показатели качества, надежности и энергетической эффективности в сфере "&amp;TEMPLATE_SPHERE_RUS</f>
        <v>Форма 13. Информация об инвестиционных программах регулируемой организации и отчетах об их исполнении, об инвестиционных программах единой теплоснабжающей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 об инвестиционных программах теплоснабжающей организации в ценовых зонах теплоснабжения и теплосетевой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
Показатели качества, надежности и энергетической эффективности в сфере теплоснабжения</v>
      </c>
      <c r="G5" s="2108"/>
      <c r="H5" s="2108"/>
      <c r="I5" s="2108"/>
      <c r="J5" s="2108"/>
      <c r="K5" s="2108"/>
      <c r="L5" s="2108"/>
      <c r="M5" s="2108"/>
      <c r="N5" s="2108"/>
      <c r="O5" s="2108"/>
      <c r="P5" s="2108"/>
      <c r="Q5" s="2108"/>
      <c r="R5" s="2108"/>
      <c r="S5" s="2108"/>
      <c r="T5" s="2108"/>
      <c r="U5" s="2108"/>
      <c r="V5" s="2108"/>
      <c r="W5" s="2108"/>
      <c r="X5" s="2108"/>
      <c r="Y5" s="2108"/>
      <c r="Z5" s="2108"/>
      <c r="AA5" s="2108"/>
      <c r="AB5" s="2108"/>
      <c r="AC5" s="2108"/>
      <c r="AD5" s="2108"/>
      <c r="AE5" s="2108"/>
      <c r="AF5" s="2108"/>
      <c r="AG5" s="2108"/>
      <c r="AH5" s="2108"/>
      <c r="AI5" s="2108"/>
      <c r="AJ5" s="2108"/>
      <c r="AK5" s="2108"/>
      <c r="AL5" s="2108"/>
      <c r="AM5" s="2108"/>
      <c r="AN5" s="2108"/>
      <c r="AO5" s="2108"/>
      <c r="AP5" s="2108"/>
      <c r="AQ5" s="2108"/>
      <c r="AR5" s="2108"/>
      <c r="AS5" s="2108"/>
      <c r="AT5" s="2108"/>
      <c r="AU5" s="2108"/>
      <c r="AV5" s="2108"/>
      <c r="AW5" s="2108"/>
      <c r="AX5" s="2108"/>
      <c r="AY5" s="2108"/>
      <c r="AZ5" s="2108"/>
      <c r="BA5" s="2108"/>
      <c r="BB5" s="2108"/>
      <c r="BC5" s="2108"/>
      <c r="BD5" s="2108"/>
      <c r="BE5" s="2108"/>
      <c r="BF5" s="2108"/>
      <c r="BG5" s="2108"/>
      <c r="BH5" s="2108"/>
      <c r="BI5" s="2108"/>
      <c r="BJ5" s="2108"/>
      <c r="BK5" s="2108"/>
      <c r="BL5" s="2108"/>
      <c r="BM5" s="2108"/>
      <c r="BN5" s="2108"/>
      <c r="BO5" s="2108"/>
      <c r="BP5" s="2108"/>
      <c r="BQ5" s="2108"/>
      <c r="BR5" s="2108"/>
      <c r="BS5" s="2108"/>
      <c r="GC5" s="1797">
        <v>26</v>
      </c>
    </row>
    <row r="6" spans="2:185" s="1999" customFormat="1" ht="18.75" customHeight="1">
      <c r="B6" s="871"/>
      <c r="E6" s="873"/>
      <c r="F6" s="2150" t="str">
        <f>IF(org=0,"Не определено",org)</f>
        <v>ООО "ЗЕНИТ ЭНЕРГО"</v>
      </c>
      <c r="G6" s="2151"/>
      <c r="H6" s="2151"/>
      <c r="I6" s="2151"/>
      <c r="J6" s="2151"/>
      <c r="K6" s="2151"/>
      <c r="L6" s="2151"/>
      <c r="M6" s="2151"/>
      <c r="N6" s="2151"/>
      <c r="O6" s="2151"/>
      <c r="P6" s="2151"/>
      <c r="Q6" s="2151"/>
      <c r="R6" s="2151"/>
      <c r="S6" s="2151"/>
      <c r="T6" s="2151"/>
      <c r="U6" s="2151"/>
      <c r="V6" s="2151"/>
      <c r="W6" s="2151"/>
      <c r="X6" s="2151"/>
      <c r="Y6" s="2151"/>
      <c r="Z6" s="2151"/>
      <c r="AA6" s="2151"/>
      <c r="AB6" s="2151"/>
      <c r="AC6" s="2151"/>
      <c r="AD6" s="2151"/>
      <c r="AE6" s="2151"/>
      <c r="AF6" s="2151"/>
      <c r="AG6" s="2151"/>
      <c r="AH6" s="2151"/>
      <c r="AI6" s="2151"/>
      <c r="AJ6" s="2151"/>
      <c r="AK6" s="2151"/>
      <c r="AL6" s="2151"/>
      <c r="AM6" s="2151"/>
      <c r="AN6" s="2151"/>
      <c r="AO6" s="2151"/>
      <c r="AP6" s="2151"/>
      <c r="AQ6" s="2151"/>
      <c r="AR6" s="2151"/>
      <c r="AS6" s="2151"/>
      <c r="AT6" s="2151"/>
      <c r="AU6" s="2151"/>
      <c r="AV6" s="2151"/>
      <c r="AW6" s="2151"/>
      <c r="AX6" s="2151"/>
      <c r="AY6" s="2151"/>
      <c r="AZ6" s="2151"/>
      <c r="BA6" s="2151"/>
      <c r="BB6" s="2151"/>
      <c r="BC6" s="2151"/>
      <c r="BD6" s="2151"/>
      <c r="BE6" s="2151"/>
      <c r="BF6" s="2151"/>
      <c r="BG6" s="2151"/>
      <c r="BH6" s="2151"/>
      <c r="BI6" s="2151"/>
      <c r="BJ6" s="2151"/>
      <c r="BK6" s="2151"/>
      <c r="BL6" s="2151"/>
      <c r="BM6" s="2151"/>
      <c r="BN6" s="2151"/>
      <c r="BO6" s="2151"/>
      <c r="BP6" s="2151"/>
      <c r="BQ6" s="2151"/>
      <c r="BR6" s="2151"/>
      <c r="BS6" s="2151"/>
      <c r="GC6" s="872">
        <v>18</v>
      </c>
    </row>
    <row r="7" spans="2:185" s="861" customFormat="1" ht="10.5" customHeight="1">
      <c r="B7" s="860"/>
      <c r="G7" s="863"/>
      <c r="H7" s="857"/>
      <c r="I7" s="857"/>
      <c r="J7" s="857"/>
      <c r="K7" s="857"/>
      <c r="L7" s="857"/>
      <c r="GC7" s="859">
        <v>10</v>
      </c>
    </row>
    <row r="8" spans="2:185" s="861" customFormat="1" ht="11.25" hidden="1" customHeight="1">
      <c r="B8" s="862"/>
      <c r="F8" s="984"/>
      <c r="G8" s="696"/>
      <c r="H8" s="295"/>
      <c r="I8" s="295"/>
      <c r="J8" s="295"/>
      <c r="K8" s="295"/>
      <c r="L8" s="295"/>
      <c r="M8" s="984"/>
      <c r="N8" s="984"/>
      <c r="O8" s="2335" t="s">
        <v>1072</v>
      </c>
      <c r="P8" s="2336"/>
      <c r="Q8" s="2336"/>
      <c r="R8" s="2336"/>
      <c r="S8" s="2336"/>
      <c r="T8" s="2336"/>
      <c r="U8" s="2336"/>
      <c r="V8" s="2336"/>
      <c r="W8" s="2336"/>
      <c r="X8" s="2336"/>
      <c r="Y8" s="2336"/>
      <c r="Z8" s="2336"/>
      <c r="AA8" s="2336"/>
      <c r="AB8" s="2336"/>
      <c r="AC8" s="2336"/>
      <c r="AD8" s="2336"/>
      <c r="AE8" s="2336"/>
      <c r="AF8" s="2336"/>
      <c r="AG8" s="2336"/>
      <c r="AH8" s="2336"/>
      <c r="AI8" s="2336"/>
      <c r="AJ8" s="2336"/>
      <c r="AK8" s="2336"/>
      <c r="AL8" s="2336"/>
      <c r="AM8" s="2336"/>
      <c r="AN8" s="2336"/>
      <c r="AO8" s="2336"/>
      <c r="AP8" s="2336"/>
      <c r="AQ8" s="2336"/>
      <c r="AR8" s="2336"/>
      <c r="AS8" s="2336"/>
      <c r="AT8" s="2336"/>
      <c r="AU8" s="2336"/>
      <c r="AV8" s="2336"/>
      <c r="AW8" s="2336"/>
      <c r="AX8" s="2336"/>
      <c r="AY8" s="2336"/>
      <c r="AZ8" s="2336"/>
      <c r="BA8" s="2336"/>
      <c r="BB8" s="2336"/>
      <c r="BC8" s="2336"/>
      <c r="BD8" s="2336"/>
      <c r="BE8" s="2336"/>
      <c r="BF8" s="2336"/>
      <c r="BG8" s="2336"/>
      <c r="BH8" s="2336"/>
      <c r="BI8" s="2336"/>
      <c r="BJ8" s="2336"/>
      <c r="BK8" s="2336"/>
      <c r="BL8" s="2336"/>
      <c r="BM8" s="2336"/>
      <c r="BN8" s="2336"/>
      <c r="BO8" s="2336"/>
      <c r="BP8" s="2336"/>
      <c r="BQ8" s="2336"/>
      <c r="BR8" s="2336"/>
      <c r="BS8" s="2337"/>
      <c r="BT8" s="2324"/>
      <c r="BU8" s="2325"/>
      <c r="BV8" s="2325"/>
      <c r="BW8" s="2325"/>
      <c r="BX8" s="2325"/>
      <c r="BY8" s="2325"/>
      <c r="BZ8" s="2325"/>
      <c r="CA8" s="2325"/>
      <c r="CB8" s="2325"/>
      <c r="CC8" s="2325"/>
      <c r="CD8" s="2325"/>
      <c r="CE8" s="2325"/>
      <c r="CF8" s="2325"/>
      <c r="CG8" s="2325"/>
      <c r="CH8" s="2325"/>
      <c r="CI8" s="2325"/>
      <c r="CJ8" s="2325"/>
      <c r="CK8" s="2325"/>
      <c r="CL8" s="2325"/>
      <c r="CM8" s="2325"/>
      <c r="CN8" s="2325"/>
      <c r="CO8" s="2325"/>
      <c r="CP8" s="2325"/>
      <c r="CQ8" s="2325"/>
      <c r="CR8" s="2325"/>
      <c r="CS8" s="2325"/>
      <c r="CT8" s="2325"/>
      <c r="CU8" s="2325"/>
      <c r="CV8" s="2325"/>
      <c r="CW8" s="2325"/>
      <c r="CX8" s="2326"/>
      <c r="CY8" s="2327"/>
      <c r="CZ8" s="2328"/>
      <c r="DA8" s="2328"/>
      <c r="DB8" s="2328"/>
      <c r="DC8" s="2328"/>
      <c r="DD8" s="2328"/>
      <c r="DE8" s="2328"/>
      <c r="DF8" s="2328"/>
      <c r="DG8" s="2328"/>
      <c r="DH8" s="2328"/>
      <c r="DI8" s="2328"/>
      <c r="DJ8" s="2328"/>
      <c r="DK8" s="2328"/>
      <c r="DL8" s="2328"/>
      <c r="DM8" s="2328"/>
      <c r="DN8" s="2328"/>
      <c r="DO8" s="2328"/>
      <c r="DP8" s="2328"/>
      <c r="DQ8" s="2328"/>
      <c r="DR8" s="2328"/>
      <c r="DS8" s="2328"/>
      <c r="DT8" s="2328"/>
      <c r="DU8" s="2328"/>
      <c r="DV8" s="2328"/>
      <c r="DW8" s="2328"/>
      <c r="DX8" s="2329"/>
      <c r="DY8" s="2330" t="s">
        <v>1073</v>
      </c>
      <c r="DZ8" s="2331"/>
      <c r="EA8" s="2331"/>
      <c r="EB8" s="2331"/>
      <c r="EC8" s="2331"/>
      <c r="ED8" s="2331"/>
      <c r="EE8" s="2331"/>
      <c r="EF8" s="2331"/>
      <c r="EG8" s="2331"/>
      <c r="EH8" s="2331"/>
      <c r="EI8" s="2331"/>
      <c r="EJ8" s="2331"/>
      <c r="EK8" s="2331"/>
      <c r="EL8" s="2331"/>
      <c r="EM8" s="2331"/>
      <c r="EN8" s="2331"/>
      <c r="EO8" s="2331"/>
      <c r="EP8" s="2331"/>
      <c r="EQ8" s="2331"/>
      <c r="ER8" s="2331"/>
      <c r="ES8" s="2331"/>
      <c r="ET8" s="2331"/>
      <c r="EU8" s="2331"/>
      <c r="EV8" s="2331"/>
      <c r="EW8" s="2331"/>
      <c r="EX8" s="2331"/>
      <c r="EY8" s="2331"/>
      <c r="EZ8" s="2331"/>
      <c r="FA8" s="2331"/>
      <c r="FB8" s="2331"/>
      <c r="FC8" s="2331"/>
      <c r="FD8" s="2331"/>
      <c r="FE8" s="2331"/>
      <c r="FF8" s="2331"/>
      <c r="FG8" s="2331"/>
      <c r="FH8" s="2331"/>
      <c r="FI8" s="2331"/>
      <c r="FJ8" s="2331"/>
      <c r="FK8" s="2331"/>
      <c r="FL8" s="2331"/>
      <c r="FM8" s="2331"/>
      <c r="FN8" s="2331"/>
      <c r="FO8" s="2331"/>
      <c r="FP8" s="2331"/>
      <c r="FQ8" s="2331"/>
      <c r="FR8" s="2331"/>
      <c r="FS8" s="2331"/>
      <c r="FT8" s="2331"/>
      <c r="FU8" s="2331"/>
      <c r="FV8" s="2331"/>
      <c r="FW8" s="2332"/>
      <c r="FX8" s="984"/>
      <c r="GC8" s="861">
        <v>0</v>
      </c>
    </row>
    <row r="9" spans="2:185" s="861" customFormat="1" ht="11.25" hidden="1" customHeight="1">
      <c r="B9" s="862"/>
      <c r="F9" s="984"/>
      <c r="G9" s="696"/>
      <c r="H9" s="295"/>
      <c r="I9" s="295"/>
      <c r="J9" s="295"/>
      <c r="K9" s="295"/>
      <c r="L9" s="295"/>
      <c r="M9" s="984"/>
      <c r="N9" s="984"/>
      <c r="O9" s="984"/>
      <c r="P9" s="984"/>
      <c r="Q9" s="984"/>
      <c r="R9" s="984"/>
      <c r="S9" s="984"/>
      <c r="T9" s="984"/>
      <c r="U9" s="984"/>
      <c r="V9" s="984"/>
      <c r="W9" s="984"/>
      <c r="X9" s="984"/>
      <c r="Y9" s="984"/>
      <c r="Z9" s="984"/>
      <c r="AA9" s="984"/>
      <c r="AB9" s="984"/>
      <c r="AC9" s="984"/>
      <c r="AD9" s="984"/>
      <c r="AE9" s="984"/>
      <c r="AF9" s="984"/>
      <c r="AG9" s="984"/>
      <c r="AH9" s="984"/>
      <c r="AI9" s="984"/>
      <c r="AJ9" s="984"/>
      <c r="AK9" s="984"/>
      <c r="AL9" s="984"/>
      <c r="AM9" s="984"/>
      <c r="AN9" s="984"/>
      <c r="AO9" s="984"/>
      <c r="AP9" s="984"/>
      <c r="AQ9" s="984"/>
      <c r="AR9" s="984"/>
      <c r="AS9" s="984"/>
      <c r="AT9" s="984"/>
      <c r="AU9" s="984"/>
      <c r="AV9" s="984"/>
      <c r="AW9" s="984"/>
      <c r="AX9" s="984"/>
      <c r="AY9" s="984"/>
      <c r="AZ9" s="984"/>
      <c r="BA9" s="984"/>
      <c r="BB9" s="984"/>
      <c r="BC9" s="984"/>
      <c r="BD9" s="984"/>
      <c r="BE9" s="984"/>
      <c r="BF9" s="984"/>
      <c r="BG9" s="984"/>
      <c r="BH9" s="984"/>
      <c r="BI9" s="984"/>
      <c r="BJ9" s="984"/>
      <c r="BK9" s="984"/>
      <c r="BL9" s="984"/>
      <c r="BM9" s="984"/>
      <c r="BN9" s="984"/>
      <c r="BO9" s="984"/>
      <c r="BP9" s="984"/>
      <c r="BQ9" s="984"/>
      <c r="BR9" s="984"/>
      <c r="BS9" s="984"/>
      <c r="BT9" s="984"/>
      <c r="BU9" s="984"/>
      <c r="BV9" s="984"/>
      <c r="BW9" s="984"/>
      <c r="BX9" s="984"/>
      <c r="BY9" s="984"/>
      <c r="BZ9" s="984"/>
      <c r="CA9" s="984"/>
      <c r="CB9" s="984"/>
      <c r="CC9" s="984"/>
      <c r="CD9" s="984"/>
      <c r="CE9" s="984"/>
      <c r="CF9" s="984"/>
      <c r="CG9" s="984"/>
      <c r="CH9" s="984"/>
      <c r="CI9" s="984"/>
      <c r="CJ9" s="984"/>
      <c r="CK9" s="984"/>
      <c r="CL9" s="984"/>
      <c r="CM9" s="984"/>
      <c r="CN9" s="984"/>
      <c r="CO9" s="984"/>
      <c r="CP9" s="984"/>
      <c r="CQ9" s="984"/>
      <c r="CR9" s="984"/>
      <c r="CS9" s="984"/>
      <c r="CT9" s="984"/>
      <c r="CU9" s="984"/>
      <c r="CV9" s="984"/>
      <c r="CW9" s="984"/>
      <c r="CX9" s="984"/>
      <c r="CY9" s="984"/>
      <c r="CZ9" s="984"/>
      <c r="DA9" s="984"/>
      <c r="DB9" s="984"/>
      <c r="DC9" s="984"/>
      <c r="DD9" s="984"/>
      <c r="DE9" s="984"/>
      <c r="DF9" s="984"/>
      <c r="DG9" s="984"/>
      <c r="DH9" s="984"/>
      <c r="DI9" s="984"/>
      <c r="DJ9" s="984"/>
      <c r="DK9" s="984"/>
      <c r="DL9" s="984"/>
      <c r="DM9" s="984"/>
      <c r="DN9" s="984"/>
      <c r="DO9" s="984"/>
      <c r="DP9" s="984"/>
      <c r="DQ9" s="984"/>
      <c r="DR9" s="984"/>
      <c r="DS9" s="984"/>
      <c r="DT9" s="984"/>
      <c r="DU9" s="984"/>
      <c r="DV9" s="984"/>
      <c r="DW9" s="984"/>
      <c r="DX9" s="984"/>
      <c r="DY9" s="984"/>
      <c r="DZ9" s="984"/>
      <c r="EA9" s="984"/>
      <c r="EB9" s="984"/>
      <c r="EC9" s="984"/>
      <c r="ED9" s="984"/>
      <c r="EE9" s="984"/>
      <c r="EF9" s="984"/>
      <c r="EG9" s="984"/>
      <c r="EH9" s="984"/>
      <c r="EI9" s="984"/>
      <c r="EJ9" s="984"/>
      <c r="EK9" s="984"/>
      <c r="EL9" s="984"/>
      <c r="EM9" s="984"/>
      <c r="EN9" s="984"/>
      <c r="EO9" s="984"/>
      <c r="EP9" s="984"/>
      <c r="EQ9" s="984"/>
      <c r="ER9" s="984"/>
      <c r="ES9" s="984"/>
      <c r="ET9" s="984"/>
      <c r="EU9" s="984"/>
      <c r="EV9" s="984"/>
      <c r="EW9" s="984"/>
      <c r="EX9" s="984"/>
      <c r="EY9" s="984"/>
      <c r="EZ9" s="984"/>
      <c r="FA9" s="984"/>
      <c r="FB9" s="984"/>
      <c r="FC9" s="984"/>
      <c r="FD9" s="984"/>
      <c r="FE9" s="984"/>
      <c r="FF9" s="984"/>
      <c r="FG9" s="984"/>
      <c r="FH9" s="984"/>
      <c r="FI9" s="984"/>
      <c r="FJ9" s="984"/>
      <c r="FK9" s="984"/>
      <c r="FL9" s="984"/>
      <c r="FM9" s="984"/>
      <c r="FN9" s="984"/>
      <c r="FO9" s="984"/>
      <c r="FP9" s="984"/>
      <c r="FQ9" s="984"/>
      <c r="FR9" s="984"/>
      <c r="FS9" s="984"/>
      <c r="FT9" s="984"/>
      <c r="FU9" s="984"/>
      <c r="FV9" s="984"/>
      <c r="FW9" s="2333"/>
      <c r="FX9" s="984"/>
      <c r="GC9" s="861">
        <v>0</v>
      </c>
    </row>
    <row r="10" spans="2:185" s="861" customFormat="1" ht="11.45" customHeight="1">
      <c r="B10" s="862"/>
      <c r="F10" s="2301" t="s">
        <v>299</v>
      </c>
      <c r="G10" s="2317"/>
      <c r="H10" s="2317"/>
      <c r="I10" s="2317"/>
      <c r="J10" s="2317"/>
      <c r="K10" s="2317"/>
      <c r="L10" s="2317"/>
      <c r="M10" s="2317"/>
      <c r="N10" s="2317"/>
      <c r="O10" s="2317"/>
      <c r="P10" s="2317"/>
      <c r="Q10" s="2317"/>
      <c r="R10" s="2317"/>
      <c r="S10" s="2317"/>
      <c r="T10" s="2317"/>
      <c r="U10" s="2317"/>
      <c r="V10" s="2317"/>
      <c r="W10" s="2317"/>
      <c r="X10" s="2317"/>
      <c r="Y10" s="2317"/>
      <c r="Z10" s="2317"/>
      <c r="AA10" s="2317"/>
      <c r="AB10" s="2317"/>
      <c r="AC10" s="2317"/>
      <c r="AD10" s="2317"/>
      <c r="AE10" s="2317"/>
      <c r="AF10" s="2317"/>
      <c r="AG10" s="2317"/>
      <c r="AH10" s="2317"/>
      <c r="AI10" s="2317"/>
      <c r="AJ10" s="2317"/>
      <c r="AK10" s="2317"/>
      <c r="AL10" s="2317"/>
      <c r="AM10" s="2317"/>
      <c r="AN10" s="2317"/>
      <c r="AO10" s="2317"/>
      <c r="AP10" s="2317"/>
      <c r="AQ10" s="2317"/>
      <c r="AR10" s="2317"/>
      <c r="AS10" s="2317"/>
      <c r="AT10" s="2317"/>
      <c r="AU10" s="2317"/>
      <c r="AV10" s="2317"/>
      <c r="AW10" s="2317"/>
      <c r="AX10" s="2317"/>
      <c r="AY10" s="2317"/>
      <c r="AZ10" s="2317"/>
      <c r="BA10" s="2317"/>
      <c r="BB10" s="2317"/>
      <c r="BC10" s="2317"/>
      <c r="BD10" s="2317"/>
      <c r="BE10" s="2317"/>
      <c r="BF10" s="2317"/>
      <c r="BG10" s="2317"/>
      <c r="BH10" s="2317"/>
      <c r="BI10" s="2317"/>
      <c r="BJ10" s="2317"/>
      <c r="BK10" s="2317"/>
      <c r="BL10" s="2317"/>
      <c r="BM10" s="2317"/>
      <c r="BN10" s="2317"/>
      <c r="BO10" s="2317"/>
      <c r="BP10" s="2317"/>
      <c r="BQ10" s="2317"/>
      <c r="BR10" s="2317"/>
      <c r="BS10" s="2317"/>
      <c r="BT10" s="2317"/>
      <c r="BU10" s="2317"/>
      <c r="BV10" s="2317"/>
      <c r="BW10" s="2317"/>
      <c r="BX10" s="2317"/>
      <c r="BY10" s="2317"/>
      <c r="BZ10" s="2317"/>
      <c r="CA10" s="2317"/>
      <c r="CB10" s="2317"/>
      <c r="CC10" s="2317"/>
      <c r="CD10" s="2317"/>
      <c r="CE10" s="2317"/>
      <c r="CF10" s="2317"/>
      <c r="CG10" s="2317"/>
      <c r="CH10" s="2317"/>
      <c r="CI10" s="2317"/>
      <c r="CJ10" s="2317"/>
      <c r="CK10" s="2317"/>
      <c r="CL10" s="2317"/>
      <c r="CM10" s="2317"/>
      <c r="CN10" s="2317"/>
      <c r="CO10" s="2317"/>
      <c r="CP10" s="2317"/>
      <c r="CQ10" s="2317"/>
      <c r="CR10" s="2317"/>
      <c r="CS10" s="2317"/>
      <c r="CT10" s="2317"/>
      <c r="CU10" s="2317"/>
      <c r="CV10" s="2317"/>
      <c r="CW10" s="2317"/>
      <c r="CX10" s="2317"/>
      <c r="CY10" s="2317"/>
      <c r="CZ10" s="2317"/>
      <c r="DA10" s="2317"/>
      <c r="DB10" s="2317"/>
      <c r="DC10" s="2317"/>
      <c r="DD10" s="2317"/>
      <c r="DE10" s="2317"/>
      <c r="DF10" s="2317"/>
      <c r="DG10" s="2317"/>
      <c r="DH10" s="2317"/>
      <c r="DI10" s="2317"/>
      <c r="DJ10" s="2317"/>
      <c r="DK10" s="2317"/>
      <c r="DL10" s="2317"/>
      <c r="DM10" s="2317"/>
      <c r="DN10" s="2317"/>
      <c r="DO10" s="2317"/>
      <c r="DP10" s="2317"/>
      <c r="DQ10" s="2317"/>
      <c r="DR10" s="2317"/>
      <c r="DS10" s="2317"/>
      <c r="DT10" s="2317"/>
      <c r="DU10" s="2317"/>
      <c r="DV10" s="2317"/>
      <c r="DW10" s="2317"/>
      <c r="DX10" s="2317"/>
      <c r="DY10" s="2317"/>
      <c r="DZ10" s="2317"/>
      <c r="EA10" s="2317"/>
      <c r="EB10" s="2317"/>
      <c r="EC10" s="2317"/>
      <c r="ED10" s="2317"/>
      <c r="EE10" s="2317"/>
      <c r="EF10" s="2317"/>
      <c r="EG10" s="2317"/>
      <c r="EH10" s="2317"/>
      <c r="EI10" s="2317"/>
      <c r="EJ10" s="2317"/>
      <c r="EK10" s="2317"/>
      <c r="EL10" s="2317"/>
      <c r="EM10" s="2317"/>
      <c r="EN10" s="2317"/>
      <c r="EO10" s="2317"/>
      <c r="EP10" s="2317"/>
      <c r="EQ10" s="2317"/>
      <c r="ER10" s="2317"/>
      <c r="ES10" s="2317"/>
      <c r="ET10" s="2317"/>
      <c r="EU10" s="2317"/>
      <c r="EV10" s="2317"/>
      <c r="EW10" s="2317"/>
      <c r="EX10" s="2317"/>
      <c r="EY10" s="2317"/>
      <c r="EZ10" s="2317"/>
      <c r="FA10" s="2317"/>
      <c r="FB10" s="2317"/>
      <c r="FC10" s="2317"/>
      <c r="FD10" s="2317"/>
      <c r="FE10" s="2317"/>
      <c r="FF10" s="2317"/>
      <c r="FG10" s="2317"/>
      <c r="FH10" s="2317"/>
      <c r="FI10" s="2317"/>
      <c r="FJ10" s="2317"/>
      <c r="FK10" s="2317"/>
      <c r="FL10" s="2317"/>
      <c r="FM10" s="2317"/>
      <c r="FN10" s="2317"/>
      <c r="FO10" s="2317"/>
      <c r="FP10" s="2317"/>
      <c r="FQ10" s="2317"/>
      <c r="FR10" s="2317"/>
      <c r="FS10" s="2317"/>
      <c r="FT10" s="2317"/>
      <c r="FU10" s="2317"/>
      <c r="FV10" s="2318"/>
      <c r="FW10" s="2333"/>
      <c r="FX10" s="984"/>
      <c r="GC10" s="861">
        <v>11</v>
      </c>
    </row>
    <row r="11" spans="2:185" ht="12.75" customHeight="1">
      <c r="E11" s="865"/>
      <c r="F11" s="2141" t="s">
        <v>88</v>
      </c>
      <c r="G11" s="2141" t="s">
        <v>1074</v>
      </c>
      <c r="H11" s="2141" t="s">
        <v>1075</v>
      </c>
      <c r="I11" s="2141" t="s">
        <v>1076</v>
      </c>
      <c r="J11" s="2323"/>
      <c r="K11" s="2323"/>
      <c r="L11" s="2323"/>
      <c r="M11" s="2323"/>
      <c r="N11" s="2323"/>
      <c r="O11" s="2145" t="s">
        <v>1077</v>
      </c>
      <c r="P11" s="2145"/>
      <c r="Q11" s="2145"/>
      <c r="R11" s="2145"/>
      <c r="S11" s="2145"/>
      <c r="T11" s="2145"/>
      <c r="U11" s="2145"/>
      <c r="V11" s="2145"/>
      <c r="W11" s="2145"/>
      <c r="X11" s="2145"/>
      <c r="Y11" s="2145"/>
      <c r="Z11" s="2145"/>
      <c r="AA11" s="2145"/>
      <c r="AB11" s="2145"/>
      <c r="AC11" s="2321"/>
      <c r="AD11" s="2321"/>
      <c r="AE11" s="2321"/>
      <c r="AF11" s="2321"/>
      <c r="AG11" s="2321"/>
      <c r="AH11" s="2321"/>
      <c r="AI11" s="2321"/>
      <c r="AJ11" s="2321"/>
      <c r="AK11" s="2321"/>
      <c r="AL11" s="2321"/>
      <c r="AM11" s="2321"/>
      <c r="AN11" s="2321"/>
      <c r="AO11" s="2321"/>
      <c r="AP11" s="2321"/>
      <c r="AQ11" s="2321"/>
      <c r="AR11" s="2321"/>
      <c r="AS11" s="2321"/>
      <c r="AT11" s="2321"/>
      <c r="AU11" s="2321"/>
      <c r="AV11" s="2321"/>
      <c r="AW11" s="2321"/>
      <c r="AX11" s="2321"/>
      <c r="AY11" s="2321"/>
      <c r="AZ11" s="2321"/>
      <c r="BA11" s="2321"/>
      <c r="BB11" s="2321"/>
      <c r="BC11" s="2321"/>
      <c r="BD11" s="2321"/>
      <c r="BE11" s="2321"/>
      <c r="BF11" s="2321"/>
      <c r="BG11" s="2321"/>
      <c r="BH11" s="2321"/>
      <c r="BI11" s="2321"/>
      <c r="BJ11" s="2321"/>
      <c r="BK11" s="2321"/>
      <c r="BL11" s="2321"/>
      <c r="BM11" s="2321"/>
      <c r="BN11" s="2321"/>
      <c r="BO11" s="2321"/>
      <c r="BP11" s="2321"/>
      <c r="BQ11" s="2321"/>
      <c r="BR11" s="2321"/>
      <c r="BS11" s="2338"/>
      <c r="BT11" s="2285" t="s">
        <v>1077</v>
      </c>
      <c r="BU11" s="2286"/>
      <c r="BV11" s="2286"/>
      <c r="BW11" s="2286"/>
      <c r="BX11" s="2286"/>
      <c r="BY11" s="2286"/>
      <c r="BZ11" s="2286"/>
      <c r="CA11" s="2286"/>
      <c r="CB11" s="2286"/>
      <c r="CC11" s="2286"/>
      <c r="CD11" s="2286"/>
      <c r="CE11" s="2286"/>
      <c r="CF11" s="2286"/>
      <c r="CG11" s="2286"/>
      <c r="CH11" s="2286"/>
      <c r="CI11" s="2286"/>
      <c r="CJ11" s="2286"/>
      <c r="CK11" s="2320"/>
      <c r="CL11" s="2322"/>
      <c r="CM11" s="2321"/>
      <c r="CN11" s="2321"/>
      <c r="CO11" s="2321"/>
      <c r="CP11" s="2321"/>
      <c r="CQ11" s="2321"/>
      <c r="CR11" s="2321"/>
      <c r="CS11" s="2321"/>
      <c r="CT11" s="2321"/>
      <c r="CU11" s="2321"/>
      <c r="CV11" s="2321"/>
      <c r="CW11" s="2321"/>
      <c r="CX11" s="2338"/>
      <c r="CY11" s="2285" t="s">
        <v>1077</v>
      </c>
      <c r="CZ11" s="2286"/>
      <c r="DA11" s="2286"/>
      <c r="DB11" s="2286"/>
      <c r="DC11" s="2286"/>
      <c r="DD11" s="2286"/>
      <c r="DE11" s="2286"/>
      <c r="DF11" s="2286"/>
      <c r="DG11" s="2286"/>
      <c r="DH11" s="2286"/>
      <c r="DI11" s="2286"/>
      <c r="DJ11" s="2320"/>
      <c r="DK11" s="2322"/>
      <c r="DL11" s="2321"/>
      <c r="DM11" s="2321"/>
      <c r="DN11" s="2321"/>
      <c r="DO11" s="2321"/>
      <c r="DP11" s="2321"/>
      <c r="DQ11" s="2321"/>
      <c r="DR11" s="2321"/>
      <c r="DS11" s="2321"/>
      <c r="DT11" s="2321"/>
      <c r="DU11" s="2321"/>
      <c r="DV11" s="2321"/>
      <c r="DW11" s="2321"/>
      <c r="DX11" s="2321"/>
      <c r="DY11" s="2321"/>
      <c r="DZ11" s="2321"/>
      <c r="EA11" s="2321"/>
      <c r="EB11" s="2321"/>
      <c r="EC11" s="2321"/>
      <c r="ED11" s="2321"/>
      <c r="EE11" s="2321"/>
      <c r="EF11" s="2321"/>
      <c r="EG11" s="2321"/>
      <c r="EH11" s="2321"/>
      <c r="EI11" s="2321"/>
      <c r="EJ11" s="2321"/>
      <c r="EK11" s="2321"/>
      <c r="EL11" s="2321"/>
      <c r="EM11" s="2321"/>
      <c r="EN11" s="2321"/>
      <c r="EO11" s="2321"/>
      <c r="EP11" s="2321"/>
      <c r="EQ11" s="2321"/>
      <c r="ER11" s="2321"/>
      <c r="ES11" s="2321"/>
      <c r="ET11" s="2321"/>
      <c r="EU11" s="2321"/>
      <c r="EV11" s="2321"/>
      <c r="EW11" s="2321"/>
      <c r="EX11" s="2321"/>
      <c r="EY11" s="2321"/>
      <c r="EZ11" s="2321"/>
      <c r="FA11" s="2321"/>
      <c r="FB11" s="2321"/>
      <c r="FC11" s="2321"/>
      <c r="FD11" s="2321"/>
      <c r="FE11" s="2321"/>
      <c r="FF11" s="2321"/>
      <c r="FG11" s="2321"/>
      <c r="FH11" s="2321"/>
      <c r="FI11" s="2321"/>
      <c r="FJ11" s="2321"/>
      <c r="FK11" s="2321"/>
      <c r="FL11" s="2321"/>
      <c r="FM11" s="2321"/>
      <c r="FN11" s="2321"/>
      <c r="FO11" s="2321"/>
      <c r="FP11" s="2321"/>
      <c r="FQ11" s="2321"/>
      <c r="FR11" s="2321"/>
      <c r="FS11" s="2321"/>
      <c r="FT11" s="2321"/>
      <c r="FU11" s="2321"/>
      <c r="FV11" s="2321"/>
      <c r="FW11" s="2333"/>
      <c r="FX11" s="695"/>
      <c r="GC11" s="854">
        <v>12</v>
      </c>
    </row>
    <row r="12" spans="2:185" ht="12.75" customHeight="1">
      <c r="D12" s="866"/>
      <c r="E12" s="865"/>
      <c r="F12" s="2141"/>
      <c r="G12" s="2141"/>
      <c r="H12" s="2141"/>
      <c r="I12" s="2141"/>
      <c r="J12" s="2323"/>
      <c r="K12" s="2323"/>
      <c r="L12" s="2323"/>
      <c r="M12" s="2323"/>
      <c r="N12" s="2323"/>
      <c r="O12" s="2145" t="s">
        <v>1078</v>
      </c>
      <c r="P12" s="2145"/>
      <c r="Q12" s="2145"/>
      <c r="R12" s="2145"/>
      <c r="S12" s="2145" t="s">
        <v>1079</v>
      </c>
      <c r="T12" s="2145"/>
      <c r="U12" s="2145"/>
      <c r="V12" s="2145"/>
      <c r="W12" s="2145"/>
      <c r="X12" s="2145"/>
      <c r="Y12" s="2145"/>
      <c r="Z12" s="2145"/>
      <c r="AA12" s="2145"/>
      <c r="AB12" s="2145"/>
      <c r="AC12" s="2321"/>
      <c r="AD12" s="2321"/>
      <c r="AE12" s="2321"/>
      <c r="AF12" s="2321"/>
      <c r="AG12" s="2321"/>
      <c r="AH12" s="2321"/>
      <c r="AI12" s="2321"/>
      <c r="AJ12" s="2321"/>
      <c r="AK12" s="2321"/>
      <c r="AL12" s="2321"/>
      <c r="AM12" s="2321"/>
      <c r="AN12" s="2321"/>
      <c r="AO12" s="2321"/>
      <c r="AP12" s="2321"/>
      <c r="AQ12" s="2321"/>
      <c r="AR12" s="2321"/>
      <c r="AS12" s="2321"/>
      <c r="AT12" s="2321"/>
      <c r="AU12" s="2321"/>
      <c r="AV12" s="2321"/>
      <c r="AW12" s="2321"/>
      <c r="AX12" s="2321"/>
      <c r="AY12" s="2321"/>
      <c r="AZ12" s="2321"/>
      <c r="BA12" s="2321"/>
      <c r="BB12" s="2321"/>
      <c r="BC12" s="2321"/>
      <c r="BD12" s="2321"/>
      <c r="BE12" s="2321"/>
      <c r="BF12" s="2321"/>
      <c r="BG12" s="2321"/>
      <c r="BH12" s="2321"/>
      <c r="BI12" s="2321"/>
      <c r="BJ12" s="2321"/>
      <c r="BK12" s="2321"/>
      <c r="BL12" s="2321"/>
      <c r="BM12" s="2321"/>
      <c r="BN12" s="2321"/>
      <c r="BO12" s="2321"/>
      <c r="BP12" s="2321"/>
      <c r="BQ12" s="2321"/>
      <c r="BR12" s="2321"/>
      <c r="BS12" s="2338"/>
      <c r="BT12" s="2285" t="s">
        <v>1080</v>
      </c>
      <c r="BU12" s="2286"/>
      <c r="BV12" s="2286"/>
      <c r="BW12" s="2320"/>
      <c r="BX12" s="2285" t="s">
        <v>1081</v>
      </c>
      <c r="BY12" s="2286"/>
      <c r="BZ12" s="2286"/>
      <c r="CA12" s="2320"/>
      <c r="CB12" s="2285" t="s">
        <v>1082</v>
      </c>
      <c r="CC12" s="2320"/>
      <c r="CD12" s="2285" t="s">
        <v>1083</v>
      </c>
      <c r="CE12" s="2286"/>
      <c r="CF12" s="2286"/>
      <c r="CG12" s="2286"/>
      <c r="CH12" s="2286"/>
      <c r="CI12" s="2286"/>
      <c r="CJ12" s="2286"/>
      <c r="CK12" s="2320"/>
      <c r="CL12" s="2322"/>
      <c r="CM12" s="2321"/>
      <c r="CN12" s="2321"/>
      <c r="CO12" s="2321"/>
      <c r="CP12" s="2321"/>
      <c r="CQ12" s="2321"/>
      <c r="CR12" s="2321"/>
      <c r="CS12" s="2321"/>
      <c r="CT12" s="2321"/>
      <c r="CU12" s="2321"/>
      <c r="CV12" s="2321"/>
      <c r="CW12" s="2321"/>
      <c r="CX12" s="2338"/>
      <c r="CY12" s="2285" t="s">
        <v>1084</v>
      </c>
      <c r="CZ12" s="2286"/>
      <c r="DA12" s="2286"/>
      <c r="DB12" s="2286"/>
      <c r="DC12" s="2286"/>
      <c r="DD12" s="2320"/>
      <c r="DE12" s="2285" t="s">
        <v>1085</v>
      </c>
      <c r="DF12" s="2320"/>
      <c r="DG12" s="2285" t="s">
        <v>1083</v>
      </c>
      <c r="DH12" s="2286"/>
      <c r="DI12" s="2286"/>
      <c r="DJ12" s="2320"/>
      <c r="DK12" s="2322"/>
      <c r="DL12" s="2321"/>
      <c r="DM12" s="2321"/>
      <c r="DN12" s="2321"/>
      <c r="DO12" s="2321"/>
      <c r="DP12" s="2321"/>
      <c r="DQ12" s="2321"/>
      <c r="DR12" s="2321"/>
      <c r="DS12" s="2321"/>
      <c r="DT12" s="2321"/>
      <c r="DU12" s="2321"/>
      <c r="DV12" s="2321"/>
      <c r="DW12" s="2321"/>
      <c r="DX12" s="2321"/>
      <c r="DY12" s="2321"/>
      <c r="DZ12" s="2321"/>
      <c r="EA12" s="2321"/>
      <c r="EB12" s="2321"/>
      <c r="EC12" s="2321"/>
      <c r="ED12" s="2321"/>
      <c r="EE12" s="2321"/>
      <c r="EF12" s="2321"/>
      <c r="EG12" s="2321"/>
      <c r="EH12" s="2321"/>
      <c r="EI12" s="2321"/>
      <c r="EJ12" s="2321"/>
      <c r="EK12" s="2321"/>
      <c r="EL12" s="2321"/>
      <c r="EM12" s="2321"/>
      <c r="EN12" s="2321"/>
      <c r="EO12" s="2321"/>
      <c r="EP12" s="2321"/>
      <c r="EQ12" s="2321"/>
      <c r="ER12" s="2321"/>
      <c r="ES12" s="2321"/>
      <c r="ET12" s="2321"/>
      <c r="EU12" s="2321"/>
      <c r="EV12" s="2321"/>
      <c r="EW12" s="2321"/>
      <c r="EX12" s="2321"/>
      <c r="EY12" s="2321"/>
      <c r="EZ12" s="2321"/>
      <c r="FA12" s="2321"/>
      <c r="FB12" s="2321"/>
      <c r="FC12" s="2321"/>
      <c r="FD12" s="2321"/>
      <c r="FE12" s="2321"/>
      <c r="FF12" s="2321"/>
      <c r="FG12" s="2321"/>
      <c r="FH12" s="2321"/>
      <c r="FI12" s="2321"/>
      <c r="FJ12" s="2321"/>
      <c r="FK12" s="2321"/>
      <c r="FL12" s="2321"/>
      <c r="FM12" s="2321"/>
      <c r="FN12" s="2321"/>
      <c r="FO12" s="2321"/>
      <c r="FP12" s="2321"/>
      <c r="FQ12" s="2321"/>
      <c r="FR12" s="2321"/>
      <c r="FS12" s="2321"/>
      <c r="FT12" s="2321"/>
      <c r="FU12" s="2321"/>
      <c r="FV12" s="2321"/>
      <c r="FW12" s="2333"/>
      <c r="FX12" s="695"/>
      <c r="GC12" s="854">
        <v>12</v>
      </c>
    </row>
    <row r="13" spans="2:185" ht="37.9" customHeight="1">
      <c r="D13" s="866"/>
      <c r="E13" s="865"/>
      <c r="F13" s="2141"/>
      <c r="G13" s="2141"/>
      <c r="H13" s="2141"/>
      <c r="I13" s="2141"/>
      <c r="J13" s="2323"/>
      <c r="K13" s="2323"/>
      <c r="L13" s="2323"/>
      <c r="M13" s="2323"/>
      <c r="N13" s="2323"/>
      <c r="O13" s="2145" t="s">
        <v>1086</v>
      </c>
      <c r="P13" s="2145"/>
      <c r="Q13" s="2145"/>
      <c r="R13" s="2145"/>
      <c r="S13" s="2239" t="s">
        <v>1087</v>
      </c>
      <c r="T13" s="2287"/>
      <c r="U13" s="2066" t="s">
        <v>1088</v>
      </c>
      <c r="V13" s="2066"/>
      <c r="W13" s="2066"/>
      <c r="X13" s="2066"/>
      <c r="Y13" s="2066" t="s">
        <v>1089</v>
      </c>
      <c r="Z13" s="2066"/>
      <c r="AA13" s="2066"/>
      <c r="AB13" s="2066"/>
      <c r="AC13" s="2321"/>
      <c r="AD13" s="2321"/>
      <c r="AE13" s="2321"/>
      <c r="AF13" s="2321"/>
      <c r="AG13" s="2321"/>
      <c r="AH13" s="2321"/>
      <c r="AI13" s="2321"/>
      <c r="AJ13" s="2321"/>
      <c r="AK13" s="2321"/>
      <c r="AL13" s="2321"/>
      <c r="AM13" s="2321"/>
      <c r="AN13" s="2321"/>
      <c r="AO13" s="2321"/>
      <c r="AP13" s="2321"/>
      <c r="AQ13" s="2321"/>
      <c r="AR13" s="2321"/>
      <c r="AS13" s="2321"/>
      <c r="AT13" s="2321"/>
      <c r="AU13" s="2321"/>
      <c r="AV13" s="2321"/>
      <c r="AW13" s="2321"/>
      <c r="AX13" s="2321"/>
      <c r="AY13" s="2321"/>
      <c r="AZ13" s="2321"/>
      <c r="BA13" s="2321"/>
      <c r="BB13" s="2321"/>
      <c r="BC13" s="2321"/>
      <c r="BD13" s="2321"/>
      <c r="BE13" s="2321"/>
      <c r="BF13" s="2321"/>
      <c r="BG13" s="2321"/>
      <c r="BH13" s="2321"/>
      <c r="BI13" s="2321"/>
      <c r="BJ13" s="2321"/>
      <c r="BK13" s="2321"/>
      <c r="BL13" s="2321"/>
      <c r="BM13" s="2321"/>
      <c r="BN13" s="2321"/>
      <c r="BO13" s="2321"/>
      <c r="BP13" s="2321"/>
      <c r="BQ13" s="2321"/>
      <c r="BR13" s="2321"/>
      <c r="BS13" s="2338"/>
      <c r="BT13" s="2239" t="s">
        <v>1090</v>
      </c>
      <c r="BU13" s="2287"/>
      <c r="BV13" s="2239" t="s">
        <v>1091</v>
      </c>
      <c r="BW13" s="2287"/>
      <c r="BX13" s="2239" t="s">
        <v>1092</v>
      </c>
      <c r="BY13" s="2287"/>
      <c r="BZ13" s="2239" t="s">
        <v>1093</v>
      </c>
      <c r="CA13" s="2287"/>
      <c r="CB13" s="2239" t="s">
        <v>1094</v>
      </c>
      <c r="CC13" s="2287"/>
      <c r="CD13" s="2239" t="s">
        <v>1095</v>
      </c>
      <c r="CE13" s="2287"/>
      <c r="CF13" s="2239" t="s">
        <v>1096</v>
      </c>
      <c r="CG13" s="2287"/>
      <c r="CH13" s="2285" t="s">
        <v>1097</v>
      </c>
      <c r="CI13" s="2286"/>
      <c r="CJ13" s="2286"/>
      <c r="CK13" s="2320"/>
      <c r="CL13" s="2322"/>
      <c r="CM13" s="2321"/>
      <c r="CN13" s="2321"/>
      <c r="CO13" s="2321"/>
      <c r="CP13" s="2321"/>
      <c r="CQ13" s="2321"/>
      <c r="CR13" s="2321"/>
      <c r="CS13" s="2321"/>
      <c r="CT13" s="2321"/>
      <c r="CU13" s="2321"/>
      <c r="CV13" s="2321"/>
      <c r="CW13" s="2321"/>
      <c r="CX13" s="2338"/>
      <c r="CY13" s="2239" t="s">
        <v>1098</v>
      </c>
      <c r="CZ13" s="2287"/>
      <c r="DA13" s="2239" t="s">
        <v>1099</v>
      </c>
      <c r="DB13" s="2287"/>
      <c r="DC13" s="2239" t="s">
        <v>1100</v>
      </c>
      <c r="DD13" s="2287"/>
      <c r="DE13" s="2239" t="s">
        <v>1101</v>
      </c>
      <c r="DF13" s="2287"/>
      <c r="DG13" s="2285" t="s">
        <v>1102</v>
      </c>
      <c r="DH13" s="2286"/>
      <c r="DI13" s="2286"/>
      <c r="DJ13" s="2320"/>
      <c r="DK13" s="2322"/>
      <c r="DL13" s="2321"/>
      <c r="DM13" s="2321"/>
      <c r="DN13" s="2321"/>
      <c r="DO13" s="2321"/>
      <c r="DP13" s="2321"/>
      <c r="DQ13" s="2321"/>
      <c r="DR13" s="2321"/>
      <c r="DS13" s="2321"/>
      <c r="DT13" s="2321"/>
      <c r="DU13" s="2321"/>
      <c r="DV13" s="2321"/>
      <c r="DW13" s="2321"/>
      <c r="DX13" s="2321"/>
      <c r="DY13" s="2321"/>
      <c r="DZ13" s="2321"/>
      <c r="EA13" s="2321"/>
      <c r="EB13" s="2321"/>
      <c r="EC13" s="2321"/>
      <c r="ED13" s="2321"/>
      <c r="EE13" s="2321"/>
      <c r="EF13" s="2321"/>
      <c r="EG13" s="2321"/>
      <c r="EH13" s="2321"/>
      <c r="EI13" s="2321"/>
      <c r="EJ13" s="2321"/>
      <c r="EK13" s="2321"/>
      <c r="EL13" s="2321"/>
      <c r="EM13" s="2321"/>
      <c r="EN13" s="2321"/>
      <c r="EO13" s="2321"/>
      <c r="EP13" s="2321"/>
      <c r="EQ13" s="2321"/>
      <c r="ER13" s="2321"/>
      <c r="ES13" s="2321"/>
      <c r="ET13" s="2321"/>
      <c r="EU13" s="2321"/>
      <c r="EV13" s="2321"/>
      <c r="EW13" s="2321"/>
      <c r="EX13" s="2321"/>
      <c r="EY13" s="2321"/>
      <c r="EZ13" s="2321"/>
      <c r="FA13" s="2321"/>
      <c r="FB13" s="2321"/>
      <c r="FC13" s="2321"/>
      <c r="FD13" s="2321"/>
      <c r="FE13" s="2321"/>
      <c r="FF13" s="2321"/>
      <c r="FG13" s="2321"/>
      <c r="FH13" s="2321"/>
      <c r="FI13" s="2321"/>
      <c r="FJ13" s="2321"/>
      <c r="FK13" s="2321"/>
      <c r="FL13" s="2321"/>
      <c r="FM13" s="2321"/>
      <c r="FN13" s="2321"/>
      <c r="FO13" s="2321"/>
      <c r="FP13" s="2321"/>
      <c r="FQ13" s="2321"/>
      <c r="FR13" s="2321"/>
      <c r="FS13" s="2321"/>
      <c r="FT13" s="2321"/>
      <c r="FU13" s="2321"/>
      <c r="FV13" s="2321"/>
      <c r="FW13" s="2333"/>
      <c r="FX13" s="695"/>
      <c r="GC13" s="854">
        <v>36</v>
      </c>
    </row>
    <row r="14" spans="2:185" ht="37.9" customHeight="1">
      <c r="D14" s="866"/>
      <c r="E14" s="865"/>
      <c r="F14" s="2141"/>
      <c r="G14" s="2141"/>
      <c r="H14" s="2141"/>
      <c r="I14" s="2141"/>
      <c r="J14" s="2323"/>
      <c r="K14" s="2323"/>
      <c r="L14" s="2323"/>
      <c r="M14" s="2323"/>
      <c r="N14" s="2323"/>
      <c r="O14" s="2239" t="s">
        <v>1103</v>
      </c>
      <c r="P14" s="2287"/>
      <c r="Q14" s="2239" t="s">
        <v>1104</v>
      </c>
      <c r="R14" s="2287"/>
      <c r="S14" s="2240"/>
      <c r="T14" s="2149"/>
      <c r="U14" s="2239" t="s">
        <v>835</v>
      </c>
      <c r="V14" s="2287"/>
      <c r="W14" s="2239" t="s">
        <v>838</v>
      </c>
      <c r="X14" s="2287"/>
      <c r="Y14" s="2239" t="s">
        <v>835</v>
      </c>
      <c r="Z14" s="2287"/>
      <c r="AA14" s="2239" t="s">
        <v>845</v>
      </c>
      <c r="AB14" s="2287"/>
      <c r="AC14" s="2321"/>
      <c r="AD14" s="2321"/>
      <c r="AE14" s="2321"/>
      <c r="AF14" s="2321"/>
      <c r="AG14" s="2321"/>
      <c r="AH14" s="2321"/>
      <c r="AI14" s="2321"/>
      <c r="AJ14" s="2321"/>
      <c r="AK14" s="2321"/>
      <c r="AL14" s="2321"/>
      <c r="AM14" s="2321"/>
      <c r="AN14" s="2321"/>
      <c r="AO14" s="2321"/>
      <c r="AP14" s="2321"/>
      <c r="AQ14" s="2321"/>
      <c r="AR14" s="2321"/>
      <c r="AS14" s="2321"/>
      <c r="AT14" s="2321"/>
      <c r="AU14" s="2321"/>
      <c r="AV14" s="2321"/>
      <c r="AW14" s="2321"/>
      <c r="AX14" s="2321"/>
      <c r="AY14" s="2321"/>
      <c r="AZ14" s="2321"/>
      <c r="BA14" s="2321"/>
      <c r="BB14" s="2321"/>
      <c r="BC14" s="2321"/>
      <c r="BD14" s="2321"/>
      <c r="BE14" s="2321"/>
      <c r="BF14" s="2321"/>
      <c r="BG14" s="2321"/>
      <c r="BH14" s="2321"/>
      <c r="BI14" s="2321"/>
      <c r="BJ14" s="2321"/>
      <c r="BK14" s="2321"/>
      <c r="BL14" s="2321"/>
      <c r="BM14" s="2321"/>
      <c r="BN14" s="2321"/>
      <c r="BO14" s="2321"/>
      <c r="BP14" s="2321"/>
      <c r="BQ14" s="2321"/>
      <c r="BR14" s="2321"/>
      <c r="BS14" s="2338"/>
      <c r="BT14" s="2240"/>
      <c r="BU14" s="2149"/>
      <c r="BV14" s="2240"/>
      <c r="BW14" s="2149"/>
      <c r="BX14" s="2240"/>
      <c r="BY14" s="2149"/>
      <c r="BZ14" s="2240"/>
      <c r="CA14" s="2149"/>
      <c r="CB14" s="2240"/>
      <c r="CC14" s="2149"/>
      <c r="CD14" s="2240"/>
      <c r="CE14" s="2149"/>
      <c r="CF14" s="2240"/>
      <c r="CG14" s="2149"/>
      <c r="CH14" s="2239" t="s">
        <v>1105</v>
      </c>
      <c r="CI14" s="2287"/>
      <c r="CJ14" s="2239" t="s">
        <v>1106</v>
      </c>
      <c r="CK14" s="2287"/>
      <c r="CL14" s="2322"/>
      <c r="CM14" s="2321"/>
      <c r="CN14" s="2321"/>
      <c r="CO14" s="2321"/>
      <c r="CP14" s="2321"/>
      <c r="CQ14" s="2321"/>
      <c r="CR14" s="2321"/>
      <c r="CS14" s="2321"/>
      <c r="CT14" s="2321"/>
      <c r="CU14" s="2321"/>
      <c r="CV14" s="2321"/>
      <c r="CW14" s="2321"/>
      <c r="CX14" s="2338"/>
      <c r="CY14" s="2240"/>
      <c r="CZ14" s="2149"/>
      <c r="DA14" s="2240"/>
      <c r="DB14" s="2149"/>
      <c r="DC14" s="2240"/>
      <c r="DD14" s="2149"/>
      <c r="DE14" s="2240"/>
      <c r="DF14" s="2149"/>
      <c r="DG14" s="2239" t="s">
        <v>1107</v>
      </c>
      <c r="DH14" s="2287"/>
      <c r="DI14" s="2239" t="s">
        <v>1108</v>
      </c>
      <c r="DJ14" s="2287"/>
      <c r="DK14" s="2322"/>
      <c r="DL14" s="2321"/>
      <c r="DM14" s="2321"/>
      <c r="DN14" s="2321"/>
      <c r="DO14" s="2321"/>
      <c r="DP14" s="2321"/>
      <c r="DQ14" s="2321"/>
      <c r="DR14" s="2321"/>
      <c r="DS14" s="2321"/>
      <c r="DT14" s="2321"/>
      <c r="DU14" s="2321"/>
      <c r="DV14" s="2321"/>
      <c r="DW14" s="2321"/>
      <c r="DX14" s="2321"/>
      <c r="DY14" s="2321"/>
      <c r="DZ14" s="2321"/>
      <c r="EA14" s="2321"/>
      <c r="EB14" s="2321"/>
      <c r="EC14" s="2321"/>
      <c r="ED14" s="2321"/>
      <c r="EE14" s="2321"/>
      <c r="EF14" s="2321"/>
      <c r="EG14" s="2321"/>
      <c r="EH14" s="2321"/>
      <c r="EI14" s="2321"/>
      <c r="EJ14" s="2321"/>
      <c r="EK14" s="2321"/>
      <c r="EL14" s="2321"/>
      <c r="EM14" s="2321"/>
      <c r="EN14" s="2321"/>
      <c r="EO14" s="2321"/>
      <c r="EP14" s="2321"/>
      <c r="EQ14" s="2321"/>
      <c r="ER14" s="2321"/>
      <c r="ES14" s="2321"/>
      <c r="ET14" s="2321"/>
      <c r="EU14" s="2321"/>
      <c r="EV14" s="2321"/>
      <c r="EW14" s="2321"/>
      <c r="EX14" s="2321"/>
      <c r="EY14" s="2321"/>
      <c r="EZ14" s="2321"/>
      <c r="FA14" s="2321"/>
      <c r="FB14" s="2321"/>
      <c r="FC14" s="2321"/>
      <c r="FD14" s="2321"/>
      <c r="FE14" s="2321"/>
      <c r="FF14" s="2321"/>
      <c r="FG14" s="2321"/>
      <c r="FH14" s="2321"/>
      <c r="FI14" s="2321"/>
      <c r="FJ14" s="2321"/>
      <c r="FK14" s="2321"/>
      <c r="FL14" s="2321"/>
      <c r="FM14" s="2321"/>
      <c r="FN14" s="2321"/>
      <c r="FO14" s="2321"/>
      <c r="FP14" s="2321"/>
      <c r="FQ14" s="2321"/>
      <c r="FR14" s="2321"/>
      <c r="FS14" s="2321"/>
      <c r="FT14" s="2321"/>
      <c r="FU14" s="2321"/>
      <c r="FV14" s="2321"/>
      <c r="FW14" s="2333"/>
      <c r="FX14" s="695"/>
      <c r="GC14" s="854">
        <v>36</v>
      </c>
    </row>
    <row r="15" spans="2:185" ht="37.9" customHeight="1">
      <c r="D15" s="866"/>
      <c r="E15" s="865"/>
      <c r="F15" s="2141"/>
      <c r="G15" s="2141"/>
      <c r="H15" s="2141"/>
      <c r="I15" s="2141"/>
      <c r="J15" s="2323"/>
      <c r="K15" s="2323"/>
      <c r="L15" s="2323"/>
      <c r="M15" s="2323"/>
      <c r="N15" s="2323"/>
      <c r="O15" s="2241"/>
      <c r="P15" s="2304"/>
      <c r="Q15" s="2241"/>
      <c r="R15" s="2304"/>
      <c r="S15" s="2241"/>
      <c r="T15" s="2304"/>
      <c r="U15" s="2241"/>
      <c r="V15" s="2304"/>
      <c r="W15" s="2241"/>
      <c r="X15" s="2304"/>
      <c r="Y15" s="2241"/>
      <c r="Z15" s="2304"/>
      <c r="AA15" s="2241"/>
      <c r="AB15" s="2304"/>
      <c r="AC15" s="2321"/>
      <c r="AD15" s="2321"/>
      <c r="AE15" s="2321"/>
      <c r="AF15" s="2321"/>
      <c r="AG15" s="2321"/>
      <c r="AH15" s="2321"/>
      <c r="AI15" s="2321"/>
      <c r="AJ15" s="2321"/>
      <c r="AK15" s="2321"/>
      <c r="AL15" s="2321"/>
      <c r="AM15" s="2321"/>
      <c r="AN15" s="2321"/>
      <c r="AO15" s="2321"/>
      <c r="AP15" s="2321"/>
      <c r="AQ15" s="2321"/>
      <c r="AR15" s="2321"/>
      <c r="AS15" s="2321"/>
      <c r="AT15" s="2321"/>
      <c r="AU15" s="2321"/>
      <c r="AV15" s="2321"/>
      <c r="AW15" s="2321"/>
      <c r="AX15" s="2321"/>
      <c r="AY15" s="2321"/>
      <c r="AZ15" s="2321"/>
      <c r="BA15" s="2321"/>
      <c r="BB15" s="2321"/>
      <c r="BC15" s="2321"/>
      <c r="BD15" s="2321"/>
      <c r="BE15" s="2321"/>
      <c r="BF15" s="2321"/>
      <c r="BG15" s="2321"/>
      <c r="BH15" s="2321"/>
      <c r="BI15" s="2321"/>
      <c r="BJ15" s="2321"/>
      <c r="BK15" s="2321"/>
      <c r="BL15" s="2321"/>
      <c r="BM15" s="2321"/>
      <c r="BN15" s="2321"/>
      <c r="BO15" s="2321"/>
      <c r="BP15" s="2321"/>
      <c r="BQ15" s="2321"/>
      <c r="BR15" s="2321"/>
      <c r="BS15" s="2338"/>
      <c r="BT15" s="2241"/>
      <c r="BU15" s="2304"/>
      <c r="BV15" s="2241"/>
      <c r="BW15" s="2304"/>
      <c r="BX15" s="2241"/>
      <c r="BY15" s="2304"/>
      <c r="BZ15" s="2241"/>
      <c r="CA15" s="2304"/>
      <c r="CB15" s="2241"/>
      <c r="CC15" s="2304"/>
      <c r="CD15" s="2241"/>
      <c r="CE15" s="2304"/>
      <c r="CF15" s="2241"/>
      <c r="CG15" s="2304"/>
      <c r="CH15" s="2241"/>
      <c r="CI15" s="2304"/>
      <c r="CJ15" s="2241"/>
      <c r="CK15" s="2304"/>
      <c r="CL15" s="2322"/>
      <c r="CM15" s="2321"/>
      <c r="CN15" s="2321"/>
      <c r="CO15" s="2321"/>
      <c r="CP15" s="2321"/>
      <c r="CQ15" s="2321"/>
      <c r="CR15" s="2321"/>
      <c r="CS15" s="2321"/>
      <c r="CT15" s="2321"/>
      <c r="CU15" s="2321"/>
      <c r="CV15" s="2321"/>
      <c r="CW15" s="2321"/>
      <c r="CX15" s="2338"/>
      <c r="CY15" s="2241"/>
      <c r="CZ15" s="2304"/>
      <c r="DA15" s="2241"/>
      <c r="DB15" s="2304"/>
      <c r="DC15" s="2241"/>
      <c r="DD15" s="2304"/>
      <c r="DE15" s="2241"/>
      <c r="DF15" s="2304"/>
      <c r="DG15" s="2241"/>
      <c r="DH15" s="2304"/>
      <c r="DI15" s="2241"/>
      <c r="DJ15" s="2304"/>
      <c r="DK15" s="2322"/>
      <c r="DL15" s="2321"/>
      <c r="DM15" s="2321"/>
      <c r="DN15" s="2321"/>
      <c r="DO15" s="2321"/>
      <c r="DP15" s="2321"/>
      <c r="DQ15" s="2321"/>
      <c r="DR15" s="2321"/>
      <c r="DS15" s="2321"/>
      <c r="DT15" s="2321"/>
      <c r="DU15" s="2321"/>
      <c r="DV15" s="2321"/>
      <c r="DW15" s="2321"/>
      <c r="DX15" s="2321"/>
      <c r="DY15" s="2321"/>
      <c r="DZ15" s="2321"/>
      <c r="EA15" s="2321"/>
      <c r="EB15" s="2321"/>
      <c r="EC15" s="2321"/>
      <c r="ED15" s="2321"/>
      <c r="EE15" s="2321"/>
      <c r="EF15" s="2321"/>
      <c r="EG15" s="2321"/>
      <c r="EH15" s="2321"/>
      <c r="EI15" s="2321"/>
      <c r="EJ15" s="2321"/>
      <c r="EK15" s="2321"/>
      <c r="EL15" s="2321"/>
      <c r="EM15" s="2321"/>
      <c r="EN15" s="2321"/>
      <c r="EO15" s="2321"/>
      <c r="EP15" s="2321"/>
      <c r="EQ15" s="2321"/>
      <c r="ER15" s="2321"/>
      <c r="ES15" s="2321"/>
      <c r="ET15" s="2321"/>
      <c r="EU15" s="2321"/>
      <c r="EV15" s="2321"/>
      <c r="EW15" s="2321"/>
      <c r="EX15" s="2321"/>
      <c r="EY15" s="2321"/>
      <c r="EZ15" s="2321"/>
      <c r="FA15" s="2321"/>
      <c r="FB15" s="2321"/>
      <c r="FC15" s="2321"/>
      <c r="FD15" s="2321"/>
      <c r="FE15" s="2321"/>
      <c r="FF15" s="2321"/>
      <c r="FG15" s="2321"/>
      <c r="FH15" s="2321"/>
      <c r="FI15" s="2321"/>
      <c r="FJ15" s="2321"/>
      <c r="FK15" s="2321"/>
      <c r="FL15" s="2321"/>
      <c r="FM15" s="2321"/>
      <c r="FN15" s="2321"/>
      <c r="FO15" s="2321"/>
      <c r="FP15" s="2321"/>
      <c r="FQ15" s="2321"/>
      <c r="FR15" s="2321"/>
      <c r="FS15" s="2321"/>
      <c r="FT15" s="2321"/>
      <c r="FU15" s="2321"/>
      <c r="FV15" s="2321"/>
      <c r="FW15" s="2333"/>
      <c r="FX15" s="695"/>
      <c r="GC15" s="854">
        <v>36</v>
      </c>
    </row>
    <row r="16" spans="2:185" ht="12.75" customHeight="1">
      <c r="D16" s="866"/>
      <c r="E16" s="865"/>
      <c r="F16" s="2141"/>
      <c r="G16" s="2141"/>
      <c r="H16" s="2141"/>
      <c r="I16" s="2141"/>
      <c r="J16" s="2323"/>
      <c r="K16" s="2323"/>
      <c r="L16" s="2323"/>
      <c r="M16" s="2323"/>
      <c r="N16" s="2323"/>
      <c r="O16" s="2285" t="s">
        <v>825</v>
      </c>
      <c r="P16" s="2320"/>
      <c r="Q16" s="2285" t="s">
        <v>827</v>
      </c>
      <c r="R16" s="2320"/>
      <c r="S16" s="2285" t="s">
        <v>831</v>
      </c>
      <c r="T16" s="2320"/>
      <c r="U16" s="2285" t="s">
        <v>836</v>
      </c>
      <c r="V16" s="2320"/>
      <c r="W16" s="2285" t="s">
        <v>839</v>
      </c>
      <c r="X16" s="2320"/>
      <c r="Y16" s="2285" t="s">
        <v>843</v>
      </c>
      <c r="Z16" s="2320"/>
      <c r="AA16" s="2285" t="s">
        <v>846</v>
      </c>
      <c r="AB16" s="2320"/>
      <c r="AC16" s="2321"/>
      <c r="AD16" s="2321"/>
      <c r="AE16" s="2321"/>
      <c r="AF16" s="2321"/>
      <c r="AG16" s="2321"/>
      <c r="AH16" s="2321"/>
      <c r="AI16" s="2321"/>
      <c r="AJ16" s="2321"/>
      <c r="AK16" s="2321"/>
      <c r="AL16" s="2321"/>
      <c r="AM16" s="2321"/>
      <c r="AN16" s="2321"/>
      <c r="AO16" s="2321"/>
      <c r="AP16" s="2321"/>
      <c r="AQ16" s="2321"/>
      <c r="AR16" s="2321"/>
      <c r="AS16" s="2321"/>
      <c r="AT16" s="2321"/>
      <c r="AU16" s="2321"/>
      <c r="AV16" s="2321"/>
      <c r="AW16" s="2321"/>
      <c r="AX16" s="2321"/>
      <c r="AY16" s="2321"/>
      <c r="AZ16" s="2321"/>
      <c r="BA16" s="2321"/>
      <c r="BB16" s="2321"/>
      <c r="BC16" s="2321"/>
      <c r="BD16" s="2321"/>
      <c r="BE16" s="2321"/>
      <c r="BF16" s="2321"/>
      <c r="BG16" s="2321"/>
      <c r="BH16" s="2321"/>
      <c r="BI16" s="2321"/>
      <c r="BJ16" s="2321"/>
      <c r="BK16" s="2321"/>
      <c r="BL16" s="2321"/>
      <c r="BM16" s="2321"/>
      <c r="BN16" s="2321"/>
      <c r="BO16" s="2321"/>
      <c r="BP16" s="2321"/>
      <c r="BQ16" s="2321"/>
      <c r="BR16" s="2321"/>
      <c r="BS16" s="2338"/>
      <c r="BT16" s="2285" t="s">
        <v>557</v>
      </c>
      <c r="BU16" s="2320"/>
      <c r="BV16" s="2285" t="s">
        <v>557</v>
      </c>
      <c r="BW16" s="2320"/>
      <c r="BX16" s="2285" t="s">
        <v>557</v>
      </c>
      <c r="BY16" s="2320"/>
      <c r="BZ16" s="2285" t="s">
        <v>557</v>
      </c>
      <c r="CA16" s="2320"/>
      <c r="CB16" s="2285" t="s">
        <v>1109</v>
      </c>
      <c r="CC16" s="2320"/>
      <c r="CD16" s="2285" t="s">
        <v>557</v>
      </c>
      <c r="CE16" s="2320"/>
      <c r="CF16" s="2285" t="s">
        <v>1110</v>
      </c>
      <c r="CG16" s="2320"/>
      <c r="CH16" s="2285" t="s">
        <v>1111</v>
      </c>
      <c r="CI16" s="2320"/>
      <c r="CJ16" s="2285" t="s">
        <v>1111</v>
      </c>
      <c r="CK16" s="2320"/>
      <c r="CL16" s="2322"/>
      <c r="CM16" s="2321"/>
      <c r="CN16" s="2321"/>
      <c r="CO16" s="2321"/>
      <c r="CP16" s="2321"/>
      <c r="CQ16" s="2321"/>
      <c r="CR16" s="2321"/>
      <c r="CS16" s="2321"/>
      <c r="CT16" s="2321"/>
      <c r="CU16" s="2321"/>
      <c r="CV16" s="2321"/>
      <c r="CW16" s="2321"/>
      <c r="CX16" s="2338"/>
      <c r="CY16" s="2239" t="s">
        <v>557</v>
      </c>
      <c r="CZ16" s="2287"/>
      <c r="DA16" s="2239" t="s">
        <v>557</v>
      </c>
      <c r="DB16" s="2287"/>
      <c r="DC16" s="2239" t="s">
        <v>557</v>
      </c>
      <c r="DD16" s="2287"/>
      <c r="DE16" s="2285" t="s">
        <v>1109</v>
      </c>
      <c r="DF16" s="2320"/>
      <c r="DG16" s="2285" t="s">
        <v>1112</v>
      </c>
      <c r="DH16" s="2320"/>
      <c r="DI16" s="2285" t="s">
        <v>1112</v>
      </c>
      <c r="DJ16" s="2320"/>
      <c r="DK16" s="2322"/>
      <c r="DL16" s="2321"/>
      <c r="DM16" s="2321"/>
      <c r="DN16" s="2321"/>
      <c r="DO16" s="2321"/>
      <c r="DP16" s="2321"/>
      <c r="DQ16" s="2321"/>
      <c r="DR16" s="2321"/>
      <c r="DS16" s="2321"/>
      <c r="DT16" s="2321"/>
      <c r="DU16" s="2321"/>
      <c r="DV16" s="2321"/>
      <c r="DW16" s="2321"/>
      <c r="DX16" s="2321"/>
      <c r="DY16" s="2321"/>
      <c r="DZ16" s="2321"/>
      <c r="EA16" s="2321"/>
      <c r="EB16" s="2321"/>
      <c r="EC16" s="2321"/>
      <c r="ED16" s="2321"/>
      <c r="EE16" s="2321"/>
      <c r="EF16" s="2321"/>
      <c r="EG16" s="2321"/>
      <c r="EH16" s="2321"/>
      <c r="EI16" s="2321"/>
      <c r="EJ16" s="2321"/>
      <c r="EK16" s="2321"/>
      <c r="EL16" s="2321"/>
      <c r="EM16" s="2321"/>
      <c r="EN16" s="2321"/>
      <c r="EO16" s="2321"/>
      <c r="EP16" s="2321"/>
      <c r="EQ16" s="2321"/>
      <c r="ER16" s="2321"/>
      <c r="ES16" s="2321"/>
      <c r="ET16" s="2321"/>
      <c r="EU16" s="2321"/>
      <c r="EV16" s="2321"/>
      <c r="EW16" s="2321"/>
      <c r="EX16" s="2321"/>
      <c r="EY16" s="2321"/>
      <c r="EZ16" s="2321"/>
      <c r="FA16" s="2321"/>
      <c r="FB16" s="2321"/>
      <c r="FC16" s="2321"/>
      <c r="FD16" s="2321"/>
      <c r="FE16" s="2321"/>
      <c r="FF16" s="2321"/>
      <c r="FG16" s="2321"/>
      <c r="FH16" s="2321"/>
      <c r="FI16" s="2321"/>
      <c r="FJ16" s="2321"/>
      <c r="FK16" s="2321"/>
      <c r="FL16" s="2321"/>
      <c r="FM16" s="2321"/>
      <c r="FN16" s="2321"/>
      <c r="FO16" s="2321"/>
      <c r="FP16" s="2321"/>
      <c r="FQ16" s="2321"/>
      <c r="FR16" s="2321"/>
      <c r="FS16" s="2321"/>
      <c r="FT16" s="2321"/>
      <c r="FU16" s="2321"/>
      <c r="FV16" s="2321"/>
      <c r="FW16" s="2333"/>
      <c r="FX16" s="695"/>
      <c r="GC16" s="854">
        <v>12</v>
      </c>
    </row>
    <row r="17" spans="1:185" ht="15.75" customHeight="1">
      <c r="E17" s="865"/>
      <c r="F17" s="2141"/>
      <c r="G17" s="2141"/>
      <c r="H17" s="2141"/>
      <c r="I17" s="2141"/>
      <c r="J17" s="2323"/>
      <c r="K17" s="2323"/>
      <c r="L17" s="2323"/>
      <c r="M17" s="2323"/>
      <c r="N17" s="2323"/>
      <c r="O17" s="1116" t="s">
        <v>1113</v>
      </c>
      <c r="P17" s="1116" t="s">
        <v>1114</v>
      </c>
      <c r="Q17" s="1116" t="s">
        <v>1113</v>
      </c>
      <c r="R17" s="1116" t="s">
        <v>1114</v>
      </c>
      <c r="S17" s="1116" t="s">
        <v>1113</v>
      </c>
      <c r="T17" s="1116" t="s">
        <v>1114</v>
      </c>
      <c r="U17" s="1116" t="s">
        <v>1113</v>
      </c>
      <c r="V17" s="1116" t="s">
        <v>1114</v>
      </c>
      <c r="W17" s="1116" t="s">
        <v>1113</v>
      </c>
      <c r="X17" s="1116" t="s">
        <v>1114</v>
      </c>
      <c r="Y17" s="1116" t="s">
        <v>1113</v>
      </c>
      <c r="Z17" s="1116" t="s">
        <v>1114</v>
      </c>
      <c r="AA17" s="1116" t="s">
        <v>1113</v>
      </c>
      <c r="AB17" s="1116" t="s">
        <v>1114</v>
      </c>
      <c r="AC17" s="2321"/>
      <c r="AD17" s="2321"/>
      <c r="AE17" s="2321"/>
      <c r="AF17" s="2321"/>
      <c r="AG17" s="2321"/>
      <c r="AH17" s="2321"/>
      <c r="AI17" s="2321"/>
      <c r="AJ17" s="2321"/>
      <c r="AK17" s="2321"/>
      <c r="AL17" s="2321"/>
      <c r="AM17" s="2321"/>
      <c r="AN17" s="2321"/>
      <c r="AO17" s="2321"/>
      <c r="AP17" s="2321"/>
      <c r="AQ17" s="2321"/>
      <c r="AR17" s="2321"/>
      <c r="AS17" s="2321"/>
      <c r="AT17" s="2321"/>
      <c r="AU17" s="2321"/>
      <c r="AV17" s="2321"/>
      <c r="AW17" s="2321"/>
      <c r="AX17" s="2321"/>
      <c r="AY17" s="2321"/>
      <c r="AZ17" s="2321"/>
      <c r="BA17" s="2321"/>
      <c r="BB17" s="2321"/>
      <c r="BC17" s="2321"/>
      <c r="BD17" s="2321"/>
      <c r="BE17" s="2321"/>
      <c r="BF17" s="2321"/>
      <c r="BG17" s="2321"/>
      <c r="BH17" s="2321"/>
      <c r="BI17" s="2321"/>
      <c r="BJ17" s="2321"/>
      <c r="BK17" s="2321"/>
      <c r="BL17" s="2321"/>
      <c r="BM17" s="2321"/>
      <c r="BN17" s="2321"/>
      <c r="BO17" s="2321"/>
      <c r="BP17" s="2321"/>
      <c r="BQ17" s="2321"/>
      <c r="BR17" s="2321"/>
      <c r="BS17" s="2338"/>
      <c r="BT17" s="1116" t="s">
        <v>1113</v>
      </c>
      <c r="BU17" s="1116" t="s">
        <v>1114</v>
      </c>
      <c r="BV17" s="1116" t="s">
        <v>1113</v>
      </c>
      <c r="BW17" s="1116" t="s">
        <v>1114</v>
      </c>
      <c r="BX17" s="1116" t="s">
        <v>1113</v>
      </c>
      <c r="BY17" s="1116" t="s">
        <v>1114</v>
      </c>
      <c r="BZ17" s="1116" t="s">
        <v>1113</v>
      </c>
      <c r="CA17" s="1116" t="s">
        <v>1114</v>
      </c>
      <c r="CB17" s="1116" t="s">
        <v>1113</v>
      </c>
      <c r="CC17" s="1116" t="s">
        <v>1114</v>
      </c>
      <c r="CD17" s="1116" t="s">
        <v>1113</v>
      </c>
      <c r="CE17" s="1116" t="s">
        <v>1114</v>
      </c>
      <c r="CF17" s="1116" t="s">
        <v>1113</v>
      </c>
      <c r="CG17" s="1116" t="s">
        <v>1114</v>
      </c>
      <c r="CH17" s="1116" t="s">
        <v>1113</v>
      </c>
      <c r="CI17" s="1116" t="s">
        <v>1114</v>
      </c>
      <c r="CJ17" s="1116" t="s">
        <v>1113</v>
      </c>
      <c r="CK17" s="1116" t="s">
        <v>1114</v>
      </c>
      <c r="CL17" s="2322"/>
      <c r="CM17" s="2321"/>
      <c r="CN17" s="2321"/>
      <c r="CO17" s="2321"/>
      <c r="CP17" s="2321"/>
      <c r="CQ17" s="2321"/>
      <c r="CR17" s="2321"/>
      <c r="CS17" s="2321"/>
      <c r="CT17" s="2321"/>
      <c r="CU17" s="2321"/>
      <c r="CV17" s="2321"/>
      <c r="CW17" s="2321"/>
      <c r="CX17" s="2338"/>
      <c r="CY17" s="1116" t="s">
        <v>1113</v>
      </c>
      <c r="CZ17" s="1116" t="s">
        <v>1114</v>
      </c>
      <c r="DA17" s="1116" t="s">
        <v>1113</v>
      </c>
      <c r="DB17" s="1116" t="s">
        <v>1114</v>
      </c>
      <c r="DC17" s="1116" t="s">
        <v>1113</v>
      </c>
      <c r="DD17" s="1116" t="s">
        <v>1114</v>
      </c>
      <c r="DE17" s="1116" t="s">
        <v>1113</v>
      </c>
      <c r="DF17" s="1116" t="s">
        <v>1114</v>
      </c>
      <c r="DG17" s="1116" t="s">
        <v>1113</v>
      </c>
      <c r="DH17" s="1116" t="s">
        <v>1114</v>
      </c>
      <c r="DI17" s="1116" t="s">
        <v>1113</v>
      </c>
      <c r="DJ17" s="1116" t="s">
        <v>1114</v>
      </c>
      <c r="DK17" s="2322"/>
      <c r="DL17" s="2321"/>
      <c r="DM17" s="2321"/>
      <c r="DN17" s="2321"/>
      <c r="DO17" s="2321"/>
      <c r="DP17" s="2321"/>
      <c r="DQ17" s="2321"/>
      <c r="DR17" s="2321"/>
      <c r="DS17" s="2321"/>
      <c r="DT17" s="2321"/>
      <c r="DU17" s="2321"/>
      <c r="DV17" s="2321"/>
      <c r="DW17" s="2321"/>
      <c r="DX17" s="2321"/>
      <c r="DY17" s="2321"/>
      <c r="DZ17" s="2321"/>
      <c r="EA17" s="2321"/>
      <c r="EB17" s="2321"/>
      <c r="EC17" s="2321"/>
      <c r="ED17" s="2321"/>
      <c r="EE17" s="2321"/>
      <c r="EF17" s="2321"/>
      <c r="EG17" s="2321"/>
      <c r="EH17" s="2321"/>
      <c r="EI17" s="2321"/>
      <c r="EJ17" s="2321"/>
      <c r="EK17" s="2321"/>
      <c r="EL17" s="2321"/>
      <c r="EM17" s="2321"/>
      <c r="EN17" s="2321"/>
      <c r="EO17" s="2321"/>
      <c r="EP17" s="2321"/>
      <c r="EQ17" s="2321"/>
      <c r="ER17" s="2321"/>
      <c r="ES17" s="2321"/>
      <c r="ET17" s="2321"/>
      <c r="EU17" s="2321"/>
      <c r="EV17" s="2321"/>
      <c r="EW17" s="2321"/>
      <c r="EX17" s="2321"/>
      <c r="EY17" s="2321"/>
      <c r="EZ17" s="2321"/>
      <c r="FA17" s="2321"/>
      <c r="FB17" s="2321"/>
      <c r="FC17" s="2321"/>
      <c r="FD17" s="2321"/>
      <c r="FE17" s="2321"/>
      <c r="FF17" s="2321"/>
      <c r="FG17" s="2321"/>
      <c r="FH17" s="2321"/>
      <c r="FI17" s="2321"/>
      <c r="FJ17" s="2321"/>
      <c r="FK17" s="2321"/>
      <c r="FL17" s="2321"/>
      <c r="FM17" s="2321"/>
      <c r="FN17" s="2321"/>
      <c r="FO17" s="2321"/>
      <c r="FP17" s="2321"/>
      <c r="FQ17" s="2321"/>
      <c r="FR17" s="2321"/>
      <c r="FS17" s="2321"/>
      <c r="FT17" s="2321"/>
      <c r="FU17" s="2321"/>
      <c r="FV17" s="2321"/>
      <c r="FW17" s="2334"/>
      <c r="FX17" s="695"/>
      <c r="GC17" s="854">
        <v>15</v>
      </c>
    </row>
    <row r="18" spans="1:185" s="853" customFormat="1" ht="12" hidden="1" customHeight="1">
      <c r="B18" s="851"/>
      <c r="E18" s="867"/>
      <c r="F18" s="1117"/>
      <c r="G18" s="1117"/>
      <c r="H18" s="1117"/>
      <c r="I18" s="1117"/>
      <c r="J18" s="1118"/>
      <c r="K18" s="1118"/>
      <c r="L18" s="1118"/>
      <c r="M18" s="1118"/>
      <c r="N18" s="1118"/>
      <c r="O18" s="1117"/>
      <c r="P18" s="1117"/>
      <c r="Q18" s="1117"/>
      <c r="R18" s="1117"/>
      <c r="S18" s="1117"/>
      <c r="T18" s="1117"/>
      <c r="U18" s="1119"/>
      <c r="V18" s="1119"/>
      <c r="W18" s="1119"/>
      <c r="X18" s="1119"/>
      <c r="Y18" s="1119"/>
      <c r="Z18" s="1119"/>
      <c r="AA18" s="1119"/>
      <c r="AB18" s="1117"/>
      <c r="AC18" s="1118"/>
      <c r="AD18" s="1118"/>
      <c r="AE18" s="1118"/>
      <c r="AF18" s="1118"/>
      <c r="AG18" s="1118"/>
      <c r="AH18" s="1118"/>
      <c r="AI18" s="1118"/>
      <c r="AJ18" s="1118"/>
      <c r="AK18" s="1118"/>
      <c r="AL18" s="1118"/>
      <c r="AM18" s="1118"/>
      <c r="AN18" s="1118"/>
      <c r="AO18" s="1118"/>
      <c r="AP18" s="1118"/>
      <c r="AQ18" s="1118"/>
      <c r="AR18" s="1118"/>
      <c r="AS18" s="1118"/>
      <c r="AT18" s="1118"/>
      <c r="AU18" s="1118"/>
      <c r="AV18" s="1118"/>
      <c r="AW18" s="1118"/>
      <c r="AX18" s="1118"/>
      <c r="AY18" s="1118"/>
      <c r="AZ18" s="1118"/>
      <c r="BA18" s="1118"/>
      <c r="BB18" s="1118"/>
      <c r="BC18" s="1118"/>
      <c r="BD18" s="1118"/>
      <c r="BE18" s="1118"/>
      <c r="BF18" s="1118"/>
      <c r="BG18" s="1118"/>
      <c r="BH18" s="1118"/>
      <c r="BI18" s="1118"/>
      <c r="BJ18" s="1118"/>
      <c r="BK18" s="1118"/>
      <c r="BL18" s="1118"/>
      <c r="BM18" s="1118"/>
      <c r="BN18" s="1118"/>
      <c r="BO18" s="1118"/>
      <c r="BP18" s="1118"/>
      <c r="BQ18" s="1118"/>
      <c r="BR18" s="1118"/>
      <c r="BS18" s="1118"/>
      <c r="BT18" s="1120"/>
      <c r="BU18" s="1120"/>
      <c r="BV18" s="1120"/>
      <c r="BW18" s="1120"/>
      <c r="BX18" s="1120"/>
      <c r="BY18" s="1120"/>
      <c r="BZ18" s="1120"/>
      <c r="CA18" s="1120"/>
      <c r="CB18" s="1120"/>
      <c r="CC18" s="1120"/>
      <c r="CD18" s="1120"/>
      <c r="CE18" s="1120"/>
      <c r="CF18" s="1120"/>
      <c r="CG18" s="1120"/>
      <c r="CH18" s="1120"/>
      <c r="CI18" s="1120"/>
      <c r="CJ18" s="1120"/>
      <c r="CK18" s="1120"/>
      <c r="CL18" s="1118"/>
      <c r="CM18" s="1118"/>
      <c r="CN18" s="1118"/>
      <c r="CO18" s="1118"/>
      <c r="CP18" s="1118"/>
      <c r="CQ18" s="1118"/>
      <c r="CR18" s="1118"/>
      <c r="CS18" s="1118"/>
      <c r="CT18" s="1118"/>
      <c r="CU18" s="1118"/>
      <c r="CV18" s="1118"/>
      <c r="CW18" s="1118"/>
      <c r="CX18" s="1118"/>
      <c r="CY18" s="1120"/>
      <c r="CZ18" s="1120"/>
      <c r="DA18" s="1120"/>
      <c r="DB18" s="1120"/>
      <c r="DC18" s="1120"/>
      <c r="DD18" s="1120"/>
      <c r="DE18" s="1120"/>
      <c r="DF18" s="1120"/>
      <c r="DG18" s="1120"/>
      <c r="DH18" s="1120"/>
      <c r="DI18" s="1120"/>
      <c r="DJ18" s="1120"/>
      <c r="DK18" s="1118"/>
      <c r="DL18" s="1118"/>
      <c r="DM18" s="1118"/>
      <c r="DN18" s="1118"/>
      <c r="DO18" s="1118"/>
      <c r="DP18" s="1118"/>
      <c r="DQ18" s="1118"/>
      <c r="DR18" s="1118"/>
      <c r="DS18" s="1118"/>
      <c r="DT18" s="1118"/>
      <c r="DU18" s="1118"/>
      <c r="DV18" s="1118"/>
      <c r="DW18" s="1118"/>
      <c r="DX18" s="1118"/>
      <c r="DY18" s="1118"/>
      <c r="DZ18" s="1118"/>
      <c r="EA18" s="1118"/>
      <c r="EB18" s="1118"/>
      <c r="EC18" s="1118"/>
      <c r="ED18" s="1118"/>
      <c r="EE18" s="1118"/>
      <c r="EF18" s="1118"/>
      <c r="EG18" s="1118"/>
      <c r="EH18" s="1118"/>
      <c r="EI18" s="1118"/>
      <c r="EJ18" s="1118"/>
      <c r="EK18" s="1118"/>
      <c r="EL18" s="1118"/>
      <c r="EM18" s="1118"/>
      <c r="EN18" s="1118"/>
      <c r="EO18" s="1118"/>
      <c r="EP18" s="1118"/>
      <c r="EQ18" s="1118"/>
      <c r="ER18" s="1118"/>
      <c r="ES18" s="1118"/>
      <c r="ET18" s="1118"/>
      <c r="EU18" s="1118"/>
      <c r="EV18" s="1118"/>
      <c r="EW18" s="1118"/>
      <c r="EX18" s="1118"/>
      <c r="EY18" s="1118"/>
      <c r="EZ18" s="1118"/>
      <c r="FA18" s="1118"/>
      <c r="FB18" s="1118"/>
      <c r="FC18" s="1118"/>
      <c r="FD18" s="1118"/>
      <c r="FE18" s="1118"/>
      <c r="FF18" s="1118"/>
      <c r="FG18" s="1118"/>
      <c r="FH18" s="1118"/>
      <c r="FI18" s="1118"/>
      <c r="FJ18" s="1118"/>
      <c r="FK18" s="1118"/>
      <c r="FL18" s="1118"/>
      <c r="FM18" s="1118"/>
      <c r="FN18" s="1118"/>
      <c r="FO18" s="1118"/>
      <c r="FP18" s="1118"/>
      <c r="FQ18" s="1118"/>
      <c r="FR18" s="1118"/>
      <c r="FS18" s="1118"/>
      <c r="FT18" s="1118"/>
      <c r="FU18" s="1118"/>
      <c r="FV18" s="1118"/>
      <c r="FW18" s="1117"/>
      <c r="FX18" s="1121"/>
      <c r="GC18" s="852">
        <v>0</v>
      </c>
    </row>
    <row r="19" spans="1:185" s="853" customFormat="1" ht="11.25" hidden="1" customHeight="1">
      <c r="B19" s="851"/>
      <c r="E19" s="867"/>
      <c r="F19" s="1117"/>
      <c r="G19" s="1117"/>
      <c r="H19" s="1117"/>
      <c r="I19" s="1117"/>
      <c r="J19" s="1117"/>
      <c r="K19" s="1117"/>
      <c r="L19" s="1117"/>
      <c r="M19" s="1117"/>
      <c r="N19" s="1117"/>
      <c r="O19" s="1117"/>
      <c r="P19" s="1117"/>
      <c r="Q19" s="1117"/>
      <c r="R19" s="1117"/>
      <c r="S19" s="1117"/>
      <c r="T19" s="1117"/>
      <c r="U19" s="1119"/>
      <c r="V19" s="1119"/>
      <c r="W19" s="1119"/>
      <c r="X19" s="1119"/>
      <c r="Y19" s="1119"/>
      <c r="Z19" s="1119"/>
      <c r="AA19" s="1119"/>
      <c r="AB19" s="1117"/>
      <c r="AC19" s="1117"/>
      <c r="AD19" s="1117"/>
      <c r="AE19" s="1117"/>
      <c r="AF19" s="1117"/>
      <c r="AG19" s="1117"/>
      <c r="AH19" s="1117"/>
      <c r="AI19" s="1117"/>
      <c r="AJ19" s="1117"/>
      <c r="AK19" s="1117"/>
      <c r="AL19" s="1117"/>
      <c r="AM19" s="1117"/>
      <c r="AN19" s="1117"/>
      <c r="AO19" s="1117"/>
      <c r="AP19" s="1117"/>
      <c r="AQ19" s="1117"/>
      <c r="AR19" s="1117"/>
      <c r="AS19" s="1117"/>
      <c r="AT19" s="1117"/>
      <c r="AU19" s="1117"/>
      <c r="AV19" s="1117"/>
      <c r="AW19" s="1117"/>
      <c r="AX19" s="1117"/>
      <c r="AY19" s="1117"/>
      <c r="AZ19" s="1117"/>
      <c r="BA19" s="1117"/>
      <c r="BB19" s="1117"/>
      <c r="BC19" s="1117"/>
      <c r="BD19" s="1117"/>
      <c r="BE19" s="1117"/>
      <c r="BF19" s="1117"/>
      <c r="BG19" s="1117"/>
      <c r="BH19" s="1117"/>
      <c r="BI19" s="1117"/>
      <c r="BJ19" s="1117"/>
      <c r="BK19" s="1117"/>
      <c r="BL19" s="1117"/>
      <c r="BM19" s="1117"/>
      <c r="BN19" s="1117"/>
      <c r="BO19" s="1117"/>
      <c r="BP19" s="1117"/>
      <c r="BQ19" s="1117"/>
      <c r="BR19" s="1117"/>
      <c r="BS19" s="1117"/>
      <c r="BT19" s="1117"/>
      <c r="BU19" s="1117"/>
      <c r="BV19" s="1117"/>
      <c r="BW19" s="1117"/>
      <c r="BX19" s="1117"/>
      <c r="BY19" s="1117"/>
      <c r="BZ19" s="1117"/>
      <c r="CA19" s="1117"/>
      <c r="CB19" s="1117"/>
      <c r="CC19" s="1117"/>
      <c r="CD19" s="1117"/>
      <c r="CE19" s="1117"/>
      <c r="CF19" s="1117"/>
      <c r="CG19" s="1117"/>
      <c r="CH19" s="1117"/>
      <c r="CI19" s="1117"/>
      <c r="CJ19" s="1117"/>
      <c r="CK19" s="1117"/>
      <c r="CL19" s="1117"/>
      <c r="CM19" s="1117"/>
      <c r="CN19" s="1117"/>
      <c r="CO19" s="1117"/>
      <c r="CP19" s="1117"/>
      <c r="CQ19" s="1117"/>
      <c r="CR19" s="1117"/>
      <c r="CS19" s="1117"/>
      <c r="CT19" s="1117"/>
      <c r="CU19" s="1117"/>
      <c r="CV19" s="1117"/>
      <c r="CW19" s="1117"/>
      <c r="CX19" s="1117"/>
      <c r="CY19" s="1117"/>
      <c r="CZ19" s="1117"/>
      <c r="DA19" s="1117"/>
      <c r="DB19" s="1117"/>
      <c r="DC19" s="1117"/>
      <c r="DD19" s="1117"/>
      <c r="DE19" s="1117"/>
      <c r="DF19" s="1117"/>
      <c r="DG19" s="1117"/>
      <c r="DH19" s="1117"/>
      <c r="DI19" s="1117"/>
      <c r="DJ19" s="1117"/>
      <c r="DK19" s="1117"/>
      <c r="DL19" s="1117"/>
      <c r="DM19" s="1117"/>
      <c r="DN19" s="1117"/>
      <c r="DO19" s="1117"/>
      <c r="DP19" s="1117"/>
      <c r="DQ19" s="1117"/>
      <c r="DR19" s="1117"/>
      <c r="DS19" s="1117"/>
      <c r="DT19" s="1117"/>
      <c r="DU19" s="1117"/>
      <c r="DV19" s="1117"/>
      <c r="DW19" s="1117"/>
      <c r="DX19" s="1117"/>
      <c r="DY19" s="1117"/>
      <c r="DZ19" s="1117"/>
      <c r="EA19" s="1117"/>
      <c r="EB19" s="1117"/>
      <c r="EC19" s="1117"/>
      <c r="ED19" s="1117"/>
      <c r="EE19" s="1117"/>
      <c r="EF19" s="1117"/>
      <c r="EG19" s="1117"/>
      <c r="EH19" s="1117"/>
      <c r="EI19" s="1117"/>
      <c r="EJ19" s="1117"/>
      <c r="EK19" s="1117"/>
      <c r="EL19" s="1117"/>
      <c r="EM19" s="1117"/>
      <c r="EN19" s="1117"/>
      <c r="EO19" s="1117"/>
      <c r="EP19" s="1117"/>
      <c r="EQ19" s="1117"/>
      <c r="ER19" s="1117"/>
      <c r="ES19" s="1117"/>
      <c r="ET19" s="1117"/>
      <c r="EU19" s="1117"/>
      <c r="EV19" s="1117"/>
      <c r="EW19" s="1117"/>
      <c r="EX19" s="1117"/>
      <c r="EY19" s="1117"/>
      <c r="EZ19" s="1117"/>
      <c r="FA19" s="1117"/>
      <c r="FB19" s="1117"/>
      <c r="FC19" s="1117"/>
      <c r="FD19" s="1117"/>
      <c r="FE19" s="1117"/>
      <c r="FF19" s="1117"/>
      <c r="FG19" s="1117"/>
      <c r="FH19" s="1117"/>
      <c r="FI19" s="1117"/>
      <c r="FJ19" s="1117"/>
      <c r="FK19" s="1117"/>
      <c r="FL19" s="1117"/>
      <c r="FM19" s="1117"/>
      <c r="FN19" s="1117"/>
      <c r="FO19" s="1117"/>
      <c r="FP19" s="1117"/>
      <c r="FQ19" s="1117"/>
      <c r="FR19" s="1117"/>
      <c r="FS19" s="1117"/>
      <c r="FT19" s="1117"/>
      <c r="FU19" s="1117"/>
      <c r="FV19" s="1117"/>
      <c r="FW19" s="1117"/>
      <c r="FX19" s="1121"/>
      <c r="GC19" s="852">
        <v>0</v>
      </c>
    </row>
    <row r="20" spans="1:185" s="853" customFormat="1" ht="11.25" hidden="1" customHeight="1">
      <c r="B20" s="868"/>
      <c r="D20" s="852"/>
      <c r="E20" s="867"/>
      <c r="F20" s="1122" t="s">
        <v>375</v>
      </c>
      <c r="G20" s="1123"/>
      <c r="H20" s="1124"/>
      <c r="I20" s="1124"/>
      <c r="J20" s="1124"/>
      <c r="K20" s="1124"/>
      <c r="L20" s="1124"/>
      <c r="M20" s="1124"/>
      <c r="N20" s="1124"/>
      <c r="O20" s="1123"/>
      <c r="P20" s="1123"/>
      <c r="Q20" s="1123"/>
      <c r="R20" s="1123"/>
      <c r="S20" s="1123"/>
      <c r="T20" s="1123"/>
      <c r="U20" s="1125"/>
      <c r="V20" s="1125"/>
      <c r="W20" s="1125"/>
      <c r="X20" s="1125"/>
      <c r="Y20" s="1125"/>
      <c r="Z20" s="1125"/>
      <c r="AA20" s="1125"/>
      <c r="AB20" s="1123"/>
      <c r="AC20" s="1124"/>
      <c r="AD20" s="1124"/>
      <c r="AE20" s="1124"/>
      <c r="AF20" s="1124"/>
      <c r="AG20" s="1124"/>
      <c r="AH20" s="1124"/>
      <c r="AI20" s="1124"/>
      <c r="AJ20" s="1124"/>
      <c r="AK20" s="1124"/>
      <c r="AL20" s="1124"/>
      <c r="AM20" s="1124"/>
      <c r="AN20" s="1124"/>
      <c r="AO20" s="1124"/>
      <c r="AP20" s="1124"/>
      <c r="AQ20" s="1124"/>
      <c r="AR20" s="1124"/>
      <c r="AS20" s="1124"/>
      <c r="AT20" s="1124"/>
      <c r="AU20" s="1124"/>
      <c r="AV20" s="1124"/>
      <c r="AW20" s="1124"/>
      <c r="AX20" s="1124"/>
      <c r="AY20" s="1124"/>
      <c r="AZ20" s="1124"/>
      <c r="BA20" s="1124"/>
      <c r="BB20" s="1124"/>
      <c r="BC20" s="1124"/>
      <c r="BD20" s="1124"/>
      <c r="BE20" s="1124"/>
      <c r="BF20" s="1124"/>
      <c r="BG20" s="1124"/>
      <c r="BH20" s="1124"/>
      <c r="BI20" s="1124"/>
      <c r="BJ20" s="1124"/>
      <c r="BK20" s="1124"/>
      <c r="BL20" s="1124"/>
      <c r="BM20" s="1124"/>
      <c r="BN20" s="1124"/>
      <c r="BO20" s="1124"/>
      <c r="BP20" s="1124"/>
      <c r="BQ20" s="1124"/>
      <c r="BR20" s="1124"/>
      <c r="BS20" s="1124"/>
      <c r="BT20" s="1124"/>
      <c r="BU20" s="1124"/>
      <c r="BV20" s="1124"/>
      <c r="BW20" s="1124"/>
      <c r="BX20" s="1124"/>
      <c r="BY20" s="1124"/>
      <c r="BZ20" s="1124"/>
      <c r="CA20" s="1124"/>
      <c r="CB20" s="1124"/>
      <c r="CC20" s="1124"/>
      <c r="CD20" s="1124"/>
      <c r="CE20" s="1124"/>
      <c r="CF20" s="1124"/>
      <c r="CG20" s="1124"/>
      <c r="CH20" s="1124"/>
      <c r="CI20" s="1124"/>
      <c r="CJ20" s="1124"/>
      <c r="CK20" s="1124"/>
      <c r="CL20" s="1126"/>
      <c r="CM20" s="1126"/>
      <c r="CN20" s="1126"/>
      <c r="CO20" s="1126"/>
      <c r="CP20" s="1126"/>
      <c r="CQ20" s="1126"/>
      <c r="CR20" s="1126"/>
      <c r="CS20" s="1126"/>
      <c r="CT20" s="1126"/>
      <c r="CU20" s="1126"/>
      <c r="CV20" s="1126"/>
      <c r="CW20" s="1126"/>
      <c r="CX20" s="1126"/>
      <c r="CY20" s="1126"/>
      <c r="CZ20" s="1126"/>
      <c r="DA20" s="1126"/>
      <c r="DB20" s="1126"/>
      <c r="DC20" s="1126"/>
      <c r="DD20" s="1126"/>
      <c r="DE20" s="1126"/>
      <c r="DF20" s="1126"/>
      <c r="DG20" s="1126"/>
      <c r="DH20" s="1126"/>
      <c r="DI20" s="1126"/>
      <c r="DJ20" s="1126"/>
      <c r="DK20" s="1126"/>
      <c r="DL20" s="1126"/>
      <c r="DM20" s="1126"/>
      <c r="DN20" s="1126"/>
      <c r="DO20" s="1126"/>
      <c r="DP20" s="1126"/>
      <c r="DQ20" s="1126"/>
      <c r="DR20" s="1126"/>
      <c r="DS20" s="1126"/>
      <c r="DT20" s="1126"/>
      <c r="DU20" s="1126"/>
      <c r="DV20" s="1126"/>
      <c r="DW20" s="1126"/>
      <c r="DX20" s="1126"/>
      <c r="DY20" s="1126"/>
      <c r="DZ20" s="1126"/>
      <c r="EA20" s="1126"/>
      <c r="EB20" s="1126"/>
      <c r="EC20" s="1126"/>
      <c r="ED20" s="1126"/>
      <c r="EE20" s="1126"/>
      <c r="EF20" s="1126"/>
      <c r="EG20" s="1126"/>
      <c r="EH20" s="1126"/>
      <c r="EI20" s="1126"/>
      <c r="EJ20" s="1126"/>
      <c r="EK20" s="1126"/>
      <c r="EL20" s="1126"/>
      <c r="EM20" s="1126"/>
      <c r="EN20" s="1126"/>
      <c r="EO20" s="1126"/>
      <c r="EP20" s="1126"/>
      <c r="EQ20" s="1126"/>
      <c r="ER20" s="1126"/>
      <c r="ES20" s="1126"/>
      <c r="ET20" s="1126"/>
      <c r="EU20" s="1126"/>
      <c r="EV20" s="1126"/>
      <c r="EW20" s="1126"/>
      <c r="EX20" s="1126"/>
      <c r="EY20" s="1126"/>
      <c r="EZ20" s="1126"/>
      <c r="FA20" s="1126"/>
      <c r="FB20" s="1126"/>
      <c r="FC20" s="1126"/>
      <c r="FD20" s="1126"/>
      <c r="FE20" s="1126"/>
      <c r="FF20" s="1126"/>
      <c r="FG20" s="1126"/>
      <c r="FH20" s="1126"/>
      <c r="FI20" s="1126"/>
      <c r="FJ20" s="1126"/>
      <c r="FK20" s="1126"/>
      <c r="FL20" s="1126"/>
      <c r="FM20" s="1126"/>
      <c r="FN20" s="1126"/>
      <c r="FO20" s="1126"/>
      <c r="FP20" s="1126"/>
      <c r="FQ20" s="1126"/>
      <c r="FR20" s="1126"/>
      <c r="FS20" s="1126"/>
      <c r="FT20" s="1126"/>
      <c r="FU20" s="1126"/>
      <c r="FV20" s="1126"/>
      <c r="FW20" s="1126"/>
      <c r="FX20" s="1127"/>
      <c r="GC20" s="850">
        <v>0</v>
      </c>
    </row>
    <row r="21" spans="1:185" s="853" customFormat="1" ht="12.75" customHeight="1">
      <c r="A21" s="869"/>
      <c r="B21" s="869"/>
      <c r="C21" s="869"/>
      <c r="D21" s="869"/>
      <c r="E21" s="869"/>
      <c r="F21" s="867"/>
      <c r="G21" s="867"/>
      <c r="H21" s="867"/>
      <c r="I21" s="867"/>
      <c r="J21" s="867"/>
      <c r="K21" s="867"/>
      <c r="L21" s="867"/>
      <c r="M21" s="867"/>
      <c r="N21" s="867"/>
      <c r="O21" s="867"/>
      <c r="P21" s="867"/>
      <c r="Q21" s="867"/>
      <c r="R21" s="867"/>
      <c r="S21" s="870"/>
      <c r="T21" s="870"/>
      <c r="U21" s="867"/>
      <c r="V21" s="867"/>
      <c r="W21" s="867"/>
      <c r="X21" s="867"/>
      <c r="Y21" s="867"/>
      <c r="Z21" s="867"/>
      <c r="AA21" s="867"/>
      <c r="AB21" s="867"/>
      <c r="AC21" s="867"/>
      <c r="AD21" s="867"/>
      <c r="AE21" s="867"/>
      <c r="AF21" s="867"/>
      <c r="AG21" s="867"/>
      <c r="AH21" s="867"/>
      <c r="AI21" s="867"/>
      <c r="AJ21" s="867"/>
      <c r="AK21" s="867"/>
      <c r="AL21" s="867"/>
      <c r="AM21" s="867"/>
      <c r="AN21" s="867"/>
      <c r="AO21" s="867"/>
      <c r="AP21" s="867"/>
      <c r="AQ21" s="867"/>
      <c r="AR21" s="867"/>
      <c r="AS21" s="867"/>
      <c r="AT21" s="867"/>
      <c r="AU21" s="867"/>
      <c r="AV21" s="867"/>
      <c r="AW21" s="867"/>
      <c r="AX21" s="867"/>
      <c r="AY21" s="867"/>
      <c r="AZ21" s="867"/>
      <c r="BA21" s="867"/>
      <c r="BB21" s="867"/>
      <c r="BC21" s="867"/>
      <c r="BD21" s="867"/>
      <c r="BE21" s="867"/>
      <c r="BF21" s="867"/>
      <c r="BG21" s="867"/>
      <c r="BH21" s="867"/>
      <c r="BI21" s="867"/>
      <c r="BJ21" s="867"/>
      <c r="BK21" s="867"/>
      <c r="BL21" s="867"/>
      <c r="BM21" s="867"/>
      <c r="BN21" s="867"/>
      <c r="BO21" s="867"/>
      <c r="BP21" s="867"/>
      <c r="BQ21" s="867"/>
      <c r="BR21" s="867"/>
      <c r="BS21" s="867"/>
      <c r="BT21" s="867"/>
      <c r="BU21" s="867"/>
      <c r="BV21" s="867"/>
      <c r="BW21" s="867"/>
      <c r="BX21" s="867"/>
      <c r="BY21" s="867"/>
      <c r="BZ21" s="867"/>
      <c r="CA21" s="867"/>
      <c r="CB21" s="867"/>
      <c r="CC21" s="867"/>
      <c r="CD21" s="867"/>
      <c r="CE21" s="867"/>
      <c r="CF21" s="867"/>
      <c r="CG21" s="867"/>
      <c r="CH21" s="867"/>
      <c r="CI21" s="867"/>
      <c r="CJ21" s="867"/>
      <c r="CK21" s="867"/>
      <c r="CL21" s="867"/>
      <c r="CM21" s="867"/>
      <c r="CN21" s="867"/>
      <c r="CO21" s="867"/>
      <c r="CP21" s="867"/>
      <c r="CQ21" s="867"/>
      <c r="CR21" s="867"/>
      <c r="CS21" s="867"/>
      <c r="CT21" s="867"/>
      <c r="CU21" s="867"/>
      <c r="CV21" s="867"/>
      <c r="CW21" s="867"/>
      <c r="CX21" s="867"/>
      <c r="CY21" s="867"/>
      <c r="CZ21" s="867"/>
      <c r="DA21" s="867"/>
      <c r="DB21" s="867"/>
      <c r="DC21" s="867"/>
      <c r="DD21" s="867"/>
      <c r="DE21" s="867"/>
      <c r="DF21" s="867"/>
      <c r="DG21" s="867"/>
      <c r="DH21" s="867"/>
      <c r="DI21" s="867"/>
      <c r="DJ21" s="867"/>
      <c r="DK21" s="867"/>
      <c r="DL21" s="867"/>
      <c r="DM21" s="867"/>
      <c r="DN21" s="867"/>
      <c r="DO21" s="867"/>
      <c r="DP21" s="867"/>
      <c r="DQ21" s="867"/>
      <c r="DR21" s="867"/>
      <c r="DS21" s="867"/>
      <c r="DT21" s="867"/>
      <c r="DU21" s="867"/>
      <c r="DV21" s="867"/>
      <c r="DW21" s="867"/>
      <c r="DX21" s="867"/>
      <c r="DY21" s="867"/>
      <c r="DZ21" s="867"/>
      <c r="EA21" s="867"/>
      <c r="EB21" s="867"/>
      <c r="EC21" s="867"/>
      <c r="ED21" s="867"/>
      <c r="EE21" s="867"/>
      <c r="EF21" s="867"/>
      <c r="EG21" s="867"/>
      <c r="EH21" s="867"/>
      <c r="EI21" s="867"/>
      <c r="EJ21" s="867"/>
      <c r="EK21" s="867"/>
      <c r="EL21" s="867"/>
      <c r="EM21" s="867"/>
      <c r="EN21" s="867"/>
      <c r="EO21" s="867"/>
      <c r="EP21" s="867"/>
      <c r="EQ21" s="867"/>
      <c r="ER21" s="867"/>
      <c r="ES21" s="867"/>
      <c r="ET21" s="867"/>
      <c r="EU21" s="867"/>
      <c r="EV21" s="867"/>
      <c r="EW21" s="867"/>
      <c r="EX21" s="867"/>
      <c r="EY21" s="867"/>
      <c r="EZ21" s="867"/>
      <c r="FA21" s="867"/>
      <c r="FB21" s="867"/>
      <c r="FC21" s="867"/>
      <c r="FD21" s="867"/>
      <c r="FE21" s="867"/>
      <c r="FF21" s="867"/>
      <c r="FG21" s="867"/>
      <c r="FH21" s="867"/>
      <c r="FI21" s="867"/>
      <c r="FJ21" s="867"/>
      <c r="FK21" s="867"/>
      <c r="FL21" s="867"/>
      <c r="FM21" s="867"/>
      <c r="FN21" s="867"/>
      <c r="FO21" s="867"/>
      <c r="FP21" s="867"/>
      <c r="FQ21" s="867"/>
      <c r="FR21" s="867"/>
      <c r="FS21" s="867"/>
      <c r="FT21" s="867"/>
      <c r="FU21" s="867"/>
      <c r="FV21" s="867"/>
      <c r="FW21" s="867"/>
      <c r="FX21" s="869"/>
      <c r="FY21" s="869"/>
      <c r="FZ21" s="869"/>
      <c r="GA21" s="869"/>
      <c r="GB21" s="869"/>
      <c r="GC21" s="850">
        <v>12</v>
      </c>
    </row>
    <row r="22" spans="1:185" s="853" customFormat="1" ht="12.75" customHeight="1">
      <c r="A22" s="869"/>
      <c r="B22" s="869"/>
      <c r="C22" s="869"/>
      <c r="D22" s="869"/>
      <c r="E22" s="869"/>
      <c r="FX22" s="869"/>
      <c r="FY22" s="869"/>
      <c r="FZ22" s="869"/>
      <c r="GA22" s="869"/>
      <c r="GB22" s="869"/>
      <c r="GC22" s="850">
        <v>12</v>
      </c>
    </row>
    <row r="23" spans="1:185" s="991" customFormat="1" ht="12.75" customHeight="1">
      <c r="A23" s="990"/>
      <c r="B23" s="990"/>
      <c r="C23" s="990"/>
      <c r="D23" s="990"/>
      <c r="E23" s="990"/>
      <c r="O23" s="992"/>
      <c r="P23" s="992"/>
      <c r="Q23" s="992"/>
      <c r="R23" s="992"/>
      <c r="S23" s="992"/>
      <c r="T23" s="992"/>
      <c r="U23" s="992"/>
      <c r="V23" s="992"/>
      <c r="W23" s="992"/>
      <c r="X23" s="992"/>
      <c r="Y23" s="992"/>
      <c r="Z23" s="992"/>
      <c r="AA23" s="992"/>
      <c r="AB23" s="992"/>
      <c r="AC23" s="992"/>
      <c r="AD23" s="992"/>
      <c r="AE23" s="992"/>
      <c r="AF23" s="992"/>
      <c r="AG23" s="992"/>
      <c r="AH23" s="992"/>
      <c r="AI23" s="992"/>
      <c r="AJ23" s="992"/>
      <c r="AK23" s="992"/>
      <c r="AL23" s="992"/>
      <c r="AM23" s="992"/>
      <c r="AN23" s="992"/>
      <c r="AO23" s="992"/>
      <c r="AP23" s="992"/>
      <c r="AQ23" s="992"/>
      <c r="AR23" s="992"/>
      <c r="AS23" s="992"/>
      <c r="AT23" s="992"/>
      <c r="AU23" s="992"/>
      <c r="AV23" s="992"/>
      <c r="AW23" s="992"/>
      <c r="AX23" s="992"/>
      <c r="AY23" s="992"/>
      <c r="AZ23" s="992"/>
      <c r="BA23" s="992"/>
      <c r="BB23" s="992"/>
      <c r="BC23" s="992"/>
      <c r="BD23" s="992"/>
      <c r="BE23" s="992"/>
      <c r="BF23" s="992"/>
      <c r="BG23" s="992"/>
      <c r="BH23" s="992"/>
      <c r="BI23" s="992"/>
      <c r="BJ23" s="992"/>
      <c r="BK23" s="992"/>
      <c r="BL23" s="992"/>
      <c r="BM23" s="992"/>
      <c r="BN23" s="992"/>
      <c r="BO23" s="992"/>
      <c r="BP23" s="992"/>
      <c r="BQ23" s="992"/>
      <c r="BR23" s="992"/>
      <c r="BS23" s="992"/>
      <c r="BT23" s="993"/>
      <c r="BU23" s="993"/>
      <c r="BV23" s="993"/>
      <c r="BW23" s="993"/>
      <c r="BX23" s="993"/>
      <c r="BY23" s="993"/>
      <c r="BZ23" s="993"/>
      <c r="CA23" s="993"/>
      <c r="CB23" s="993"/>
      <c r="CC23" s="993"/>
      <c r="CD23" s="993"/>
      <c r="CE23" s="993"/>
      <c r="CF23" s="993"/>
      <c r="CG23" s="993"/>
      <c r="CH23" s="993"/>
      <c r="CI23" s="993"/>
      <c r="CJ23" s="993"/>
      <c r="CK23" s="993"/>
      <c r="CL23" s="993"/>
      <c r="CM23" s="993"/>
      <c r="CN23" s="993"/>
      <c r="CO23" s="993"/>
      <c r="CP23" s="993"/>
      <c r="CQ23" s="993"/>
      <c r="CR23" s="993"/>
      <c r="CS23" s="993"/>
      <c r="CT23" s="993"/>
      <c r="CU23" s="993"/>
      <c r="CV23" s="993"/>
      <c r="CW23" s="993"/>
      <c r="CX23" s="993"/>
      <c r="CY23" s="993"/>
      <c r="CZ23" s="993"/>
      <c r="DA23" s="993"/>
      <c r="DB23" s="993"/>
      <c r="DC23" s="993"/>
      <c r="DD23" s="993"/>
      <c r="DE23" s="993"/>
      <c r="DF23" s="993"/>
      <c r="DG23" s="993"/>
      <c r="DH23" s="993"/>
      <c r="DI23" s="993"/>
      <c r="DJ23" s="993"/>
      <c r="DK23" s="993"/>
      <c r="DL23" s="993"/>
      <c r="DM23" s="993"/>
      <c r="DN23" s="993"/>
      <c r="DO23" s="993"/>
      <c r="DP23" s="993"/>
      <c r="DQ23" s="993"/>
      <c r="DR23" s="993"/>
      <c r="DS23" s="993"/>
      <c r="DT23" s="993"/>
      <c r="DU23" s="993"/>
      <c r="DV23" s="993"/>
      <c r="DW23" s="993"/>
      <c r="DX23" s="993"/>
      <c r="FX23" s="990"/>
      <c r="FY23" s="990"/>
      <c r="FZ23" s="990"/>
      <c r="GA23" s="990"/>
      <c r="GB23" s="990"/>
      <c r="GC23" s="991">
        <v>12</v>
      </c>
    </row>
    <row r="24" spans="1:185" ht="12.75" customHeight="1">
      <c r="S24" s="866"/>
      <c r="T24" s="866"/>
      <c r="U24" s="866"/>
      <c r="V24" s="866"/>
      <c r="W24" s="866"/>
      <c r="X24" s="866"/>
      <c r="Y24" s="866"/>
      <c r="Z24" s="866"/>
      <c r="AA24" s="866"/>
      <c r="AB24" s="866"/>
      <c r="FX24" s="866"/>
      <c r="FY24" s="866"/>
      <c r="FZ24" s="866"/>
      <c r="GA24" s="866"/>
      <c r="GB24" s="866"/>
      <c r="GC24" s="854">
        <v>12</v>
      </c>
    </row>
    <row r="25" spans="1:185" ht="12" hidden="1" customHeight="1">
      <c r="A25" s="854" t="s">
        <v>82</v>
      </c>
      <c r="B25" s="864">
        <v>0</v>
      </c>
      <c r="C25" s="854">
        <v>0</v>
      </c>
      <c r="D25" s="854">
        <v>0</v>
      </c>
      <c r="E25" s="854">
        <v>3</v>
      </c>
      <c r="F25" s="854">
        <v>6</v>
      </c>
      <c r="G25" s="854">
        <v>18</v>
      </c>
      <c r="H25" s="854">
        <v>27</v>
      </c>
      <c r="I25" s="854">
        <v>18</v>
      </c>
      <c r="J25" s="854">
        <v>0</v>
      </c>
      <c r="K25" s="854">
        <v>0</v>
      </c>
      <c r="L25" s="854">
        <v>0</v>
      </c>
      <c r="M25" s="854">
        <v>0</v>
      </c>
      <c r="N25" s="854">
        <v>0</v>
      </c>
      <c r="O25" s="854">
        <v>0</v>
      </c>
      <c r="P25" s="854">
        <v>0</v>
      </c>
      <c r="Q25" s="854">
        <v>0</v>
      </c>
      <c r="R25" s="854">
        <v>0</v>
      </c>
      <c r="S25" s="854">
        <v>0</v>
      </c>
      <c r="T25" s="854">
        <v>0</v>
      </c>
      <c r="U25" s="854">
        <v>0</v>
      </c>
      <c r="V25" s="854">
        <v>0</v>
      </c>
      <c r="W25" s="854">
        <v>0</v>
      </c>
      <c r="X25" s="854">
        <v>0</v>
      </c>
      <c r="Y25" s="854">
        <v>0</v>
      </c>
      <c r="Z25" s="854">
        <v>0</v>
      </c>
      <c r="AA25" s="854">
        <v>0</v>
      </c>
      <c r="AB25" s="854">
        <v>0</v>
      </c>
      <c r="AC25" s="854">
        <v>0</v>
      </c>
      <c r="AD25" s="854">
        <v>0</v>
      </c>
      <c r="AE25" s="854">
        <v>0</v>
      </c>
      <c r="AF25" s="854">
        <v>0</v>
      </c>
      <c r="AG25" s="854">
        <v>0</v>
      </c>
      <c r="AH25" s="854">
        <v>0</v>
      </c>
      <c r="AI25" s="854">
        <v>0</v>
      </c>
      <c r="AJ25" s="854">
        <v>0</v>
      </c>
      <c r="AK25" s="854">
        <v>0</v>
      </c>
      <c r="AL25" s="854">
        <v>0</v>
      </c>
      <c r="AM25" s="854">
        <v>0</v>
      </c>
      <c r="AN25" s="854">
        <v>0</v>
      </c>
      <c r="AO25" s="854">
        <v>0</v>
      </c>
      <c r="AP25" s="854">
        <v>0</v>
      </c>
      <c r="AQ25" s="854">
        <v>0</v>
      </c>
      <c r="AR25" s="854">
        <v>0</v>
      </c>
      <c r="AS25" s="854">
        <v>0</v>
      </c>
      <c r="AT25" s="854">
        <v>0</v>
      </c>
      <c r="AU25" s="854">
        <v>0</v>
      </c>
      <c r="AV25" s="854">
        <v>0</v>
      </c>
      <c r="AW25" s="854">
        <v>0</v>
      </c>
      <c r="AX25" s="854">
        <v>0</v>
      </c>
      <c r="AY25" s="854">
        <v>0</v>
      </c>
      <c r="AZ25" s="854">
        <v>0</v>
      </c>
      <c r="BA25" s="854">
        <v>0</v>
      </c>
      <c r="BB25" s="854">
        <v>0</v>
      </c>
      <c r="BC25" s="854">
        <v>0</v>
      </c>
      <c r="BD25" s="854">
        <v>0</v>
      </c>
      <c r="BE25" s="854">
        <v>0</v>
      </c>
      <c r="BF25" s="854">
        <v>0</v>
      </c>
      <c r="BG25" s="854">
        <v>0</v>
      </c>
      <c r="BH25" s="854">
        <v>0</v>
      </c>
      <c r="BI25" s="854">
        <v>0</v>
      </c>
      <c r="BJ25" s="854">
        <v>0</v>
      </c>
      <c r="BK25" s="854">
        <v>0</v>
      </c>
      <c r="BL25" s="854">
        <v>0</v>
      </c>
      <c r="BM25" s="854">
        <v>0</v>
      </c>
      <c r="BN25" s="854">
        <v>0</v>
      </c>
      <c r="BO25" s="854">
        <v>0</v>
      </c>
      <c r="BP25" s="854">
        <v>0</v>
      </c>
      <c r="BQ25" s="854">
        <v>0</v>
      </c>
      <c r="BR25" s="854">
        <v>0</v>
      </c>
      <c r="BS25" s="854">
        <v>0</v>
      </c>
      <c r="BT25" s="854">
        <v>0</v>
      </c>
      <c r="BU25" s="854">
        <v>0</v>
      </c>
      <c r="BV25" s="854">
        <v>0</v>
      </c>
      <c r="BW25" s="854">
        <v>0</v>
      </c>
      <c r="BX25" s="854">
        <v>0</v>
      </c>
      <c r="BY25" s="854">
        <v>0</v>
      </c>
      <c r="BZ25" s="854">
        <v>0</v>
      </c>
      <c r="CA25" s="854">
        <v>0</v>
      </c>
      <c r="CB25" s="854">
        <v>0</v>
      </c>
      <c r="CC25" s="854">
        <v>0</v>
      </c>
      <c r="CD25" s="854">
        <v>0</v>
      </c>
      <c r="CE25" s="854">
        <v>0</v>
      </c>
      <c r="CF25" s="854">
        <v>0</v>
      </c>
      <c r="CG25" s="854">
        <v>0</v>
      </c>
      <c r="CH25" s="854">
        <v>0</v>
      </c>
      <c r="CI25" s="854">
        <v>0</v>
      </c>
      <c r="CJ25" s="854">
        <v>0</v>
      </c>
      <c r="CK25" s="854">
        <v>0</v>
      </c>
      <c r="CL25" s="854">
        <v>0</v>
      </c>
      <c r="CM25" s="854">
        <v>0</v>
      </c>
      <c r="CN25" s="854">
        <v>0</v>
      </c>
      <c r="CO25" s="854">
        <v>0</v>
      </c>
      <c r="CP25" s="854">
        <v>0</v>
      </c>
      <c r="CQ25" s="854">
        <v>0</v>
      </c>
      <c r="CR25" s="854">
        <v>0</v>
      </c>
      <c r="CS25" s="854">
        <v>0</v>
      </c>
      <c r="CT25" s="854">
        <v>0</v>
      </c>
      <c r="CU25" s="854">
        <v>0</v>
      </c>
      <c r="CV25" s="854">
        <v>0</v>
      </c>
      <c r="CW25" s="854">
        <v>0</v>
      </c>
      <c r="CX25" s="854">
        <v>0</v>
      </c>
      <c r="CY25" s="854">
        <v>0</v>
      </c>
      <c r="CZ25" s="854">
        <v>0</v>
      </c>
      <c r="DA25" s="854">
        <v>0</v>
      </c>
      <c r="DB25" s="854">
        <v>0</v>
      </c>
      <c r="DC25" s="854">
        <v>0</v>
      </c>
      <c r="DD25" s="854">
        <v>0</v>
      </c>
      <c r="DE25" s="854">
        <v>0</v>
      </c>
      <c r="DF25" s="854">
        <v>0</v>
      </c>
      <c r="DG25" s="854">
        <v>0</v>
      </c>
      <c r="DH25" s="854">
        <v>0</v>
      </c>
      <c r="DI25" s="854">
        <v>0</v>
      </c>
      <c r="DJ25" s="854">
        <v>0</v>
      </c>
      <c r="DK25" s="854">
        <v>0</v>
      </c>
      <c r="DL25" s="854">
        <v>0</v>
      </c>
      <c r="DM25" s="854">
        <v>0</v>
      </c>
      <c r="DN25" s="854">
        <v>0</v>
      </c>
      <c r="DO25" s="854">
        <v>0</v>
      </c>
      <c r="DP25" s="854">
        <v>0</v>
      </c>
      <c r="DQ25" s="854">
        <v>0</v>
      </c>
      <c r="DR25" s="854">
        <v>0</v>
      </c>
      <c r="DS25" s="854">
        <v>0</v>
      </c>
      <c r="DT25" s="854">
        <v>0</v>
      </c>
      <c r="DU25" s="854">
        <v>0</v>
      </c>
      <c r="DV25" s="854">
        <v>0</v>
      </c>
      <c r="DW25" s="854">
        <v>0</v>
      </c>
      <c r="DX25" s="854">
        <v>0</v>
      </c>
      <c r="DY25" s="854">
        <v>0</v>
      </c>
      <c r="DZ25" s="854">
        <v>0</v>
      </c>
      <c r="EA25" s="854">
        <v>0</v>
      </c>
      <c r="EB25" s="854">
        <v>0</v>
      </c>
      <c r="EC25" s="854">
        <v>0</v>
      </c>
      <c r="ED25" s="854">
        <v>0</v>
      </c>
      <c r="EE25" s="854">
        <v>0</v>
      </c>
      <c r="EF25" s="854">
        <v>0</v>
      </c>
      <c r="EG25" s="854">
        <v>0</v>
      </c>
      <c r="EH25" s="854">
        <v>0</v>
      </c>
      <c r="EI25" s="854">
        <v>0</v>
      </c>
      <c r="EJ25" s="854">
        <v>0</v>
      </c>
      <c r="EK25" s="854">
        <v>0</v>
      </c>
      <c r="EL25" s="854">
        <v>0</v>
      </c>
      <c r="EM25" s="854">
        <v>0</v>
      </c>
      <c r="EN25" s="854">
        <v>0</v>
      </c>
      <c r="EO25" s="854">
        <v>0</v>
      </c>
      <c r="EP25" s="854">
        <v>0</v>
      </c>
      <c r="EQ25" s="854">
        <v>0</v>
      </c>
      <c r="ER25" s="854">
        <v>0</v>
      </c>
      <c r="ES25" s="854">
        <v>0</v>
      </c>
      <c r="ET25" s="854">
        <v>0</v>
      </c>
      <c r="EU25" s="854">
        <v>0</v>
      </c>
      <c r="EV25" s="854">
        <v>0</v>
      </c>
      <c r="EW25" s="854">
        <v>0</v>
      </c>
      <c r="EX25" s="854">
        <v>0</v>
      </c>
      <c r="EY25" s="854">
        <v>0</v>
      </c>
      <c r="EZ25" s="854">
        <v>0</v>
      </c>
      <c r="FA25" s="854">
        <v>0</v>
      </c>
      <c r="FB25" s="854">
        <v>0</v>
      </c>
      <c r="FC25" s="854">
        <v>0</v>
      </c>
      <c r="FD25" s="854">
        <v>0</v>
      </c>
      <c r="FE25" s="854">
        <v>0</v>
      </c>
      <c r="FF25" s="854">
        <v>0</v>
      </c>
      <c r="FG25" s="854">
        <v>0</v>
      </c>
      <c r="FH25" s="854">
        <v>0</v>
      </c>
      <c r="FI25" s="854">
        <v>0</v>
      </c>
      <c r="FJ25" s="854">
        <v>0</v>
      </c>
      <c r="FK25" s="854">
        <v>0</v>
      </c>
      <c r="FL25" s="854">
        <v>0</v>
      </c>
      <c r="FM25" s="854">
        <v>0</v>
      </c>
      <c r="FN25" s="854">
        <v>0</v>
      </c>
      <c r="FO25" s="854">
        <v>0</v>
      </c>
      <c r="FP25" s="854">
        <v>0</v>
      </c>
      <c r="FQ25" s="854">
        <v>0</v>
      </c>
      <c r="FR25" s="854">
        <v>0</v>
      </c>
      <c r="FS25" s="854">
        <v>0</v>
      </c>
      <c r="FT25" s="854">
        <v>0</v>
      </c>
      <c r="FU25" s="854">
        <v>0</v>
      </c>
      <c r="FV25" s="854">
        <v>0</v>
      </c>
      <c r="FW25" s="854">
        <v>0</v>
      </c>
      <c r="FX25" s="854">
        <v>8</v>
      </c>
      <c r="FY25" s="854">
        <v>8</v>
      </c>
      <c r="FZ25" s="854">
        <v>8</v>
      </c>
      <c r="GA25" s="854">
        <v>8</v>
      </c>
      <c r="GB25" s="854">
        <v>8</v>
      </c>
      <c r="GC25" s="854">
        <v>12</v>
      </c>
    </row>
  </sheetData>
  <sheetProtection formatColumns="0" formatRows="0" insertRows="0" deleteColumns="0" deleteRows="0" sort="0" autoFilter="0"/>
  <mergeCells count="198">
    <mergeCell ref="CJ14:CK15"/>
    <mergeCell ref="CJ16:CK16"/>
    <mergeCell ref="CY13:CZ15"/>
    <mergeCell ref="CY16:CZ16"/>
    <mergeCell ref="DA13:DB15"/>
    <mergeCell ref="DA16:DB16"/>
    <mergeCell ref="CV11:CV17"/>
    <mergeCell ref="CW11:CW17"/>
    <mergeCell ref="CX11:CX17"/>
    <mergeCell ref="CY11:DJ11"/>
    <mergeCell ref="CY12:DD12"/>
    <mergeCell ref="DG12:DJ12"/>
    <mergeCell ref="CP11:CP17"/>
    <mergeCell ref="CQ11:CQ17"/>
    <mergeCell ref="CR11:CR17"/>
    <mergeCell ref="CS11:CS17"/>
    <mergeCell ref="CT11:CT17"/>
    <mergeCell ref="CU11:CU17"/>
    <mergeCell ref="DC13:DD15"/>
    <mergeCell ref="DC16:DD16"/>
    <mergeCell ref="DE12:DF12"/>
    <mergeCell ref="DE13:DF15"/>
    <mergeCell ref="DE16:DF16"/>
    <mergeCell ref="DG14:DH15"/>
    <mergeCell ref="AA14:AB15"/>
    <mergeCell ref="AA16:AB16"/>
    <mergeCell ref="BT13:BU15"/>
    <mergeCell ref="BT16:BU16"/>
    <mergeCell ref="O14:P15"/>
    <mergeCell ref="O16:P16"/>
    <mergeCell ref="Q14:R15"/>
    <mergeCell ref="Q16:R16"/>
    <mergeCell ref="S13:T15"/>
    <mergeCell ref="S16:T16"/>
    <mergeCell ref="U14:V15"/>
    <mergeCell ref="W14:X15"/>
    <mergeCell ref="U16:V16"/>
    <mergeCell ref="W16:X16"/>
    <mergeCell ref="BR11:BR17"/>
    <mergeCell ref="BS11:BS17"/>
    <mergeCell ref="BT11:CK11"/>
    <mergeCell ref="BT12:BW12"/>
    <mergeCell ref="BX12:CA12"/>
    <mergeCell ref="CD12:CK12"/>
    <mergeCell ref="BV16:BW16"/>
    <mergeCell ref="BX13:BY15"/>
    <mergeCell ref="CH14:CI15"/>
    <mergeCell ref="CH16:CI16"/>
    <mergeCell ref="DY8:FV8"/>
    <mergeCell ref="FW8:FW17"/>
    <mergeCell ref="AE11:AE17"/>
    <mergeCell ref="AF11:AF17"/>
    <mergeCell ref="EI11:EI17"/>
    <mergeCell ref="EJ11:EJ17"/>
    <mergeCell ref="EK11:EK17"/>
    <mergeCell ref="EL11:EL17"/>
    <mergeCell ref="CL11:CL17"/>
    <mergeCell ref="CM11:CM17"/>
    <mergeCell ref="CN11:CN17"/>
    <mergeCell ref="CO11:CO17"/>
    <mergeCell ref="AG11:AG17"/>
    <mergeCell ref="AH11:AH17"/>
    <mergeCell ref="AI11:AI17"/>
    <mergeCell ref="AJ11:AJ17"/>
    <mergeCell ref="AK11:AK17"/>
    <mergeCell ref="AL11:AL17"/>
    <mergeCell ref="AY11:AY17"/>
    <mergeCell ref="AZ11:AZ17"/>
    <mergeCell ref="BA11:BA17"/>
    <mergeCell ref="BB11:BB17"/>
    <mergeCell ref="BV13:BW15"/>
    <mergeCell ref="O8:BS8"/>
    <mergeCell ref="BT8:CX8"/>
    <mergeCell ref="CY8:DX8"/>
    <mergeCell ref="L11:L17"/>
    <mergeCell ref="M11:M17"/>
    <mergeCell ref="N11:N17"/>
    <mergeCell ref="O11:AB11"/>
    <mergeCell ref="AC11:AC17"/>
    <mergeCell ref="AD11:AD17"/>
    <mergeCell ref="O12:R12"/>
    <mergeCell ref="S12:AB12"/>
    <mergeCell ref="AM11:AM17"/>
    <mergeCell ref="AN11:AN17"/>
    <mergeCell ref="AO11:AO17"/>
    <mergeCell ref="AP11:AP17"/>
    <mergeCell ref="AQ11:AQ17"/>
    <mergeCell ref="AR11:AR17"/>
    <mergeCell ref="AS11:AS17"/>
    <mergeCell ref="AT11:AT17"/>
    <mergeCell ref="AU11:AU17"/>
    <mergeCell ref="AV11:AV17"/>
    <mergeCell ref="AW11:AW17"/>
    <mergeCell ref="AX11:AX17"/>
    <mergeCell ref="BK11:BK17"/>
    <mergeCell ref="BQ11:BQ17"/>
    <mergeCell ref="F11:F17"/>
    <mergeCell ref="G11:G17"/>
    <mergeCell ref="H11:H17"/>
    <mergeCell ref="I11:I17"/>
    <mergeCell ref="J11:J17"/>
    <mergeCell ref="K11:K17"/>
    <mergeCell ref="BP11:BP17"/>
    <mergeCell ref="BE11:BE17"/>
    <mergeCell ref="BF11:BF17"/>
    <mergeCell ref="BG11:BG17"/>
    <mergeCell ref="BH11:BH17"/>
    <mergeCell ref="BI11:BI17"/>
    <mergeCell ref="BJ11:BJ17"/>
    <mergeCell ref="BC11:BC17"/>
    <mergeCell ref="BD11:BD17"/>
    <mergeCell ref="O13:R13"/>
    <mergeCell ref="U13:X13"/>
    <mergeCell ref="Y13:AB13"/>
    <mergeCell ref="BL11:BL17"/>
    <mergeCell ref="BM11:BM17"/>
    <mergeCell ref="BN11:BN17"/>
    <mergeCell ref="BO11:BO17"/>
    <mergeCell ref="Y14:Z15"/>
    <mergeCell ref="Y16:Z16"/>
    <mergeCell ref="BX16:BY16"/>
    <mergeCell ref="BZ13:CA15"/>
    <mergeCell ref="BZ16:CA16"/>
    <mergeCell ref="CB12:CC12"/>
    <mergeCell ref="CB13:CC15"/>
    <mergeCell ref="CB16:CC16"/>
    <mergeCell ref="CD13:CE15"/>
    <mergeCell ref="CD16:CE16"/>
    <mergeCell ref="CF13:CG15"/>
    <mergeCell ref="CF16:CG16"/>
    <mergeCell ref="DG16:DH16"/>
    <mergeCell ref="DQ11:DQ17"/>
    <mergeCell ref="DR11:DR17"/>
    <mergeCell ref="DS11:DS17"/>
    <mergeCell ref="DT11:DT17"/>
    <mergeCell ref="DI14:DJ15"/>
    <mergeCell ref="DI16:DJ16"/>
    <mergeCell ref="DU11:DU17"/>
    <mergeCell ref="DV11:DV17"/>
    <mergeCell ref="DK11:DK17"/>
    <mergeCell ref="DL11:DL17"/>
    <mergeCell ref="DM11:DM17"/>
    <mergeCell ref="DN11:DN17"/>
    <mergeCell ref="DO11:DO17"/>
    <mergeCell ref="DP11:DP17"/>
    <mergeCell ref="EC11:EC17"/>
    <mergeCell ref="ED11:ED17"/>
    <mergeCell ref="EE11:EE17"/>
    <mergeCell ref="EF11:EF17"/>
    <mergeCell ref="EG11:EG17"/>
    <mergeCell ref="EH11:EH17"/>
    <mergeCell ref="DW11:DW17"/>
    <mergeCell ref="DX11:DX17"/>
    <mergeCell ref="DY11:DY17"/>
    <mergeCell ref="DZ11:DZ17"/>
    <mergeCell ref="EA11:EA17"/>
    <mergeCell ref="EB11:EB17"/>
    <mergeCell ref="FN11:FN17"/>
    <mergeCell ref="FO11:FO17"/>
    <mergeCell ref="FP11:FP17"/>
    <mergeCell ref="FQ11:FQ17"/>
    <mergeCell ref="FR11:FR17"/>
    <mergeCell ref="EV11:EV17"/>
    <mergeCell ref="EW11:EW17"/>
    <mergeCell ref="EX11:EX17"/>
    <mergeCell ref="EM11:EM17"/>
    <mergeCell ref="EN11:EN17"/>
    <mergeCell ref="EO11:EO17"/>
    <mergeCell ref="EP11:EP17"/>
    <mergeCell ref="EQ11:EQ17"/>
    <mergeCell ref="ER11:ER17"/>
    <mergeCell ref="ES11:ES17"/>
    <mergeCell ref="ET11:ET17"/>
    <mergeCell ref="EU11:EU17"/>
    <mergeCell ref="F10:FV10"/>
    <mergeCell ref="F5:BS5"/>
    <mergeCell ref="F6:BS6"/>
    <mergeCell ref="DG13:DJ13"/>
    <mergeCell ref="CH13:CK13"/>
    <mergeCell ref="FE11:FE17"/>
    <mergeCell ref="FF11:FF17"/>
    <mergeCell ref="FG11:FG17"/>
    <mergeCell ref="FH11:FH17"/>
    <mergeCell ref="FI11:FI17"/>
    <mergeCell ref="FJ11:FJ17"/>
    <mergeCell ref="EY11:EY17"/>
    <mergeCell ref="EZ11:EZ17"/>
    <mergeCell ref="FA11:FA17"/>
    <mergeCell ref="FB11:FB17"/>
    <mergeCell ref="FC11:FC17"/>
    <mergeCell ref="FD11:FD17"/>
    <mergeCell ref="FS11:FS17"/>
    <mergeCell ref="FT11:FT17"/>
    <mergeCell ref="FU11:FU17"/>
    <mergeCell ref="FV11:FV17"/>
    <mergeCell ref="FK11:FK17"/>
    <mergeCell ref="FL11:FL17"/>
    <mergeCell ref="FM11:FM17"/>
  </mergeCells>
  <dataValidations count="1">
    <dataValidation allowBlank="1" showInputMessage="1" showErrorMessage="1" sqref="AA14:AB16 U16:Z16"/>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4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2" tint="-9.9978637043366805E-2"/>
    <pageSetUpPr fitToPage="1"/>
  </sheetPr>
  <dimension ref="A1:S23"/>
  <sheetViews>
    <sheetView showGridLines="0" zoomScale="90" workbookViewId="0">
      <pane xSplit="7" ySplit="14" topLeftCell="H15" activePane="bottomRight" state="frozen"/>
      <selection pane="topRight" activeCell="H1" sqref="H1"/>
      <selection pane="bottomLeft" activeCell="A15" sqref="A15"/>
      <selection pane="bottomRight" activeCell="K16" sqref="K16"/>
    </sheetView>
  </sheetViews>
  <sheetFormatPr defaultColWidth="10.5703125" defaultRowHeight="15" customHeight="1"/>
  <cols>
    <col min="1" max="1" width="9.140625" style="1557" hidden="1" customWidth="1"/>
    <col min="2" max="2" width="9.140625" style="1560" hidden="1" customWidth="1"/>
    <col min="3" max="3" width="4" style="618" customWidth="1"/>
    <col min="4" max="4" width="6" style="1560" customWidth="1"/>
    <col min="5" max="5" width="36" style="1560" customWidth="1"/>
    <col min="6" max="6" width="9" style="1560" customWidth="1"/>
    <col min="7" max="7" width="42.42578125" style="1560" hidden="1" customWidth="1"/>
    <col min="8" max="8" width="40.7109375" style="1560" customWidth="1"/>
    <col min="9" max="9" width="93" style="1291" customWidth="1"/>
    <col min="10" max="17" width="10" style="1560" customWidth="1"/>
    <col min="18" max="18" width="10" style="610" customWidth="1"/>
    <col min="19" max="19" width="10.5703125" style="1560" hidden="1"/>
  </cols>
  <sheetData>
    <row r="1" spans="1:19" s="1291" customFormat="1" ht="15" hidden="1" customHeight="1">
      <c r="C1" s="607"/>
      <c r="H1" s="352">
        <v>4</v>
      </c>
      <c r="R1" s="355"/>
      <c r="S1" s="352" t="s">
        <v>14</v>
      </c>
    </row>
    <row r="2" spans="1:19" ht="22.5" hidden="1" customHeight="1">
      <c r="C2" s="1849" t="s">
        <v>688</v>
      </c>
      <c r="D2" s="474"/>
      <c r="E2" s="598"/>
      <c r="F2" s="1686" t="str">
        <f>IF(TEMPLATE_SPHERE="HEAT","Гкал/час","тыс. куб. м/сутки")</f>
        <v>Гкал/час</v>
      </c>
      <c r="G2" s="615"/>
      <c r="H2" s="615"/>
      <c r="I2" s="225"/>
      <c r="S2" s="440">
        <v>0</v>
      </c>
    </row>
    <row r="3" spans="1:19" s="1291" customFormat="1" ht="15" hidden="1" customHeight="1">
      <c r="C3" s="607"/>
      <c r="R3" s="355"/>
      <c r="S3" s="352">
        <v>0</v>
      </c>
    </row>
    <row r="4" spans="1:19" ht="15.75" customHeight="1">
      <c r="C4" s="112"/>
      <c r="D4" s="444"/>
      <c r="E4" s="444"/>
      <c r="F4" s="444"/>
      <c r="G4" s="444"/>
      <c r="H4" s="444"/>
      <c r="S4" s="440">
        <v>15</v>
      </c>
    </row>
    <row r="5" spans="1:19" ht="39.75" customHeight="1">
      <c r="C5" s="112"/>
      <c r="D5" s="2170" t="str">
        <f>TP_NAME_FORM</f>
        <v>Форма 14. Информация о наличии (об отсутствии) технической возможности подключения (технологического присоединения) к системе теплоснабжения, а также о принятии и ходе рассмотрения заявок на заключение договора о подключении (технологическом присоединении) к системе теплоснабжения</v>
      </c>
      <c r="E5" s="2170"/>
      <c r="F5" s="2170"/>
      <c r="G5" s="2170"/>
      <c r="H5" s="2170"/>
      <c r="I5" s="472"/>
      <c r="S5" s="440">
        <v>38</v>
      </c>
    </row>
    <row r="6" spans="1:19" ht="15.75" customHeight="1">
      <c r="C6" s="112"/>
      <c r="D6" s="2115" t="str">
        <f>IF(org=0,"Не определено",org)</f>
        <v>ООО "ЗЕНИТ ЭНЕРГО"</v>
      </c>
      <c r="E6" s="2115"/>
      <c r="F6" s="2115"/>
      <c r="G6" s="2115"/>
      <c r="H6" s="2115"/>
      <c r="I6" s="472"/>
      <c r="S6" s="440">
        <v>15</v>
      </c>
    </row>
    <row r="7" spans="1:19" s="1560" customFormat="1" ht="15.75" customHeight="1">
      <c r="A7" s="692"/>
      <c r="C7" s="112"/>
      <c r="D7" s="611"/>
      <c r="E7" s="611"/>
      <c r="F7" s="611"/>
      <c r="G7" s="611"/>
      <c r="H7" s="687"/>
      <c r="I7" s="472"/>
      <c r="R7" s="610"/>
      <c r="S7" s="691">
        <v>15</v>
      </c>
    </row>
    <row r="8" spans="1:19" ht="1.1499999999999999" customHeight="1">
      <c r="C8" s="112"/>
      <c r="D8" s="444"/>
      <c r="E8" s="444"/>
      <c r="F8" s="444"/>
      <c r="G8" s="444"/>
      <c r="H8" s="472" t="s">
        <v>117</v>
      </c>
      <c r="S8" s="440">
        <v>1</v>
      </c>
    </row>
    <row r="9" spans="1:19" ht="15.75" customHeight="1">
      <c r="C9" s="112"/>
      <c r="D9" s="646"/>
      <c r="E9" s="2269" t="s">
        <v>105</v>
      </c>
      <c r="F9" s="2270"/>
      <c r="G9" s="745" t="str">
        <f>IF(G8="","",INDEX(DIFFERENTIATION_UNMERGE_VD,MATCH(G8,DIFFERENTIATION_ID_DIFF,0)))</f>
        <v/>
      </c>
      <c r="H9" s="745" t="str">
        <f>IF(H8="","",INDEX(DIFFERENTIATION_UNMERGE_VD,MATCH(H8,DIFFERENTIATION_ID_DIFF,0)))</f>
        <v>Производство тепловой энергии. Некомбинированная выработка; Передача. Тепловая энергия; Сбыт. Тепловая энергия</v>
      </c>
      <c r="I9" s="2066" t="s">
        <v>300</v>
      </c>
      <c r="S9" s="440">
        <v>15</v>
      </c>
    </row>
    <row r="10" spans="1:19" s="1560" customFormat="1" ht="15.75" customHeight="1">
      <c r="A10" s="692"/>
      <c r="C10" s="112"/>
      <c r="D10" s="646"/>
      <c r="E10" s="2269" t="s">
        <v>563</v>
      </c>
      <c r="F10" s="2270"/>
      <c r="G10" s="745" t="str">
        <f>IF(G8="","",INDEX(DIFFERENTIATION_UNMERGE_AREA,MATCH(G8,DIFFERENTIATION_ID_DIFF,0)))</f>
        <v/>
      </c>
      <c r="H10" s="745" t="str">
        <f>IF(H8="","",INDEX(DIFFERENTIATION_UNMERGE_AREA,MATCH(H8,DIFFERENTIATION_ID_DIFF,0)))</f>
        <v>Территория 1</v>
      </c>
      <c r="I10" s="2066"/>
      <c r="R10" s="610"/>
      <c r="S10" s="691">
        <v>15</v>
      </c>
    </row>
    <row r="11" spans="1:19" s="1560" customFormat="1" ht="15.75" customHeight="1">
      <c r="A11" s="692"/>
      <c r="C11" s="112"/>
      <c r="D11" s="646"/>
      <c r="E11" s="2269" t="s">
        <v>564</v>
      </c>
      <c r="F11" s="2270"/>
      <c r="G11" s="745" t="str">
        <f>IF(G8="","",INDEX(DIFFERENTIATION_UNMERGE_SYSTEM,MATCH(G8,DIFFERENTIATION_ID_DIFF,0)))</f>
        <v/>
      </c>
      <c r="H11" s="745" t="str">
        <f>IF(H8="","",INDEX(DIFFERENTIATION_UNMERGE_SYSTEM,MATCH(H8,DIFFERENTIATION_ID_DIFF,0)))</f>
        <v>без дифференциации</v>
      </c>
      <c r="I11" s="2066"/>
      <c r="R11" s="610"/>
      <c r="S11" s="691">
        <v>15</v>
      </c>
    </row>
    <row r="12" spans="1:19" s="1560" customFormat="1" ht="15.75" customHeight="1">
      <c r="A12" s="692"/>
      <c r="C12" s="112"/>
      <c r="D12" s="2271" t="s">
        <v>299</v>
      </c>
      <c r="E12" s="2272"/>
      <c r="F12" s="2272"/>
      <c r="G12" s="815"/>
      <c r="H12" s="815"/>
      <c r="I12" s="2066"/>
      <c r="R12" s="610"/>
      <c r="S12" s="691">
        <v>15</v>
      </c>
    </row>
    <row r="13" spans="1:19" ht="35.65" customHeight="1">
      <c r="C13" s="112"/>
      <c r="D13" s="694" t="s">
        <v>88</v>
      </c>
      <c r="E13" s="693" t="s">
        <v>301</v>
      </c>
      <c r="F13" s="693" t="s">
        <v>565</v>
      </c>
      <c r="G13" s="737" t="s">
        <v>302</v>
      </c>
      <c r="H13" s="689" t="s">
        <v>302</v>
      </c>
      <c r="I13" s="2066"/>
      <c r="S13" s="440">
        <v>34</v>
      </c>
    </row>
    <row r="14" spans="1:19" ht="15" hidden="1" customHeight="1">
      <c r="C14" s="112"/>
      <c r="D14" s="528" t="s">
        <v>109</v>
      </c>
      <c r="E14" s="528" t="s">
        <v>110</v>
      </c>
      <c r="F14" s="528" t="s">
        <v>90</v>
      </c>
      <c r="G14" s="594" t="str">
        <f>G1&amp;".1"</f>
        <v>.1</v>
      </c>
      <c r="H14" s="594" t="str">
        <f>H1&amp;".1"</f>
        <v>4.1</v>
      </c>
      <c r="I14" s="225"/>
      <c r="S14" s="440">
        <v>0</v>
      </c>
    </row>
    <row r="15" spans="1:19" ht="15.75" customHeight="1">
      <c r="A15" s="440"/>
      <c r="C15" s="461"/>
      <c r="D15" s="456">
        <v>1</v>
      </c>
      <c r="E15" s="1851" t="str">
        <f>TP_P_A</f>
        <v>Количество поданных заявок</v>
      </c>
      <c r="F15" s="456" t="s">
        <v>1115</v>
      </c>
      <c r="G15" s="620"/>
      <c r="H15" s="620">
        <v>0</v>
      </c>
      <c r="I15" s="144" t="str">
        <f>TP_P_NOTE_A</f>
        <v>Указывается количество поданных заявок на подключение (технологическое присоединение) к системе теплоснабжения в течение отчетного квартала.</v>
      </c>
      <c r="S15" s="440">
        <v>15</v>
      </c>
    </row>
    <row r="16" spans="1:19" ht="15.75" customHeight="1">
      <c r="A16" s="440"/>
      <c r="C16" s="461"/>
      <c r="D16" s="456">
        <v>2</v>
      </c>
      <c r="E16" s="1851" t="str">
        <f>TP_P_B</f>
        <v>Количество рассмотренных заявок</v>
      </c>
      <c r="F16" s="456" t="s">
        <v>1115</v>
      </c>
      <c r="G16" s="620"/>
      <c r="H16" s="620">
        <v>0</v>
      </c>
      <c r="I16" s="144" t="str">
        <f>TP_P_NOTE_B</f>
        <v>Указывается количество исполненных заявок на подключение (технологическое присоединение) к системе теплоснабжения в течение отчетного квартала.</v>
      </c>
      <c r="S16" s="440">
        <v>15</v>
      </c>
    </row>
    <row r="17" spans="1:19" ht="77.650000000000006" customHeight="1">
      <c r="A17" s="440"/>
      <c r="C17" s="461"/>
      <c r="D17" s="456">
        <v>3</v>
      </c>
      <c r="E17" s="1851" t="str">
        <f>TP_P_V</f>
        <v>Количество заявок на заключение договора о подключении (технологическом присоединении) к системе теплоснабжения, по которым регулируемой организацией отказано в заключении договора о подключении (технологическом присоединении) к системе теплоснабжения</v>
      </c>
      <c r="F17" s="456" t="s">
        <v>1115</v>
      </c>
      <c r="G17" s="620"/>
      <c r="H17" s="620">
        <v>0</v>
      </c>
      <c r="I17" s="144" t="str">
        <f>TP_P_NOTE_V</f>
        <v>Указывается количество заявок с решением об отказе в течение отчетного квартала.</v>
      </c>
      <c r="S17" s="440">
        <v>74</v>
      </c>
    </row>
    <row r="18" spans="1:19" ht="54.75" customHeight="1">
      <c r="A18" s="440"/>
      <c r="C18" s="461"/>
      <c r="D18" s="456">
        <v>4</v>
      </c>
      <c r="E18" s="1851" t="str">
        <f>TP_P_V_1</f>
        <v>Причины отказа в заключении договора о подключении (технологическом присоединении) к системе теплоснабжения</v>
      </c>
      <c r="F18" s="456" t="s">
        <v>305</v>
      </c>
      <c r="G18" s="621"/>
      <c r="H18" s="621"/>
      <c r="I18" s="767" t="str">
        <f>TP_P_NOTE_V_1</f>
        <v>Указывается текстовое описание причин принятия решений._x000D_
Не заполняется в случае, если решения об отказе в течение отчетного периода не принимались.</v>
      </c>
      <c r="S18" s="440">
        <v>52</v>
      </c>
    </row>
    <row r="19" spans="1:19" ht="60" customHeight="1">
      <c r="A19" s="440"/>
      <c r="C19" s="461"/>
      <c r="D19" s="456">
        <v>5</v>
      </c>
      <c r="E19" s="1851" t="str">
        <f>TP_P_G</f>
        <v>Резерв мощности источников тепловой энергии, входящих в систему теплоснабжения, в течение одного квартала, в том числе:</v>
      </c>
      <c r="F19" s="456" t="str">
        <f>IF(TEMPLATE_SPHERE="HEAT","Гкал/час","тыс. куб. м/сутки")</f>
        <v>Гкал/час</v>
      </c>
      <c r="G19" s="622">
        <f>SUM(G20:G22)</f>
        <v>0</v>
      </c>
      <c r="H19" s="622">
        <f>SUM(H20:H22)</f>
        <v>6.3080999999999996</v>
      </c>
      <c r="I19" s="144" t="str">
        <f>TP_P_NOTE_G</f>
        <v xml:space="preserve">Указывается резерв мощности для системы теплоснабжения, тариф для которой не является отличным от тарифов других систем теплоснабжения регулируемой организации._x000D_
При использовании регулируемой организацией нескольких систем теплоснабжения информация о резерве мощности источников тепловой энергии таких систем раскрывается в отношении каждой системы теплоснабжения в отдельных строках. </v>
      </c>
      <c r="S19" s="440">
        <v>57</v>
      </c>
    </row>
    <row r="20" spans="1:19" ht="15" hidden="1" customHeight="1">
      <c r="D20" s="444" t="s">
        <v>1116</v>
      </c>
      <c r="E20" s="623"/>
      <c r="F20" s="444"/>
      <c r="G20" s="444"/>
      <c r="H20" s="444"/>
      <c r="I20" s="1688"/>
      <c r="S20" s="440">
        <v>0</v>
      </c>
    </row>
    <row r="21" spans="1:19" ht="29.25" customHeight="1">
      <c r="C21" s="386"/>
      <c r="D21" s="474" t="s">
        <v>312</v>
      </c>
      <c r="E21" s="605" t="s">
        <v>1117</v>
      </c>
      <c r="F21" s="1686" t="str">
        <f>IF(TEMPLATE_SPHERE="HEAT","Гкал/час","тыс. куб. м/сутки")</f>
        <v>Гкал/час</v>
      </c>
      <c r="G21" s="615"/>
      <c r="H21" s="615">
        <v>6.3080999999999996</v>
      </c>
      <c r="I21" s="2108" t="str">
        <f>TP_P_NOTE_G_1</f>
        <v xml:space="preserve">Указывается резерв мощности для системы теплоснабжения, тариф для которой не является отличным от тарифов других систем теплоснабжения регулируемой организации._x000D_
При использовании регулируемой организацией нескольких систем теплоснабжения информация о резерве мощности источников тепловой энергии таких систем раскрывается в отношении каждой системы теплоснабжения в отдельных строках. </v>
      </c>
      <c r="S21" s="440">
        <v>28</v>
      </c>
    </row>
    <row r="22" spans="1:19" ht="15.75" customHeight="1">
      <c r="A22" s="440"/>
      <c r="C22" s="440"/>
      <c r="D22" s="283"/>
      <c r="E22" s="515" t="s">
        <v>1118</v>
      </c>
      <c r="F22" s="507"/>
      <c r="G22" s="507"/>
      <c r="H22" s="507"/>
      <c r="I22" s="2110"/>
      <c r="R22" s="440"/>
      <c r="S22" s="440">
        <v>15</v>
      </c>
    </row>
    <row r="23" spans="1:19" ht="22.5" hidden="1" customHeight="1">
      <c r="A23" s="384" t="s">
        <v>82</v>
      </c>
      <c r="B23" s="440">
        <v>0</v>
      </c>
      <c r="C23" s="618">
        <v>4</v>
      </c>
      <c r="D23" s="440">
        <v>6</v>
      </c>
      <c r="E23" s="440">
        <v>36</v>
      </c>
      <c r="F23" s="440">
        <v>9</v>
      </c>
      <c r="G23" s="691">
        <v>0</v>
      </c>
      <c r="H23" s="440">
        <v>40</v>
      </c>
      <c r="I23" s="352">
        <v>93</v>
      </c>
      <c r="J23" s="440">
        <v>10</v>
      </c>
      <c r="K23" s="440">
        <v>10</v>
      </c>
      <c r="L23" s="440">
        <v>10</v>
      </c>
      <c r="M23" s="440">
        <v>10</v>
      </c>
      <c r="N23" s="440">
        <v>10</v>
      </c>
      <c r="O23" s="440">
        <v>10</v>
      </c>
      <c r="P23" s="440">
        <v>10</v>
      </c>
      <c r="Q23" s="440">
        <v>10</v>
      </c>
      <c r="R23" s="610">
        <v>10</v>
      </c>
      <c r="S23" s="440">
        <v>23</v>
      </c>
    </row>
  </sheetData>
  <sheetProtection formatColumns="0" formatRows="0" insertRows="0" deleteColumns="0" deleteRows="0" sort="0" autoFilter="0"/>
  <mergeCells count="8">
    <mergeCell ref="I21:I22"/>
    <mergeCell ref="I9:I13"/>
    <mergeCell ref="D5:H5"/>
    <mergeCell ref="D6:H6"/>
    <mergeCell ref="E9:F9"/>
    <mergeCell ref="E10:F10"/>
    <mergeCell ref="E11:F11"/>
    <mergeCell ref="D12:F12"/>
  </mergeCells>
  <dataValidations count="4">
    <dataValidation allowBlank="1" showInputMessage="1" showErrorMessage="1" prompt="Количество поданных заявок на подключение (технологическое присоединение) к системе теплоснабжения в течение квартала, шт." sqref="E15 E13"/>
    <dataValidation type="textLength" operator="lessThanOrEqual" allowBlank="1" showInputMessage="1" showErrorMessage="1" errorTitle="Ошибка" error="Допускается ввод не более 900 символов!" sqref="E21 E2 G18:H18">
      <formula1>900</formula1>
    </dataValidation>
    <dataValidation type="whole" allowBlank="1" showErrorMessage="1" errorTitle="Ошибка" error="Допускается ввод только неотрицательных целых чисел!" sqref="G15:H17">
      <formula1>0</formula1>
      <formula2>9.99999999999999E+23</formula2>
    </dataValidation>
    <dataValidation type="decimal" allowBlank="1" showErrorMessage="1" errorTitle="Ошибка" error="Допускается ввод только действительных чисел!" sqref="G2:H2 G21:H21">
      <formula1>-9.99999999999999E+23</formula1>
      <formula2>9.99999999999999E+23</formula2>
    </dataValidation>
  </dataValidations>
  <pageMargins left="0.70866141732283472" right="0.70866141732283472" top="0.74803149606299213" bottom="0.74803149606299213" header="0.31496062992125984" footer="0.31496062992125984"/>
  <pageSetup paperSize="9" scale="79" orientation="landscape" r:id="rId1"/>
  <headerFooter>
    <oddHeader>&amp;L&amp;C&amp;R</oddHeader>
    <oddFooter>&amp;L&amp;C&amp;R</oddFooter>
    <evenHeader>&amp;L&amp;C&amp;R</evenHeader>
    <evenFooter>&amp;L&amp;C&amp;R</evenFooter>
  </headerFooter>
</worksheet>
</file>

<file path=xl/worksheets/sheet4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6" tint="0.39997558519241921"/>
    <pageSetUpPr fitToPage="1"/>
  </sheetPr>
  <dimension ref="A1:Q32"/>
  <sheetViews>
    <sheetView showGridLines="0" zoomScale="90" workbookViewId="0">
      <pane xSplit="5" ySplit="13" topLeftCell="F14" activePane="bottomRight" state="frozen"/>
      <selection pane="topRight" activeCell="F1" sqref="F1"/>
      <selection pane="bottomLeft" activeCell="A14" sqref="A14"/>
      <selection pane="bottomRight"/>
    </sheetView>
  </sheetViews>
  <sheetFormatPr defaultColWidth="10.5703125" defaultRowHeight="14.25" customHeight="1"/>
  <cols>
    <col min="1" max="1" width="9.140625" style="2000" hidden="1" customWidth="1"/>
    <col min="2" max="2" width="9.140625" style="1291" hidden="1" customWidth="1"/>
    <col min="3" max="3" width="3" style="280" customWidth="1"/>
    <col min="4" max="4" width="6" style="1560" customWidth="1"/>
    <col min="5" max="6" width="64" style="1560" customWidth="1"/>
    <col min="7" max="7" width="140" style="1560" customWidth="1"/>
    <col min="8" max="8" width="10" style="1560" customWidth="1"/>
    <col min="9" max="10" width="10" style="1549" customWidth="1"/>
    <col min="11" max="16" width="10" style="1560" customWidth="1"/>
    <col min="17" max="17" width="10.5703125" style="1560" hidden="1"/>
  </cols>
  <sheetData>
    <row r="1" spans="1:17" ht="22.5" hidden="1" customHeight="1">
      <c r="M1" s="191"/>
      <c r="N1" s="191"/>
      <c r="P1" s="191"/>
      <c r="Q1" s="21" t="s">
        <v>14</v>
      </c>
    </row>
    <row r="2" spans="1:17" ht="14.25" hidden="1" customHeight="1">
      <c r="Q2" s="21">
        <v>0</v>
      </c>
    </row>
    <row r="3" spans="1:17" ht="14.25" hidden="1" customHeight="1">
      <c r="Q3" s="21">
        <v>0</v>
      </c>
    </row>
    <row r="4" spans="1:17" ht="3" customHeight="1">
      <c r="C4" s="34"/>
      <c r="D4" s="22"/>
      <c r="E4" s="22"/>
      <c r="F4" s="23"/>
      <c r="G4" s="23"/>
      <c r="Q4" s="21">
        <v>3</v>
      </c>
    </row>
    <row r="5" spans="1:17" ht="29.25" customHeight="1">
      <c r="C5" s="34"/>
      <c r="D5" s="2096" t="str">
        <f>TERMS_NAME_FORM</f>
        <v>Форма 15. Информация об условиях, на которых осуществляется поставка товаров (оказание услуг) в сфере теплоснабжения, цены (тарифы) на которые подлежат регулированию, и (или) условиях договоров о подключении (технологическом присоединении) к системе теплоснабжения, информация об условиях, на которых осуществляется поставка товаров (оказание услуг) по ценам, определяемым по соглашению сторон в соответствии с Федеральным законом от 27 июля 2010 г. N 190-ФЗ "О теплоснабжении", и (или) условиях договоров о подключении (технологическом присоединении) к системе теплоснабжения</v>
      </c>
      <c r="E5" s="2097"/>
      <c r="F5" s="2097"/>
      <c r="G5" s="2098"/>
      <c r="Q5" s="21">
        <v>28</v>
      </c>
    </row>
    <row r="6" spans="1:17" s="1560" customFormat="1" ht="18.75" customHeight="1">
      <c r="A6" s="810"/>
      <c r="B6" s="352"/>
      <c r="C6" s="311"/>
      <c r="D6" s="2150" t="str">
        <f>IF(org=0,"Не определено",org)</f>
        <v>ООО "ЗЕНИТ ЭНЕРГО"</v>
      </c>
      <c r="E6" s="2151"/>
      <c r="F6" s="2151"/>
      <c r="G6" s="2152"/>
      <c r="I6" s="435"/>
      <c r="J6" s="435"/>
      <c r="Q6" s="691">
        <v>18</v>
      </c>
    </row>
    <row r="7" spans="1:17" ht="14.65" customHeight="1">
      <c r="C7" s="34"/>
      <c r="D7" s="22"/>
      <c r="E7" s="33"/>
      <c r="F7" s="687"/>
      <c r="G7" s="129"/>
      <c r="Q7" s="21">
        <v>14</v>
      </c>
    </row>
    <row r="8" spans="1:17" s="1560" customFormat="1" ht="1.1499999999999999" customHeight="1">
      <c r="A8" s="1594"/>
      <c r="B8" s="1085"/>
      <c r="C8" s="311"/>
      <c r="D8" s="298"/>
      <c r="E8" s="324"/>
      <c r="F8" s="687"/>
      <c r="G8" s="129"/>
      <c r="I8" s="1549"/>
      <c r="J8" s="1549"/>
      <c r="Q8" s="1556">
        <v>1</v>
      </c>
    </row>
    <row r="9" spans="1:17" ht="14.65" customHeight="1">
      <c r="C9" s="34"/>
      <c r="D9" s="2145" t="s">
        <v>299</v>
      </c>
      <c r="E9" s="2145"/>
      <c r="F9" s="2145"/>
      <c r="G9" s="2288" t="s">
        <v>300</v>
      </c>
      <c r="Q9" s="21">
        <v>14</v>
      </c>
    </row>
    <row r="10" spans="1:17" ht="24" customHeight="1">
      <c r="C10" s="34"/>
      <c r="D10" s="43" t="s">
        <v>88</v>
      </c>
      <c r="E10" s="46" t="s">
        <v>301</v>
      </c>
      <c r="F10" s="46" t="s">
        <v>389</v>
      </c>
      <c r="G10" s="2288"/>
      <c r="Q10" s="21">
        <v>23</v>
      </c>
    </row>
    <row r="11" spans="1:17" ht="12" hidden="1" customHeight="1">
      <c r="C11" s="34"/>
      <c r="D11" s="25"/>
      <c r="E11" s="25"/>
      <c r="F11" s="25"/>
      <c r="G11" s="25"/>
      <c r="Q11" s="21">
        <v>0</v>
      </c>
    </row>
    <row r="12" spans="1:17" ht="65.25" customHeight="1">
      <c r="A12" s="128"/>
      <c r="C12" s="34"/>
      <c r="D12" s="83">
        <v>1</v>
      </c>
      <c r="E12" s="133" t="str">
        <f>TERMS_P_1</f>
        <v>Сведения об условиях публичных договоров регулируемых организаций,  сведения об условиях публичных договоров, заключаемых единой теплоснабжающей организацией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 в том числе</v>
      </c>
      <c r="F12" s="134" t="s">
        <v>305</v>
      </c>
      <c r="G12" s="87"/>
      <c r="Q12" s="21">
        <v>62</v>
      </c>
    </row>
    <row r="13" spans="1:17" ht="24" customHeight="1">
      <c r="A13" s="128"/>
      <c r="C13" s="34"/>
      <c r="D13" s="83" t="s">
        <v>1022</v>
      </c>
      <c r="E13" s="130" t="str">
        <f>"Форма публичного договора "&amp;IF(TEMPLATE_SPHERE="TKO","на оказание регулируемых услуг","поставки товаров (оказания услуг)")&amp;IF(OR(TEMPLATE_SPHERE&lt;&gt;"HEAT",TEMPLATE_SPHERE&lt;&gt;"TKO"),", тарифы на которые подлежат регулированию","")</f>
        <v>Форма публичного договора поставки товаров (оказания услуг), тарифы на которые подлежат регулированию</v>
      </c>
      <c r="F13" s="134" t="s">
        <v>305</v>
      </c>
      <c r="G13" s="87"/>
      <c r="Q13" s="21">
        <v>23</v>
      </c>
    </row>
    <row r="14" spans="1:17" ht="14.65" customHeight="1">
      <c r="A14" s="128"/>
      <c r="C14" s="34"/>
      <c r="D14" s="83" t="s">
        <v>1058</v>
      </c>
      <c r="E14" s="131"/>
      <c r="F14" s="149"/>
      <c r="G14" s="2108" t="str">
        <f>"Указывается форма "&amp;IF(TEMPLATE_SPHERE="TKO","публичного ","")&amp;"договора, "&amp;IF(TEMPLATE_SPHERE="HEAT","","используемая регулируемой организацией, ")&amp;"в виде ссылки на документ, предварительно загруженный в хранилище файлов ФГИС ЕИАС"&amp;IF(TEMPLATE_SPHERE="TKO",", либо ссылка на официальный сайт в сети ""Интернет"", на котором размещена информация","")&amp;".
В случае наличия нескольких форм таких договоров информация по каждой из них указывается в отдельной строке."</f>
        <v>Указывается форма договора, в виде ссылки на документ, предварительно загруженный в хранилище файлов ФГИС ЕИАС.
В случае наличия нескольких форм таких договоров информация по каждой из них указывается в отдельной строке.</v>
      </c>
      <c r="Q14" s="21">
        <v>14</v>
      </c>
    </row>
    <row r="15" spans="1:17" ht="15.75" customHeight="1">
      <c r="A15" s="128"/>
      <c r="C15" s="34"/>
      <c r="D15" s="47"/>
      <c r="E15" s="284" t="s">
        <v>1119</v>
      </c>
      <c r="F15" s="137"/>
      <c r="G15" s="2110"/>
      <c r="Q15" s="21">
        <v>15</v>
      </c>
    </row>
    <row r="16" spans="1:17" ht="14.65" customHeight="1">
      <c r="A16" s="128"/>
      <c r="C16" s="34"/>
      <c r="D16" s="83" t="s">
        <v>1024</v>
      </c>
      <c r="E16" s="130" t="str">
        <f>"Договор о подключении (технологическом присоединении) к"&amp;IF(TEMPLATE_SPHERE="HEAT",""," централизованной")&amp;" системе "&amp;TEMPLATE_SPHERE_RUS</f>
        <v>Договор о подключении (технологическом присоединении) к системе теплоснабжения</v>
      </c>
      <c r="F16" s="134" t="s">
        <v>305</v>
      </c>
      <c r="G16" s="273"/>
      <c r="Q16" s="21">
        <v>14</v>
      </c>
    </row>
    <row r="17" spans="1:17" ht="14.65" customHeight="1">
      <c r="A17" s="128"/>
      <c r="C17" s="34"/>
      <c r="D17" s="83" t="s">
        <v>1066</v>
      </c>
      <c r="E17" s="131"/>
      <c r="F17" s="320"/>
      <c r="G17" s="2108" t="str">
        <f>"Информация размещается в случае, если"&amp;IF(TEMPLATE_SPHERE="HEAT",""," регулируемая")&amp;" организация осуществляет услуги по подключению (технологическому присоединению) к системе "&amp;TEMPLATE_SPHERE_RUS&amp;".
Указывается ссылка на документ, предварительно загруженный в хранилище файлов ФГИС ЕИАС.
В случае наличия нескольких договоров о подключении к"&amp;IF(TEMPLATE_SPHERE="HEAT",""," централизованной")&amp;" системе "&amp;TEMPLATE_SPHERE_RUS&amp;" информация по каждому из них указывается в отдельной строке."</f>
        <v>Информация размещается в случае, если организация осуществляет услуги по подключению (технологическому присоединению) к системе теплоснабжения.
Указывается ссылка на документ, предварительно загруженный в хранилище файлов ФГИС ЕИАС.
В случае наличия нескольких договоров о подключении к системе теплоснабжения информация по каждому из них указывается в отдельной строке.</v>
      </c>
      <c r="Q17" s="21">
        <v>14</v>
      </c>
    </row>
    <row r="18" spans="1:17" s="1560" customFormat="1" ht="21.95" customHeight="1">
      <c r="A18" s="279"/>
      <c r="B18" s="82"/>
      <c r="C18" s="243"/>
      <c r="D18" s="283"/>
      <c r="E18" s="284" t="s">
        <v>1120</v>
      </c>
      <c r="F18" s="274"/>
      <c r="G18" s="2110"/>
      <c r="I18" s="285"/>
      <c r="J18" s="285"/>
      <c r="Q18" s="278">
        <v>21</v>
      </c>
    </row>
    <row r="19" spans="1:17" s="1560" customFormat="1" ht="256.5" hidden="1" customHeight="1">
      <c r="A19" s="279"/>
      <c r="B19" s="352"/>
      <c r="C19" s="311"/>
      <c r="D19" s="812" t="s">
        <v>1026</v>
      </c>
      <c r="E19" s="811" t="s">
        <v>1121</v>
      </c>
      <c r="F19" s="320"/>
      <c r="G19" s="273" t="s">
        <v>1122</v>
      </c>
      <c r="I19" s="435"/>
      <c r="J19" s="435"/>
      <c r="Q19" s="691">
        <v>0</v>
      </c>
    </row>
    <row r="20" spans="1:17" s="1560" customFormat="1" ht="14.65" customHeight="1">
      <c r="A20" s="279"/>
      <c r="B20" s="82"/>
      <c r="C20" s="243"/>
      <c r="D20" s="813">
        <v>2</v>
      </c>
      <c r="E20" s="266" t="s">
        <v>1123</v>
      </c>
      <c r="F20" s="134" t="s">
        <v>305</v>
      </c>
      <c r="G20" s="273"/>
      <c r="I20" s="285"/>
      <c r="J20" s="285"/>
      <c r="Q20" s="278">
        <v>14</v>
      </c>
    </row>
    <row r="21" spans="1:17" s="1560" customFormat="1" ht="18.75" hidden="1" customHeight="1">
      <c r="A21" s="279"/>
      <c r="B21" s="82"/>
      <c r="C21" s="243"/>
      <c r="D21" s="269" t="s">
        <v>635</v>
      </c>
      <c r="E21" s="268"/>
      <c r="F21" s="267"/>
      <c r="G21" s="277"/>
      <c r="H21" s="270"/>
      <c r="I21" s="285"/>
      <c r="J21" s="285"/>
      <c r="Q21" s="278">
        <v>0</v>
      </c>
    </row>
    <row r="22" spans="1:17" ht="15.75" customHeight="1">
      <c r="A22" s="128"/>
      <c r="C22" s="34"/>
      <c r="D22" s="47"/>
      <c r="E22" s="139" t="s">
        <v>321</v>
      </c>
      <c r="F22" s="274"/>
      <c r="G22" s="275"/>
      <c r="Q22" s="21">
        <v>15</v>
      </c>
    </row>
    <row r="23" spans="1:17" s="1560" customFormat="1" ht="22.5" hidden="1" customHeight="1">
      <c r="A23" s="279"/>
      <c r="B23" s="1085"/>
      <c r="C23" s="311"/>
      <c r="D23" s="1598" t="s">
        <v>110</v>
      </c>
      <c r="E23" s="133" t="s">
        <v>1124</v>
      </c>
      <c r="F23" s="1595" t="s">
        <v>305</v>
      </c>
      <c r="G23" s="281"/>
      <c r="I23" s="1549"/>
      <c r="J23" s="1549"/>
      <c r="Q23" s="1556">
        <v>0</v>
      </c>
    </row>
    <row r="24" spans="1:17" s="1560" customFormat="1" ht="14.25" hidden="1" customHeight="1">
      <c r="A24" s="279"/>
      <c r="B24" s="1085"/>
      <c r="C24" s="311"/>
      <c r="D24" s="1598" t="s">
        <v>708</v>
      </c>
      <c r="E24" s="1597" t="s">
        <v>1125</v>
      </c>
      <c r="F24" s="1595" t="s">
        <v>305</v>
      </c>
      <c r="G24" s="273"/>
      <c r="I24" s="1549"/>
      <c r="J24" s="1549"/>
      <c r="Q24" s="1556">
        <v>0</v>
      </c>
    </row>
    <row r="25" spans="1:17" s="1560" customFormat="1" ht="14.25" hidden="1" customHeight="1">
      <c r="A25" s="279"/>
      <c r="B25" s="1085"/>
      <c r="C25" s="311"/>
      <c r="D25" s="1598" t="s">
        <v>711</v>
      </c>
      <c r="E25" s="131"/>
      <c r="F25" s="320"/>
      <c r="G25" s="2108" t="s">
        <v>1126</v>
      </c>
      <c r="I25" s="1549"/>
      <c r="J25" s="1549"/>
      <c r="Q25" s="1556">
        <v>0</v>
      </c>
    </row>
    <row r="26" spans="1:17" s="1560" customFormat="1" ht="22.5" hidden="1" customHeight="1">
      <c r="A26" s="279"/>
      <c r="B26" s="1085"/>
      <c r="C26" s="311"/>
      <c r="D26" s="283"/>
      <c r="E26" s="284" t="s">
        <v>1127</v>
      </c>
      <c r="F26" s="274"/>
      <c r="G26" s="2110"/>
      <c r="I26" s="1549"/>
      <c r="J26" s="1549"/>
      <c r="Q26" s="1556">
        <v>0</v>
      </c>
    </row>
    <row r="27" spans="1:17" ht="3" customHeight="1">
      <c r="Q27" s="21">
        <v>3</v>
      </c>
    </row>
    <row r="28" spans="1:17" ht="14.65" customHeight="1">
      <c r="D28" s="272"/>
      <c r="E28" s="271"/>
      <c r="F28" s="251"/>
      <c r="G28" s="251"/>
      <c r="H28" s="251"/>
      <c r="I28" s="251"/>
      <c r="J28" s="251"/>
      <c r="K28" s="251"/>
      <c r="L28" s="251"/>
      <c r="M28" s="251"/>
      <c r="N28" s="251"/>
      <c r="O28" s="251"/>
      <c r="P28" s="251"/>
      <c r="Q28" s="21">
        <v>14</v>
      </c>
    </row>
    <row r="29" spans="1:17" ht="14.65" customHeight="1">
      <c r="D29" s="272"/>
      <c r="E29" s="517"/>
      <c r="Q29" s="21">
        <v>14</v>
      </c>
    </row>
    <row r="30" spans="1:17" ht="14.65" customHeight="1">
      <c r="Q30" s="21">
        <v>14</v>
      </c>
    </row>
    <row r="31" spans="1:17" ht="14.65" customHeight="1">
      <c r="E31" s="691"/>
      <c r="Q31" s="21">
        <v>14</v>
      </c>
    </row>
    <row r="32" spans="1:17" ht="22.5" hidden="1" customHeight="1">
      <c r="A32" s="39" t="s">
        <v>82</v>
      </c>
      <c r="B32" s="82">
        <v>0</v>
      </c>
      <c r="C32" s="35">
        <v>3</v>
      </c>
      <c r="D32" s="21">
        <v>6</v>
      </c>
      <c r="E32" s="21">
        <v>64</v>
      </c>
      <c r="F32" s="21">
        <v>64</v>
      </c>
      <c r="G32" s="21">
        <v>140</v>
      </c>
      <c r="H32" s="21">
        <v>10</v>
      </c>
      <c r="I32" s="91">
        <v>10</v>
      </c>
      <c r="J32" s="91">
        <v>10</v>
      </c>
      <c r="K32" s="21">
        <v>10</v>
      </c>
      <c r="L32" s="21">
        <v>10</v>
      </c>
      <c r="M32" s="21">
        <v>10</v>
      </c>
      <c r="N32" s="21">
        <v>10</v>
      </c>
      <c r="O32" s="21">
        <v>10</v>
      </c>
      <c r="P32" s="21">
        <v>10</v>
      </c>
      <c r="Q32" s="21">
        <v>23</v>
      </c>
    </row>
  </sheetData>
  <sheetProtection formatColumns="0" formatRows="0" insertRows="0" deleteColumns="0" deleteRows="0" sort="0" autoFilter="0"/>
  <mergeCells count="7">
    <mergeCell ref="D5:G5"/>
    <mergeCell ref="D6:G6"/>
    <mergeCell ref="G25:G26"/>
    <mergeCell ref="G17:G18"/>
    <mergeCell ref="D9:F9"/>
    <mergeCell ref="G9:G10"/>
    <mergeCell ref="G14:G15"/>
  </mergeCells>
  <dataValidations count="2">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F14 F17:F19 F25:F26">
      <formula1>900</formula1>
    </dataValidation>
    <dataValidation type="textLength" operator="lessThanOrEqual" allowBlank="1" showInputMessage="1" showErrorMessage="1" errorTitle="Ошибка" error="Допускается ввод не более 900 символов!" sqref="G14 G25 E17 E14 G17 G21 E25">
      <formula1>900</formula1>
    </dataValidation>
  </dataValidations>
  <printOptions horizontalCentered="1" verticalCentered="1"/>
  <pageMargins left="0" right="0" top="0" bottom="0" header="0" footer="0.79"/>
  <pageSetup paperSize="9" scale="41" fitToHeight="0" orientation="portrait" blackAndWhite="1"/>
  <headerFooter>
    <oddHeader>&amp;L&amp;C&amp;R</oddHeader>
    <oddFooter>&amp;L&amp;C&amp;R</oddFooter>
    <evenHeader>&amp;L&amp;C&amp;R</evenHeader>
    <evenFooter>&amp;L&amp;C&amp;R</evenFooter>
  </headerFooter>
</worksheet>
</file>

<file path=xl/worksheets/sheet4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6" tint="0.39997558519241921"/>
  </sheetPr>
  <dimension ref="A1:M43"/>
  <sheetViews>
    <sheetView showGridLines="0" zoomScale="90" workbookViewId="0">
      <pane xSplit="6" ySplit="21" topLeftCell="G22" activePane="bottomRight" state="frozen"/>
      <selection pane="topRight" activeCell="G1" sqref="G1"/>
      <selection pane="bottomLeft" activeCell="A22" sqref="A22"/>
      <selection pane="bottomRight"/>
    </sheetView>
  </sheetViews>
  <sheetFormatPr defaultColWidth="10.5703125" defaultRowHeight="14.25" customHeight="1"/>
  <cols>
    <col min="1" max="1" width="9.140625" style="1701" hidden="1" customWidth="1"/>
    <col min="2" max="2" width="9.140625" style="1291" hidden="1" customWidth="1"/>
    <col min="3" max="3" width="3" style="280" customWidth="1"/>
    <col min="4" max="4" width="6" style="1560" customWidth="1"/>
    <col min="5" max="5" width="63" style="1560" customWidth="1"/>
    <col min="6" max="6" width="1.7109375" style="1560" hidden="1" customWidth="1"/>
    <col min="7" max="8" width="35" style="1560" customWidth="1"/>
    <col min="9" max="9" width="91" style="1560" customWidth="1"/>
    <col min="10" max="10" width="68" style="1560" customWidth="1"/>
    <col min="11" max="12" width="10" style="1549" customWidth="1"/>
    <col min="13" max="13" width="10.5703125" style="1560" hidden="1"/>
  </cols>
  <sheetData>
    <row r="1" spans="1:13" ht="22.5" hidden="1" customHeight="1">
      <c r="M1" s="21" t="s">
        <v>14</v>
      </c>
    </row>
    <row r="2" spans="1:13" s="1560" customFormat="1" ht="18.75" hidden="1" customHeight="1">
      <c r="A2" s="1608"/>
      <c r="B2" s="1085"/>
      <c r="C2" s="1655" t="s">
        <v>688</v>
      </c>
      <c r="D2" s="1598"/>
      <c r="E2" s="135"/>
      <c r="F2" s="1595"/>
      <c r="G2" s="1595" t="s">
        <v>305</v>
      </c>
      <c r="H2" s="1086"/>
      <c r="K2" s="1549"/>
      <c r="L2" s="1549"/>
      <c r="M2" s="1556">
        <v>0</v>
      </c>
    </row>
    <row r="3" spans="1:13" s="1560" customFormat="1" ht="14.25" hidden="1" customHeight="1">
      <c r="A3" s="1287"/>
      <c r="B3" s="1085"/>
      <c r="C3" s="280"/>
      <c r="K3" s="1549"/>
      <c r="L3" s="1549"/>
      <c r="M3" s="1556">
        <v>0</v>
      </c>
    </row>
    <row r="4" spans="1:13" s="1560" customFormat="1" ht="18.75" hidden="1" customHeight="1">
      <c r="A4" s="1608"/>
      <c r="B4" s="1085"/>
      <c r="C4" s="1655" t="s">
        <v>688</v>
      </c>
      <c r="D4" s="1598"/>
      <c r="E4" s="141" t="s">
        <v>1128</v>
      </c>
      <c r="F4" s="1595"/>
      <c r="G4" s="193"/>
      <c r="H4" s="1595" t="s">
        <v>305</v>
      </c>
      <c r="K4" s="1549"/>
      <c r="L4" s="1549"/>
      <c r="M4" s="1556">
        <v>0</v>
      </c>
    </row>
    <row r="5" spans="1:13" s="1560" customFormat="1" ht="14.25" hidden="1" customHeight="1">
      <c r="A5" s="1287"/>
      <c r="B5" s="1085"/>
      <c r="C5" s="280"/>
      <c r="K5" s="1549"/>
      <c r="L5" s="1549"/>
      <c r="M5" s="1556">
        <v>0</v>
      </c>
    </row>
    <row r="6" spans="1:13" s="1560" customFormat="1" ht="18.75" hidden="1" customHeight="1">
      <c r="A6" s="1608"/>
      <c r="B6" s="1085"/>
      <c r="C6" s="1655" t="s">
        <v>688</v>
      </c>
      <c r="D6" s="1598"/>
      <c r="E6" s="142" t="s">
        <v>1129</v>
      </c>
      <c r="F6" s="1595"/>
      <c r="G6" s="193"/>
      <c r="H6" s="1595" t="s">
        <v>305</v>
      </c>
      <c r="K6" s="1549"/>
      <c r="L6" s="1549"/>
      <c r="M6" s="1556">
        <v>0</v>
      </c>
    </row>
    <row r="7" spans="1:13" s="1560" customFormat="1" ht="14.25" hidden="1" customHeight="1">
      <c r="A7" s="1287"/>
      <c r="B7" s="1085"/>
      <c r="C7" s="280"/>
      <c r="K7" s="1549"/>
      <c r="L7" s="1549"/>
      <c r="M7" s="1556">
        <v>0</v>
      </c>
    </row>
    <row r="8" spans="1:13" s="1560" customFormat="1" ht="18.75" hidden="1" customHeight="1">
      <c r="A8" s="1608"/>
      <c r="B8" s="1085"/>
      <c r="C8" s="1655" t="s">
        <v>688</v>
      </c>
      <c r="D8" s="1598"/>
      <c r="E8" s="142" t="s">
        <v>1130</v>
      </c>
      <c r="F8" s="1595"/>
      <c r="G8" s="193"/>
      <c r="H8" s="1595" t="s">
        <v>305</v>
      </c>
      <c r="K8" s="1549"/>
      <c r="L8" s="1549"/>
      <c r="M8" s="1556">
        <v>0</v>
      </c>
    </row>
    <row r="9" spans="1:13" s="1560" customFormat="1" ht="14.25" hidden="1" customHeight="1">
      <c r="A9" s="1287"/>
      <c r="B9" s="1085"/>
      <c r="C9" s="280"/>
      <c r="K9" s="1549"/>
      <c r="L9" s="1549"/>
      <c r="M9" s="1556">
        <v>0</v>
      </c>
    </row>
    <row r="10" spans="1:13" s="1560" customFormat="1" ht="18.75" hidden="1" customHeight="1">
      <c r="A10" s="1608"/>
      <c r="B10" s="1085"/>
      <c r="C10" s="1655" t="s">
        <v>688</v>
      </c>
      <c r="D10" s="1598"/>
      <c r="E10" s="142" t="s">
        <v>1131</v>
      </c>
      <c r="F10" s="1595"/>
      <c r="G10" s="1599"/>
      <c r="H10" s="1595" t="s">
        <v>305</v>
      </c>
      <c r="K10" s="1549"/>
      <c r="L10" s="1549" t="s">
        <v>1132</v>
      </c>
      <c r="M10" s="1556">
        <v>0</v>
      </c>
    </row>
    <row r="11" spans="1:13" ht="14.25" hidden="1" customHeight="1">
      <c r="M11" s="21">
        <v>0</v>
      </c>
    </row>
    <row r="12" spans="1:13" ht="14.25" hidden="1" customHeight="1">
      <c r="M12" s="21">
        <v>0</v>
      </c>
    </row>
    <row r="13" spans="1:13" ht="14.65" customHeight="1">
      <c r="C13" s="34"/>
      <c r="D13" s="22"/>
      <c r="E13" s="22"/>
      <c r="F13" s="22"/>
      <c r="G13" s="22"/>
      <c r="H13" s="23"/>
      <c r="I13" s="23"/>
      <c r="M13" s="21">
        <v>14</v>
      </c>
    </row>
    <row r="14" spans="1:13" ht="29.25" customHeight="1">
      <c r="C14" s="34"/>
      <c r="D14" s="2096" t="str">
        <f>PROCEDURE_TC_NAME_FORM</f>
        <v>Форма 16. Информация о порядке выполнения технологических, технических и других мероприятий, связанных с подключением (технологическим присоединением) к системе теплоснабжения</v>
      </c>
      <c r="E14" s="2097"/>
      <c r="F14" s="2097"/>
      <c r="G14" s="2097"/>
      <c r="H14" s="2098"/>
      <c r="J14" s="1556"/>
      <c r="M14" s="21">
        <v>28</v>
      </c>
    </row>
    <row r="15" spans="1:13" s="1560" customFormat="1" ht="14.65" customHeight="1">
      <c r="A15" s="1287"/>
      <c r="B15" s="1085"/>
      <c r="C15" s="311"/>
      <c r="D15" s="2150" t="str">
        <f>IF(org=0,"Не определено",org)</f>
        <v>ООО "ЗЕНИТ ЭНЕРГО"</v>
      </c>
      <c r="E15" s="2151"/>
      <c r="F15" s="2151"/>
      <c r="G15" s="2151"/>
      <c r="H15" s="2152"/>
      <c r="J15" s="781"/>
      <c r="K15" s="1549"/>
      <c r="L15" s="1549"/>
      <c r="M15" s="1556">
        <v>14</v>
      </c>
    </row>
    <row r="16" spans="1:13" ht="14.65" customHeight="1">
      <c r="C16" s="34"/>
      <c r="D16" s="22"/>
      <c r="E16" s="33"/>
      <c r="F16" s="33"/>
      <c r="G16" s="33"/>
      <c r="H16" s="687"/>
      <c r="I16" s="129"/>
      <c r="M16" s="21">
        <v>14</v>
      </c>
    </row>
    <row r="17" spans="1:13" s="1560" customFormat="1" ht="14.25" hidden="1" customHeight="1">
      <c r="A17" s="1287"/>
      <c r="B17" s="1085"/>
      <c r="C17" s="311"/>
      <c r="D17" s="298"/>
      <c r="E17" s="324"/>
      <c r="F17" s="324"/>
      <c r="G17" s="324"/>
      <c r="H17" s="687"/>
      <c r="I17" s="129"/>
      <c r="K17" s="1549"/>
      <c r="L17" s="1549"/>
      <c r="M17" s="1556">
        <v>0</v>
      </c>
    </row>
    <row r="18" spans="1:13" ht="21.95" customHeight="1">
      <c r="C18" s="34"/>
      <c r="D18" s="2145" t="s">
        <v>299</v>
      </c>
      <c r="E18" s="2145"/>
      <c r="F18" s="2145"/>
      <c r="G18" s="2145"/>
      <c r="H18" s="2145"/>
      <c r="I18" s="2288" t="s">
        <v>300</v>
      </c>
      <c r="M18" s="21">
        <v>21</v>
      </c>
    </row>
    <row r="19" spans="1:13" ht="21.95" customHeight="1">
      <c r="C19" s="34"/>
      <c r="D19" s="43" t="s">
        <v>88</v>
      </c>
      <c r="E19" s="46" t="s">
        <v>301</v>
      </c>
      <c r="F19" s="46"/>
      <c r="G19" s="46" t="s">
        <v>302</v>
      </c>
      <c r="H19" s="46" t="s">
        <v>389</v>
      </c>
      <c r="I19" s="2288"/>
      <c r="M19" s="21">
        <v>21</v>
      </c>
    </row>
    <row r="20" spans="1:13" ht="12" hidden="1" customHeight="1">
      <c r="C20" s="34"/>
      <c r="D20" s="25"/>
      <c r="E20" s="25"/>
      <c r="F20" s="25"/>
      <c r="G20" s="25"/>
      <c r="H20" s="25"/>
      <c r="I20" s="25"/>
      <c r="M20" s="21">
        <v>0</v>
      </c>
    </row>
    <row r="21" spans="1:13" ht="14.65" customHeight="1">
      <c r="A21" s="1608"/>
      <c r="C21" s="34"/>
      <c r="D21" s="83">
        <v>1</v>
      </c>
      <c r="E21" s="2339" t="s">
        <v>1133</v>
      </c>
      <c r="F21" s="2339"/>
      <c r="G21" s="2339"/>
      <c r="H21" s="2339"/>
      <c r="I21" s="144"/>
      <c r="M21" s="21">
        <v>14</v>
      </c>
    </row>
    <row r="22" spans="1:13" ht="21" customHeight="1">
      <c r="A22" s="1608"/>
      <c r="C22" s="34"/>
      <c r="D22" s="83" t="s">
        <v>1022</v>
      </c>
      <c r="E22" s="130" t="s">
        <v>1134</v>
      </c>
      <c r="F22" s="134"/>
      <c r="G22" s="1662"/>
      <c r="H22" s="134" t="s">
        <v>305</v>
      </c>
      <c r="I22" s="87" t="s">
        <v>1135</v>
      </c>
      <c r="M22" s="21">
        <v>20</v>
      </c>
    </row>
    <row r="23" spans="1:13" ht="60" customHeight="1">
      <c r="A23" s="1608"/>
      <c r="C23" s="34"/>
      <c r="D23" s="83" t="s">
        <v>1024</v>
      </c>
      <c r="E23" s="130" t="s">
        <v>1136</v>
      </c>
      <c r="F23" s="134"/>
      <c r="G23" s="193"/>
      <c r="H23" s="149"/>
      <c r="I23" s="194" t="s">
        <v>1137</v>
      </c>
      <c r="M23" s="21">
        <v>57</v>
      </c>
    </row>
    <row r="24" spans="1:13" ht="14.65" customHeight="1">
      <c r="A24" s="1608"/>
      <c r="B24" s="82">
        <v>3</v>
      </c>
      <c r="C24" s="34"/>
      <c r="D24" s="83">
        <v>2</v>
      </c>
      <c r="E24" s="158" t="str">
        <f>"Форма заявки на заключение договора о подключении (технологическом присоединении) к системе "&amp;TEMPLATE_SPHERE_RUS</f>
        <v>Форма заявки на заключение договора о подключении (технологическом присоединении) к системе теплоснабжения</v>
      </c>
      <c r="F24" s="134"/>
      <c r="G24" s="134" t="s">
        <v>305</v>
      </c>
      <c r="H24" s="149"/>
      <c r="I24" s="195" t="s">
        <v>630</v>
      </c>
      <c r="M24" s="21">
        <v>14</v>
      </c>
    </row>
    <row r="25" spans="1:13" ht="48.2" customHeight="1">
      <c r="A25" s="1608"/>
      <c r="C25" s="34"/>
      <c r="D25" s="83">
        <v>3</v>
      </c>
      <c r="E25" s="2339" t="str">
        <f>"Перечень документов и сведений, представляемых одновременно "&amp;IF(TEMPLATE_SPHERE="HEAT","с заявкой на заключение","с заявлением о заключении")&amp;" договора о подключении (технологическом присоединении) к системе "&amp;TEMPLATE_SPHERE_RUS&amp;IF(TEMPLATE_SPHERE="HEAT","",", и указание на запрет требовать представления документов и сведений или осуществления действий, не предусмотренных законодательством Российской Федерации"&amp;" о градостроительной деятельности и законодательством Российской Федерации в сфере водоснабжения и водоотведения")</f>
        <v>Перечень документов и сведений, представляемых одновременно с заявкой на заключение договора о подключении (технологическом присоединении) к системе теплоснабжения</v>
      </c>
      <c r="F25" s="2339"/>
      <c r="G25" s="2339"/>
      <c r="H25" s="2339"/>
      <c r="I25" s="192"/>
      <c r="M25" s="21">
        <v>46</v>
      </c>
    </row>
    <row r="26" spans="1:13" ht="14.65" customHeight="1">
      <c r="A26" s="1608"/>
      <c r="C26" s="34"/>
      <c r="D26" s="83" t="s">
        <v>323</v>
      </c>
      <c r="E26" s="135"/>
      <c r="F26" s="134"/>
      <c r="G26" s="134" t="s">
        <v>305</v>
      </c>
      <c r="H26" s="149"/>
      <c r="I26" s="2108" t="s">
        <v>1138</v>
      </c>
      <c r="M26" s="21">
        <v>14</v>
      </c>
    </row>
    <row r="27" spans="1:13" ht="15.75" customHeight="1">
      <c r="A27" s="1608" t="s">
        <v>109</v>
      </c>
      <c r="C27" s="34"/>
      <c r="D27" s="47"/>
      <c r="E27" s="139" t="s">
        <v>321</v>
      </c>
      <c r="F27" s="140"/>
      <c r="G27" s="140"/>
      <c r="H27" s="137"/>
      <c r="I27" s="2110"/>
      <c r="M27" s="21">
        <v>15</v>
      </c>
    </row>
    <row r="28" spans="1:13" ht="39.75" customHeight="1">
      <c r="A28" s="1608"/>
      <c r="B28" s="82">
        <v>3</v>
      </c>
      <c r="C28" s="34"/>
      <c r="D28" s="83">
        <v>4</v>
      </c>
      <c r="E28" s="2339" t="str">
        <f>"Реквизиты нормативных правовых актов, регламентирующих порядок действий заявителя и "&amp;IF(TEMPLATE_SPHERE="HEAT","регулируемой ","")&amp;"организации"&amp;IF(TEMPLATE_SPHERE="HEAT",""," "&amp;TEMPLATE_SPHERE_RUS)&amp;" при подаче, приеме, обработке "&amp;IF(TEMPLATE_SPHERE="HEAT","заявки на заключение","заявления о заключении")&amp;" договора о подключении (технологическом присоединении) к системе "&amp;TEMPLATE_SPHERE_RUS&amp;IF(TEMPLATE_SPHERE="HEAT",""," (в том числе в форме электронного документа)")</f>
        <v>Реквизиты нормативных правовых актов, регламентирующих порядок действий заявителя и регулируемой организации при подаче, приеме, обработке заявки на заключение договора о подключении (технологическом присоединении) к системе теплоснабжения</v>
      </c>
      <c r="F28" s="2339"/>
      <c r="G28" s="2339"/>
      <c r="H28" s="2339"/>
      <c r="I28" s="192"/>
      <c r="M28" s="21">
        <v>38</v>
      </c>
    </row>
    <row r="29" spans="1:13" ht="21" customHeight="1">
      <c r="A29" s="1608"/>
      <c r="C29" s="34"/>
      <c r="D29" s="83" t="s">
        <v>753</v>
      </c>
      <c r="E29" s="141" t="s">
        <v>1128</v>
      </c>
      <c r="F29" s="134"/>
      <c r="G29" s="193"/>
      <c r="H29" s="134" t="s">
        <v>305</v>
      </c>
      <c r="I29" s="2108" t="s">
        <v>1139</v>
      </c>
      <c r="M29" s="21">
        <v>20</v>
      </c>
    </row>
    <row r="30" spans="1:13" ht="15.75" customHeight="1">
      <c r="A30" s="1608" t="s">
        <v>110</v>
      </c>
      <c r="C30" s="34"/>
      <c r="D30" s="47"/>
      <c r="E30" s="139" t="s">
        <v>321</v>
      </c>
      <c r="F30" s="140"/>
      <c r="G30" s="140"/>
      <c r="H30" s="137"/>
      <c r="I30" s="2110"/>
      <c r="M30" s="21">
        <v>15</v>
      </c>
    </row>
    <row r="31" spans="1:13" ht="31.5" customHeight="1">
      <c r="A31" s="1608"/>
      <c r="B31" s="82">
        <v>3</v>
      </c>
      <c r="C31" s="34"/>
      <c r="D31" s="83">
        <v>5</v>
      </c>
      <c r="E31" s="2339" t="str">
        <f>"Телефоны, адреса и график работы службы, ответственной за прием и обработку заявок на заключение договора о подключении (технологическом присоединении) к системе "&amp;TEMPLATE_SPHERE_RUS</f>
        <v>Телефоны, адреса и график работы службы, ответственной за прием и обработку заявок на заключение договора о подключении (технологическом присоединении) к системе теплоснабжения</v>
      </c>
      <c r="F31" s="2339"/>
      <c r="G31" s="2339"/>
      <c r="H31" s="2339"/>
      <c r="I31" s="192"/>
      <c r="M31" s="21">
        <v>30</v>
      </c>
    </row>
    <row r="32" spans="1:13" ht="27.4" customHeight="1">
      <c r="A32" s="1608"/>
      <c r="C32" s="34"/>
      <c r="D32" s="83" t="s">
        <v>312</v>
      </c>
      <c r="E32" s="2299" t="str">
        <f>"телефоны службы, ответственной за прием и обработку заявок на заключение договора о подключении (технологическом присоединении) к системе "&amp;TEMPLATE_SPHERE_RUS</f>
        <v>телефоны службы, ответственной за прием и обработку заявок на заключение договора о подключении (технологическом присоединении) к системе теплоснабжения</v>
      </c>
      <c r="F32" s="2299"/>
      <c r="G32" s="2299"/>
      <c r="H32" s="2299"/>
      <c r="I32" s="192"/>
      <c r="M32" s="21">
        <v>26</v>
      </c>
    </row>
    <row r="33" spans="1:13" ht="14.65" customHeight="1">
      <c r="A33" s="1608"/>
      <c r="C33" s="34"/>
      <c r="D33" s="83" t="s">
        <v>1140</v>
      </c>
      <c r="E33" s="142" t="s">
        <v>1129</v>
      </c>
      <c r="F33" s="134"/>
      <c r="G33" s="193"/>
      <c r="H33" s="134" t="s">
        <v>305</v>
      </c>
      <c r="I33" s="2108" t="s">
        <v>1141</v>
      </c>
      <c r="M33" s="21">
        <v>14</v>
      </c>
    </row>
    <row r="34" spans="1:13" ht="15.75" customHeight="1">
      <c r="A34" s="1608" t="s">
        <v>90</v>
      </c>
      <c r="C34" s="34"/>
      <c r="D34" s="47"/>
      <c r="E34" s="140" t="s">
        <v>321</v>
      </c>
      <c r="F34" s="136"/>
      <c r="G34" s="136"/>
      <c r="H34" s="137"/>
      <c r="I34" s="2110"/>
      <c r="M34" s="21">
        <v>15</v>
      </c>
    </row>
    <row r="35" spans="1:13" ht="25.15" customHeight="1">
      <c r="A35" s="1608"/>
      <c r="C35" s="34"/>
      <c r="D35" s="83" t="s">
        <v>881</v>
      </c>
      <c r="E35" s="2299" t="str">
        <f>"адреса службы, ответственной за прием и обработку заявок на заключение договора о подключении (технологическом присоединении) к системе "&amp;TEMPLATE_SPHERE_RUS</f>
        <v>адреса службы, ответственной за прием и обработку заявок на заключение договора о подключении (технологическом присоединении) к системе теплоснабжения</v>
      </c>
      <c r="F35" s="2299"/>
      <c r="G35" s="2299"/>
      <c r="H35" s="2299"/>
      <c r="I35" s="192"/>
      <c r="M35" s="21">
        <v>24</v>
      </c>
    </row>
    <row r="36" spans="1:13" ht="14.65" customHeight="1">
      <c r="A36" s="1608"/>
      <c r="C36" s="34"/>
      <c r="D36" s="83" t="s">
        <v>1142</v>
      </c>
      <c r="E36" s="142" t="s">
        <v>1130</v>
      </c>
      <c r="F36" s="134"/>
      <c r="G36" s="193"/>
      <c r="H36" s="134" t="s">
        <v>305</v>
      </c>
      <c r="I36" s="2082" t="s">
        <v>1143</v>
      </c>
      <c r="M36" s="21">
        <v>14</v>
      </c>
    </row>
    <row r="37" spans="1:13" ht="15.75" customHeight="1">
      <c r="A37" s="1608" t="s">
        <v>91</v>
      </c>
      <c r="C37" s="34"/>
      <c r="D37" s="47"/>
      <c r="E37" s="140" t="s">
        <v>321</v>
      </c>
      <c r="F37" s="136"/>
      <c r="G37" s="136"/>
      <c r="H37" s="137"/>
      <c r="I37" s="2082"/>
      <c r="M37" s="21">
        <v>15</v>
      </c>
    </row>
    <row r="38" spans="1:13" ht="27.4" customHeight="1">
      <c r="A38" s="1608"/>
      <c r="C38" s="34"/>
      <c r="D38" s="83" t="s">
        <v>882</v>
      </c>
      <c r="E38" s="2299" t="str">
        <f>"график работы службы, ответственной за прием и обработку заявок на заключение договора о подключении (технологическом присоединении) к системе "&amp;TEMPLATE_SPHERE_RUS</f>
        <v>график работы службы, ответственной за прием и обработку заявок на заключение договора о подключении (технологическом присоединении) к системе теплоснабжения</v>
      </c>
      <c r="F38" s="2299"/>
      <c r="G38" s="2299"/>
      <c r="H38" s="2299"/>
      <c r="I38" s="192"/>
      <c r="M38" s="21">
        <v>26</v>
      </c>
    </row>
    <row r="39" spans="1:13" ht="14.65" customHeight="1">
      <c r="A39" s="1608"/>
      <c r="C39" s="34"/>
      <c r="D39" s="83" t="s">
        <v>883</v>
      </c>
      <c r="E39" s="142" t="s">
        <v>1131</v>
      </c>
      <c r="F39" s="134"/>
      <c r="G39" s="143"/>
      <c r="H39" s="134" t="s">
        <v>305</v>
      </c>
      <c r="I39" s="2108" t="s">
        <v>1144</v>
      </c>
      <c r="L39" s="91" t="s">
        <v>1132</v>
      </c>
      <c r="M39" s="21">
        <v>14</v>
      </c>
    </row>
    <row r="40" spans="1:13" ht="15.75" customHeight="1">
      <c r="A40" s="1608" t="s">
        <v>111</v>
      </c>
      <c r="C40" s="34"/>
      <c r="D40" s="47"/>
      <c r="E40" s="140" t="s">
        <v>321</v>
      </c>
      <c r="F40" s="136"/>
      <c r="G40" s="136"/>
      <c r="H40" s="137"/>
      <c r="I40" s="2110"/>
      <c r="M40" s="21">
        <v>15</v>
      </c>
    </row>
    <row r="41" spans="1:13" s="1747" customFormat="1" ht="3" customHeight="1">
      <c r="A41" s="1608"/>
      <c r="K41" s="132"/>
      <c r="L41" s="132"/>
      <c r="M41" s="77">
        <v>3</v>
      </c>
    </row>
    <row r="42" spans="1:13" ht="26.25" customHeight="1">
      <c r="D42" s="1606" t="s">
        <v>803</v>
      </c>
      <c r="E42" s="2206" t="str">
        <f>"Информация размещается в случае, если организация осуществляет услуги по подключению (технологическому присоединению) к системе "&amp;TEMPLATE_SPHERE_RUS&amp;"."</f>
        <v>Информация размещается в случае, если организация осуществляет услуги по подключению (технологическому присоединению) к системе теплоснабжения.</v>
      </c>
      <c r="F42" s="2206"/>
      <c r="G42" s="2206"/>
      <c r="H42" s="2206"/>
      <c r="I42" s="2206"/>
      <c r="M42" s="21">
        <v>25</v>
      </c>
    </row>
    <row r="43" spans="1:13" ht="22.5" hidden="1" customHeight="1">
      <c r="A43" s="1287" t="s">
        <v>82</v>
      </c>
      <c r="B43" s="82">
        <v>0</v>
      </c>
      <c r="C43" s="35">
        <v>3</v>
      </c>
      <c r="D43" s="21">
        <v>6</v>
      </c>
      <c r="E43" s="21">
        <v>63</v>
      </c>
      <c r="F43" s="21">
        <v>0</v>
      </c>
      <c r="G43" s="21">
        <v>35</v>
      </c>
      <c r="H43" s="21">
        <v>35</v>
      </c>
      <c r="I43" s="21">
        <v>91</v>
      </c>
      <c r="J43" s="21">
        <v>68</v>
      </c>
      <c r="K43" s="91">
        <v>10</v>
      </c>
      <c r="L43" s="91">
        <v>10</v>
      </c>
      <c r="M43" s="21">
        <v>23</v>
      </c>
    </row>
  </sheetData>
  <sheetProtection formatColumns="0" formatRows="0" insertRows="0" deleteColumns="0" deleteRows="0" sort="0" autoFilter="0"/>
  <mergeCells count="17">
    <mergeCell ref="I29:I30"/>
    <mergeCell ref="E31:H31"/>
    <mergeCell ref="D14:H14"/>
    <mergeCell ref="D18:H18"/>
    <mergeCell ref="I18:I19"/>
    <mergeCell ref="E21:H21"/>
    <mergeCell ref="E25:H25"/>
    <mergeCell ref="I26:I27"/>
    <mergeCell ref="E28:H28"/>
    <mergeCell ref="D15:H15"/>
    <mergeCell ref="E42:I42"/>
    <mergeCell ref="E32:H32"/>
    <mergeCell ref="E35:H35"/>
    <mergeCell ref="E38:H38"/>
    <mergeCell ref="I33:I34"/>
    <mergeCell ref="I36:I37"/>
    <mergeCell ref="I39:I40"/>
  </mergeCells>
  <dataValidations count="4">
    <dataValidation type="textLength" operator="lessThanOrEqual" allowBlank="1" showInputMessage="1" showErrorMessage="1" errorTitle="Ошибка" error="Допускается ввод не более 900 символов!" sqref="I23:I24 I33 G36 I39 I26 E29 G33 E36 I29 E33 I36 G23 E26 I10 E23 G29 E10 G8 E2 I2 I4 G4 E4 E6 I6 G6 E8 I8 E39">
      <formula1>900</formula1>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H26 H23:H24 H2">
      <formula1>900</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G10 G39">
      <formula1>"a"</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G22"/>
  </dataValidations>
  <pageMargins left="0.7" right="0.7" top="0.75" bottom="0.75" header="0.3" footer="0.3"/>
  <pageSetup orientation="portrait"/>
  <headerFooter>
    <oddHeader>&amp;L&amp;C&amp;R</oddHeader>
    <oddFooter>&amp;L&amp;C&amp;R</oddFooter>
    <evenHeader>&amp;L&amp;C&amp;R</evenHeader>
    <evenFooter>&amp;L&amp;C&amp;R</evenFooter>
  </headerFooter>
  <drawing r:id="rId1"/>
</worksheet>
</file>

<file path=xl/worksheets/sheet4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6" tint="0.39997558519241921"/>
  </sheetPr>
  <dimension ref="A1:AH332"/>
  <sheetViews>
    <sheetView showGridLines="0" zoomScale="90" workbookViewId="0">
      <pane xSplit="7" ySplit="21" topLeftCell="H22" activePane="bottomRight" state="frozen"/>
      <selection pane="topRight" activeCell="H1" sqref="H1"/>
      <selection pane="bottomLeft" activeCell="A22" sqref="A22"/>
      <selection pane="bottomRight"/>
    </sheetView>
  </sheetViews>
  <sheetFormatPr defaultColWidth="10.5703125" defaultRowHeight="14.25" customHeight="1"/>
  <cols>
    <col min="1" max="2" width="25.140625" style="1704" hidden="1" customWidth="1"/>
    <col min="3" max="3" width="9.140625" style="1612" hidden="1" customWidth="1"/>
    <col min="4" max="4" width="3" style="280" customWidth="1"/>
    <col min="5" max="5" width="6" style="1560" customWidth="1"/>
    <col min="6" max="6" width="46.7109375" style="1560" customWidth="1"/>
    <col min="7" max="7" width="35" style="1560" customWidth="1"/>
    <col min="8" max="8" width="3" style="1560" customWidth="1"/>
    <col min="9" max="10" width="11" style="1560" customWidth="1"/>
    <col min="11" max="12" width="35" style="1560" customWidth="1"/>
    <col min="13" max="13" width="84" style="1560" customWidth="1"/>
    <col min="14" max="14" width="10" style="1560" customWidth="1"/>
    <col min="15" max="16" width="10" style="1549" customWidth="1"/>
    <col min="17" max="33" width="10" style="1560" customWidth="1"/>
    <col min="34" max="34" width="10.5703125" style="1560" hidden="1"/>
  </cols>
  <sheetData>
    <row r="1" spans="1:34" s="1560" customFormat="1" ht="22.5" hidden="1" customHeight="1">
      <c r="A1" s="1704"/>
      <c r="B1" s="1704"/>
      <c r="C1" s="304"/>
      <c r="D1" s="280"/>
      <c r="N1" s="1561">
        <f>IFERROR(MATCH("метод экономически обоснованных расходов (затрат)",OFFER_METHOD,0),0)</f>
        <v>0</v>
      </c>
      <c r="O1" s="1549"/>
      <c r="P1" s="1549"/>
      <c r="T1" s="760"/>
      <c r="AG1" s="191"/>
      <c r="AH1" s="1556" t="s">
        <v>14</v>
      </c>
    </row>
    <row r="2" spans="1:34" s="1560" customFormat="1" ht="18.75" hidden="1" customHeight="1">
      <c r="A2" s="1705" t="s">
        <v>156</v>
      </c>
      <c r="B2" s="1705" t="s">
        <v>157</v>
      </c>
      <c r="C2" s="304"/>
      <c r="D2" s="280"/>
      <c r="E2" s="959"/>
      <c r="F2" s="959"/>
      <c r="G2" s="2315" t="str">
        <f>INDEX(PT_DIFFERENTIATION_NTAR,MATCH(B2,PT_DIFFERENTIATION_NTAR_ID,0))</f>
        <v/>
      </c>
      <c r="H2" s="1788"/>
      <c r="I2" s="1664"/>
      <c r="J2" s="1698"/>
      <c r="K2" s="1789"/>
      <c r="L2" s="1788" t="s">
        <v>305</v>
      </c>
      <c r="M2" s="1799"/>
      <c r="N2" s="270"/>
      <c r="O2" s="1549"/>
      <c r="P2" s="1549"/>
      <c r="AH2" s="1556">
        <v>0</v>
      </c>
    </row>
    <row r="3" spans="1:34" s="1560" customFormat="1" ht="18.75" hidden="1" customHeight="1">
      <c r="A3" s="1705"/>
      <c r="B3" s="1705"/>
      <c r="C3" s="304" t="s">
        <v>1145</v>
      </c>
      <c r="D3" s="280"/>
      <c r="E3" s="959"/>
      <c r="F3" s="959"/>
      <c r="G3" s="2315"/>
      <c r="H3" s="1425"/>
      <c r="I3" s="586" t="s">
        <v>1146</v>
      </c>
      <c r="J3" s="506"/>
      <c r="K3" s="1425"/>
      <c r="L3" s="150"/>
      <c r="M3" s="1799"/>
      <c r="N3" s="270"/>
      <c r="O3" s="1549"/>
      <c r="P3" s="1549"/>
      <c r="AH3" s="1556">
        <v>0</v>
      </c>
    </row>
    <row r="4" spans="1:34" s="1560" customFormat="1" ht="14.25" hidden="1" customHeight="1">
      <c r="A4" s="1704"/>
      <c r="B4" s="1704"/>
      <c r="C4" s="304"/>
      <c r="D4" s="280"/>
      <c r="N4" s="1561">
        <f>IFERROR(MATCH("метод экономически обоснованных расходов (затрат)",OFFER_METHOD,0),0)</f>
        <v>0</v>
      </c>
      <c r="O4" s="1549"/>
      <c r="P4" s="1549"/>
      <c r="T4" s="760"/>
      <c r="AG4" s="191"/>
      <c r="AH4" s="1556">
        <v>0</v>
      </c>
    </row>
    <row r="5" spans="1:34" s="1560" customFormat="1" ht="18.75" hidden="1" customHeight="1">
      <c r="A5" s="1705" t="s">
        <v>156</v>
      </c>
      <c r="B5" s="1705" t="s">
        <v>157</v>
      </c>
      <c r="C5" s="304"/>
      <c r="D5" s="280"/>
      <c r="E5" s="959"/>
      <c r="F5" s="959"/>
      <c r="G5" s="2315" t="str">
        <f>INDEX(PT_DIFFERENTIATION_NTAR,MATCH(B5,PT_DIFFERENTIATION_NTAR_ID,0))</f>
        <v/>
      </c>
      <c r="H5" s="1788"/>
      <c r="I5" s="1664"/>
      <c r="J5" s="1698"/>
      <c r="K5" s="1703"/>
      <c r="L5" s="1788" t="s">
        <v>305</v>
      </c>
      <c r="M5" s="1799"/>
      <c r="N5" s="270"/>
      <c r="O5" s="1549"/>
      <c r="P5" s="1549"/>
      <c r="AH5" s="1556">
        <v>0</v>
      </c>
    </row>
    <row r="6" spans="1:34" s="1560" customFormat="1" ht="18.75" hidden="1" customHeight="1">
      <c r="A6" s="1705"/>
      <c r="B6" s="1705"/>
      <c r="C6" s="304" t="s">
        <v>1147</v>
      </c>
      <c r="D6" s="280"/>
      <c r="E6" s="959"/>
      <c r="F6" s="959"/>
      <c r="G6" s="2315"/>
      <c r="H6" s="1425"/>
      <c r="I6" s="586" t="s">
        <v>1146</v>
      </c>
      <c r="J6" s="506"/>
      <c r="K6" s="1425"/>
      <c r="L6" s="150"/>
      <c r="M6" s="1799"/>
      <c r="N6" s="270"/>
      <c r="O6" s="1549"/>
      <c r="P6" s="1549"/>
      <c r="AH6" s="1556">
        <v>0</v>
      </c>
    </row>
    <row r="7" spans="1:34" s="1560" customFormat="1" ht="14.25" hidden="1" customHeight="1">
      <c r="A7" s="1704"/>
      <c r="B7" s="1704"/>
      <c r="C7" s="304"/>
      <c r="D7" s="280"/>
      <c r="N7" s="1561">
        <f>IFERROR(MATCH("метод экономически обоснованных расходов (затрат)",OFFER_METHOD,0),0)</f>
        <v>0</v>
      </c>
      <c r="O7" s="1549"/>
      <c r="P7" s="1549"/>
      <c r="T7" s="760"/>
      <c r="AG7" s="191"/>
      <c r="AH7" s="1556">
        <v>0</v>
      </c>
    </row>
    <row r="8" spans="1:34" s="1560" customFormat="1" ht="56.25" hidden="1" customHeight="1">
      <c r="A8" s="1705"/>
      <c r="B8" s="1705"/>
      <c r="C8" s="304"/>
      <c r="D8" s="280"/>
      <c r="E8" s="959"/>
      <c r="F8" s="959"/>
      <c r="G8" s="959"/>
      <c r="H8" s="1696"/>
      <c r="I8" s="1664"/>
      <c r="J8" s="1698"/>
      <c r="K8" s="1789"/>
      <c r="L8" s="1696" t="s">
        <v>305</v>
      </c>
      <c r="M8" s="1799"/>
      <c r="N8" s="270"/>
      <c r="O8" s="1549"/>
      <c r="P8" s="1549"/>
      <c r="AH8" s="1556">
        <v>0</v>
      </c>
    </row>
    <row r="9" spans="1:34" ht="14.25" hidden="1" customHeight="1">
      <c r="T9" s="332"/>
      <c r="AG9" s="191"/>
      <c r="AH9" s="309">
        <v>0</v>
      </c>
    </row>
    <row r="10" spans="1:34" s="1560" customFormat="1" ht="56.25" hidden="1" customHeight="1">
      <c r="A10" s="1705"/>
      <c r="B10" s="1705"/>
      <c r="C10" s="304"/>
      <c r="D10" s="280"/>
      <c r="E10" s="959"/>
      <c r="F10" s="959"/>
      <c r="G10" s="959"/>
      <c r="H10" s="1695"/>
      <c r="I10" s="1664"/>
      <c r="J10" s="1698"/>
      <c r="K10" s="1703"/>
      <c r="L10" s="1696" t="s">
        <v>305</v>
      </c>
      <c r="M10" s="1799"/>
      <c r="N10" s="270"/>
      <c r="O10" s="1549"/>
      <c r="P10" s="1549"/>
      <c r="AH10" s="1556">
        <v>0</v>
      </c>
    </row>
    <row r="11" spans="1:34" ht="14.25" hidden="1" customHeight="1">
      <c r="AH11" s="309">
        <v>0</v>
      </c>
    </row>
    <row r="12" spans="1:34" ht="14.25" hidden="1" customHeight="1">
      <c r="AH12" s="309">
        <v>0</v>
      </c>
    </row>
    <row r="13" spans="1:34" ht="6.4" customHeight="1">
      <c r="D13" s="311"/>
      <c r="E13" s="298"/>
      <c r="F13" s="298"/>
      <c r="G13" s="298"/>
      <c r="H13" s="298"/>
      <c r="I13" s="298"/>
      <c r="J13" s="298"/>
      <c r="K13" s="298"/>
      <c r="L13" s="23"/>
      <c r="M13" s="23"/>
      <c r="AH13" s="309">
        <v>6</v>
      </c>
    </row>
    <row r="14" spans="1:34" ht="14.65" customHeight="1">
      <c r="D14" s="311"/>
      <c r="E14" s="2343" t="str">
        <f>"Форма "&amp;IF(TEMPLATE_SPHERE="HEAT","18","12")&amp;". Информация о предложении "&amp;IF(TEMPLATE_SPHERE="HEAT","регулируемой организации","организации "&amp;TEMPLATE_SPHERE_RUS)&amp;" об установлении "&amp;IF(TEMPLATE_SPHERE="HEAT","цен (тарифов)","тарифов")&amp;" в сфере "&amp;TEMPLATE_SPHERE_RUS&amp;" на очередной"&amp;IF(TEMPLATE_SPHERE="HEAT"," расчетный","")&amp;" период регулирования"</f>
        <v>Форма 18. Информация о предложении регулируемой организации об установлении цен (тарифов) в сфере теплоснабжения на очередной расчетный период регулирования</v>
      </c>
      <c r="F14" s="2343"/>
      <c r="G14" s="2343"/>
      <c r="H14" s="2343"/>
      <c r="I14" s="2343"/>
      <c r="J14" s="2343"/>
      <c r="K14" s="2343"/>
      <c r="L14" s="2343"/>
      <c r="M14" s="156"/>
      <c r="AH14" s="309">
        <v>14</v>
      </c>
    </row>
    <row r="15" spans="1:34" ht="6.4" customHeight="1">
      <c r="D15" s="311"/>
      <c r="E15" s="298"/>
      <c r="F15" s="324"/>
      <c r="G15" s="324"/>
      <c r="H15" s="324"/>
      <c r="I15" s="324"/>
      <c r="J15" s="324"/>
      <c r="K15" s="324"/>
      <c r="L15" s="258"/>
      <c r="M15" s="129"/>
      <c r="AH15" s="309">
        <v>6</v>
      </c>
    </row>
    <row r="16" spans="1:34" ht="24" customHeight="1">
      <c r="D16" s="311"/>
      <c r="E16" s="298"/>
      <c r="F16" s="241" t="str">
        <f>"Дата подачи заявления об "&amp;IF(TITLE_DATE_PR_CHANGE="","утверждении","изменении")&amp;" тарифов"</f>
        <v>Дата подачи заявления об утверждении тарифов</v>
      </c>
      <c r="G16" s="2188" t="str">
        <f>IF(TITLE_DATE_PR_CHANGE="",IF(TITLE_DATE_PR="","",TITLE_DATE_PR),TITLE_DATE_PR_CHANGE)</f>
        <v/>
      </c>
      <c r="H16" s="2188"/>
      <c r="I16" s="2188"/>
      <c r="J16" s="2188"/>
      <c r="K16" s="2188"/>
      <c r="L16" s="2188"/>
      <c r="M16" s="333"/>
      <c r="N16" s="262"/>
      <c r="AH16" s="309">
        <v>23</v>
      </c>
    </row>
    <row r="17" spans="1:34" ht="24" customHeight="1">
      <c r="D17" s="311"/>
      <c r="E17" s="298"/>
      <c r="F17" s="241" t="str">
        <f>"Номер подачи заявления об "&amp;IF(TITLE_DATE_PR_CHANGE="","утверждении","изменении")&amp;" тарифов"</f>
        <v>Номер подачи заявления об утверждении тарифов</v>
      </c>
      <c r="G17" s="2179" t="str">
        <f>IF(TITLE_NUMBER_PR_CHANGE="",IF(TITLE_NUMBER_PR="","",TITLE_NUMBER_PR),TITLE_NUMBER_PR_CHANGE)</f>
        <v/>
      </c>
      <c r="H17" s="2179"/>
      <c r="I17" s="2179"/>
      <c r="J17" s="2179"/>
      <c r="K17" s="2179"/>
      <c r="L17" s="2179"/>
      <c r="M17" s="333"/>
      <c r="N17" s="262"/>
      <c r="AH17" s="309">
        <v>23</v>
      </c>
    </row>
    <row r="18" spans="1:34" ht="14.65" customHeight="1">
      <c r="D18" s="311"/>
      <c r="E18" s="298"/>
      <c r="F18" s="324"/>
      <c r="G18" s="324"/>
      <c r="H18" s="324"/>
      <c r="I18" s="324"/>
      <c r="J18" s="324"/>
      <c r="K18" s="324"/>
      <c r="L18" s="687"/>
      <c r="M18" s="129"/>
      <c r="AH18" s="309">
        <v>14</v>
      </c>
    </row>
    <row r="19" spans="1:34" ht="21.95" customHeight="1">
      <c r="D19" s="311"/>
      <c r="E19" s="2145" t="s">
        <v>299</v>
      </c>
      <c r="F19" s="2145"/>
      <c r="G19" s="2145"/>
      <c r="H19" s="2145"/>
      <c r="I19" s="2145"/>
      <c r="J19" s="2145"/>
      <c r="K19" s="2145"/>
      <c r="L19" s="2145"/>
      <c r="M19" s="2288" t="s">
        <v>300</v>
      </c>
      <c r="AH19" s="309">
        <v>21</v>
      </c>
    </row>
    <row r="20" spans="1:34" ht="21.95" customHeight="1">
      <c r="D20" s="311"/>
      <c r="E20" s="2198" t="s">
        <v>88</v>
      </c>
      <c r="F20" s="2159" t="s">
        <v>123</v>
      </c>
      <c r="G20" s="2159" t="s">
        <v>124</v>
      </c>
      <c r="H20" s="2285" t="s">
        <v>1148</v>
      </c>
      <c r="I20" s="2286"/>
      <c r="J20" s="2320"/>
      <c r="K20" s="2159" t="s">
        <v>302</v>
      </c>
      <c r="L20" s="2159" t="s">
        <v>389</v>
      </c>
      <c r="M20" s="2288"/>
      <c r="AH20" s="309">
        <v>21</v>
      </c>
    </row>
    <row r="21" spans="1:34" ht="21.95" customHeight="1">
      <c r="D21" s="311"/>
      <c r="E21" s="2200"/>
      <c r="F21" s="2160"/>
      <c r="G21" s="2160"/>
      <c r="H21" s="2154" t="s">
        <v>1149</v>
      </c>
      <c r="I21" s="2156"/>
      <c r="J21" s="46" t="s">
        <v>1150</v>
      </c>
      <c r="K21" s="2160"/>
      <c r="L21" s="2160"/>
      <c r="M21" s="2288"/>
      <c r="AH21" s="309">
        <v>21</v>
      </c>
    </row>
    <row r="22" spans="1:34" ht="12.75" customHeight="1">
      <c r="D22" s="311"/>
      <c r="E22" s="217"/>
      <c r="F22" s="217"/>
      <c r="G22" s="217"/>
      <c r="H22" s="2345"/>
      <c r="I22" s="2345"/>
      <c r="J22" s="217"/>
      <c r="K22" s="217"/>
      <c r="L22" s="217"/>
      <c r="M22" s="217"/>
      <c r="AH22" s="309">
        <v>12</v>
      </c>
    </row>
    <row r="23" spans="1:34" ht="19.899999999999999" customHeight="1">
      <c r="A23" s="1705"/>
      <c r="B23" s="1705"/>
      <c r="D23" s="311"/>
      <c r="E23" s="1790" t="s">
        <v>109</v>
      </c>
      <c r="F23" s="2346" t="str">
        <f>"Предлагаемый метод регулирования"&amp;IF(TEMPLATE_SPHERE="HEAT"," в сфере "&amp;TEMPLATE_SPHERE_RUS,"")</f>
        <v>Предлагаемый метод регулирования в сфере теплоснабжения</v>
      </c>
      <c r="G23" s="2346"/>
      <c r="H23" s="2339"/>
      <c r="I23" s="2339"/>
      <c r="J23" s="2339"/>
      <c r="K23" s="2346" t="s">
        <v>305</v>
      </c>
      <c r="L23" s="2339"/>
      <c r="M23" s="1694"/>
      <c r="N23" s="270"/>
      <c r="AH23" s="309">
        <v>19</v>
      </c>
    </row>
    <row r="24" spans="1:34" ht="60.75" hidden="1" customHeight="1">
      <c r="A24" s="1705" t="s">
        <v>156</v>
      </c>
      <c r="B24" s="1705" t="s">
        <v>157</v>
      </c>
      <c r="D24" s="2344"/>
      <c r="E24" s="2140"/>
      <c r="F24" s="2347" t="str">
        <f>INDEX(PT_DIFFERENTIATION_VTAR,MATCH(A24,PT_DIFFERENTIATION_VTAR_ID,0))</f>
        <v>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v>
      </c>
      <c r="G24" s="2315" t="str">
        <f>INDEX(PT_DIFFERENTIATION_NTAR,MATCH(B24,PT_DIFFERENTIATION_NTAR_ID,0))</f>
        <v/>
      </c>
      <c r="H24" s="1786"/>
      <c r="I24" s="1664"/>
      <c r="J24" s="1698"/>
      <c r="K24" s="1789"/>
      <c r="L24" s="1693" t="s">
        <v>305</v>
      </c>
      <c r="M24" s="2108" t="str">
        <f>"Значение в колонке «Вид тарифа» выбирается из перечня видов тарифов в сфере "&amp;TEMPLATE_SPHERE_RUS&amp;", предусмотренных законодательством в сфере "&amp;IF(TEMPLATE_SPHERE="HEAT","теплоснабжения","водоснабжения и водоотведения")&amp;".
"&amp;"Значение в колонке «Информация» выбирается из перечня:
- метод экономически обоснованных расходов (затрат);
- метод индексации установленных тарифов;
- метод обеспечения доходности инвестированного капитала;
- метод сравнения аналогов.
"&amp;"Даты начала и окончания срока действия тарифов указываются в виде «ДД.ММ.ГГГГ».
В случае дифференциации предлагаемых методов регулирования по видам тарифов и (или) по периодам действия тарифов информация по каждому из них указывается в отдельной строке."</f>
        <v>Значение в колонке «Вид тарифа» выбирается из перечня видов тарифов в сфере теплоснабжения, предусмотренных законодательством в сфере теплоснабжения.
Значение в колонке «Информация» выбирается из перечня:
- метод экономически обоснованных расходов (затрат);
- метод индексации установленных тарифов;
- метод обеспечения доходности инвестированного капитала;
- метод сравнения аналогов.
Даты начала и окончания срока действия тарифов указываются в виде «ДД.ММ.ГГГГ».
В случае дифференциации предлагаемых методов регулирования по видам тарифов и (или) по периодам действия тарифов информация по каждому из них указывается в отдельной строке.</v>
      </c>
      <c r="N24" s="270"/>
      <c r="AH24" s="309">
        <v>0</v>
      </c>
    </row>
    <row r="25" spans="1:34" s="1560" customFormat="1" ht="18.75" hidden="1" customHeight="1">
      <c r="A25" s="1705"/>
      <c r="B25" s="1705"/>
      <c r="C25" s="304" t="s">
        <v>1145</v>
      </c>
      <c r="D25" s="2344"/>
      <c r="E25" s="2140"/>
      <c r="F25" s="2347"/>
      <c r="G25" s="2315"/>
      <c r="H25" s="1425"/>
      <c r="I25" s="586" t="s">
        <v>1146</v>
      </c>
      <c r="J25" s="506"/>
      <c r="K25" s="1425"/>
      <c r="L25" s="150"/>
      <c r="M25" s="2109"/>
      <c r="N25" s="270"/>
      <c r="O25" s="1549"/>
      <c r="P25" s="1549"/>
      <c r="AH25" s="1556">
        <v>0</v>
      </c>
    </row>
    <row r="26" spans="1:34" ht="0.75" hidden="1" customHeight="1">
      <c r="A26" s="1705"/>
      <c r="B26" s="1705"/>
      <c r="C26" s="304" t="s">
        <v>1151</v>
      </c>
      <c r="D26" s="2344"/>
      <c r="E26" s="2140"/>
      <c r="F26" s="2283"/>
      <c r="G26" s="335"/>
      <c r="H26" s="1425"/>
      <c r="I26" s="330"/>
      <c r="J26" s="284"/>
      <c r="K26" s="1425"/>
      <c r="L26" s="137"/>
      <c r="M26" s="2109"/>
      <c r="N26" s="270"/>
      <c r="AH26" s="309">
        <v>0</v>
      </c>
    </row>
    <row r="27" spans="1:34" s="1560" customFormat="1" ht="45" hidden="1" customHeight="1">
      <c r="A27" s="1705" t="s">
        <v>161</v>
      </c>
      <c r="B27" s="1705" t="s">
        <v>162</v>
      </c>
      <c r="C27" s="304"/>
      <c r="D27" s="2340"/>
      <c r="E27" s="2341"/>
      <c r="F27" s="2342" t="str">
        <f>INDEX(PT_DIFFERENTIATION_VTAR,MATCH(A27,PT_DIFFERENTIATION_VTAR_ID,0))</f>
        <v/>
      </c>
      <c r="G27" s="2315" t="str">
        <f>INDEX(PT_DIFFERENTIATION_NTAR,MATCH(B27,PT_DIFFERENTIATION_NTAR_ID,0))</f>
        <v/>
      </c>
      <c r="H27" s="1786"/>
      <c r="I27" s="1664"/>
      <c r="J27" s="1698"/>
      <c r="K27" s="1789"/>
      <c r="L27" s="1786" t="s">
        <v>305</v>
      </c>
      <c r="M27" s="2109"/>
      <c r="N27" s="270"/>
      <c r="O27" s="1549"/>
      <c r="P27" s="1549"/>
      <c r="AH27" s="1556">
        <v>0</v>
      </c>
    </row>
    <row r="28" spans="1:34" s="1560" customFormat="1" ht="18.75" hidden="1" customHeight="1">
      <c r="A28" s="1705"/>
      <c r="B28" s="1705"/>
      <c r="C28" s="304" t="s">
        <v>1145</v>
      </c>
      <c r="D28" s="2340"/>
      <c r="E28" s="2341"/>
      <c r="F28" s="2342"/>
      <c r="G28" s="2315"/>
      <c r="H28" s="1425"/>
      <c r="I28" s="586" t="s">
        <v>1146</v>
      </c>
      <c r="J28" s="506"/>
      <c r="K28" s="1425"/>
      <c r="L28" s="150"/>
      <c r="M28" s="2109"/>
      <c r="N28" s="270"/>
      <c r="O28" s="1549"/>
      <c r="P28" s="1549"/>
      <c r="AH28" s="1556">
        <v>0</v>
      </c>
    </row>
    <row r="29" spans="1:34" s="1560" customFormat="1" ht="0.75" hidden="1" customHeight="1">
      <c r="A29" s="1705"/>
      <c r="B29" s="1705"/>
      <c r="C29" s="304" t="s">
        <v>1151</v>
      </c>
      <c r="D29" s="2340"/>
      <c r="E29" s="2140"/>
      <c r="F29" s="2283"/>
      <c r="G29" s="335"/>
      <c r="H29" s="1425"/>
      <c r="I29" s="586"/>
      <c r="J29" s="506"/>
      <c r="K29" s="1425"/>
      <c r="L29" s="150"/>
      <c r="M29" s="2109"/>
      <c r="N29" s="270"/>
      <c r="O29" s="1549"/>
      <c r="P29" s="1549"/>
      <c r="AH29" s="1556">
        <v>0</v>
      </c>
    </row>
    <row r="30" spans="1:34" s="1560" customFormat="1" ht="45" hidden="1" customHeight="1">
      <c r="A30" s="1705" t="s">
        <v>168</v>
      </c>
      <c r="B30" s="1705" t="s">
        <v>169</v>
      </c>
      <c r="C30" s="304"/>
      <c r="D30" s="2340"/>
      <c r="E30" s="2140"/>
      <c r="F30" s="2283" t="str">
        <f>INDEX(PT_DIFFERENTIATION_VTAR,MATCH(A30,PT_DIFFERENTIATION_VTAR_ID,0))</f>
        <v>Тарифы на теплоноситель, поставляемый теплоснабжающими организациями потребителям, другим теплоснабжающим организациям</v>
      </c>
      <c r="G30" s="2315" t="str">
        <f>INDEX(PT_DIFFERENTIATION_NTAR,MATCH(B30,PT_DIFFERENTIATION_NTAR_ID,0))</f>
        <v/>
      </c>
      <c r="H30" s="1786"/>
      <c r="I30" s="1664"/>
      <c r="J30" s="1698"/>
      <c r="K30" s="1789"/>
      <c r="L30" s="1786" t="s">
        <v>305</v>
      </c>
      <c r="M30" s="2109"/>
      <c r="N30" s="270"/>
      <c r="O30" s="1549"/>
      <c r="P30" s="1549"/>
      <c r="AH30" s="1556">
        <v>0</v>
      </c>
    </row>
    <row r="31" spans="1:34" s="1560" customFormat="1" ht="18.75" hidden="1" customHeight="1">
      <c r="A31" s="1705"/>
      <c r="B31" s="1705"/>
      <c r="C31" s="304" t="s">
        <v>1145</v>
      </c>
      <c r="D31" s="2340"/>
      <c r="E31" s="2140"/>
      <c r="F31" s="2283"/>
      <c r="G31" s="2315"/>
      <c r="H31" s="1425"/>
      <c r="I31" s="586" t="s">
        <v>1146</v>
      </c>
      <c r="J31" s="506"/>
      <c r="K31" s="1425"/>
      <c r="L31" s="150"/>
      <c r="M31" s="2109"/>
      <c r="N31" s="270"/>
      <c r="O31" s="1549"/>
      <c r="P31" s="1549"/>
      <c r="AH31" s="1556">
        <v>0</v>
      </c>
    </row>
    <row r="32" spans="1:34" s="1560" customFormat="1" ht="0.75" hidden="1" customHeight="1">
      <c r="A32" s="1705"/>
      <c r="B32" s="1705"/>
      <c r="C32" s="304" t="s">
        <v>1151</v>
      </c>
      <c r="D32" s="2340"/>
      <c r="E32" s="2140"/>
      <c r="F32" s="2283"/>
      <c r="G32" s="335"/>
      <c r="H32" s="1425"/>
      <c r="I32" s="586"/>
      <c r="J32" s="506"/>
      <c r="K32" s="1425"/>
      <c r="L32" s="150"/>
      <c r="M32" s="2109"/>
      <c r="N32" s="270"/>
      <c r="O32" s="1549"/>
      <c r="P32" s="1549"/>
      <c r="AH32" s="1556">
        <v>0</v>
      </c>
    </row>
    <row r="33" spans="1:34" s="1560" customFormat="1" ht="45" hidden="1" customHeight="1">
      <c r="A33" s="1705" t="s">
        <v>174</v>
      </c>
      <c r="B33" s="1705" t="s">
        <v>175</v>
      </c>
      <c r="C33" s="304"/>
      <c r="D33" s="2340"/>
      <c r="E33" s="2140"/>
      <c r="F33" s="2283" t="str">
        <f>INDEX(PT_DIFFERENTIATION_VTAR,MATCH(A33,PT_DIFFERENTIATION_VTAR_ID,0))</f>
        <v>Тарифы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v>
      </c>
      <c r="G33" s="2315" t="str">
        <f>INDEX(PT_DIFFERENTIATION_NTAR,MATCH(B33,PT_DIFFERENTIATION_NTAR_ID,0))</f>
        <v/>
      </c>
      <c r="H33" s="1786"/>
      <c r="I33" s="1664"/>
      <c r="J33" s="1698"/>
      <c r="K33" s="1789"/>
      <c r="L33" s="1786" t="s">
        <v>305</v>
      </c>
      <c r="M33" s="2109"/>
      <c r="N33" s="270"/>
      <c r="O33" s="1549"/>
      <c r="P33" s="1549"/>
      <c r="AH33" s="1556">
        <v>0</v>
      </c>
    </row>
    <row r="34" spans="1:34" s="1560" customFormat="1" ht="18.75" hidden="1" customHeight="1">
      <c r="A34" s="1705"/>
      <c r="B34" s="1705"/>
      <c r="C34" s="304" t="s">
        <v>1145</v>
      </c>
      <c r="D34" s="2340"/>
      <c r="E34" s="2140"/>
      <c r="F34" s="2283"/>
      <c r="G34" s="2315"/>
      <c r="H34" s="1425"/>
      <c r="I34" s="586" t="s">
        <v>1146</v>
      </c>
      <c r="J34" s="506"/>
      <c r="K34" s="1425"/>
      <c r="L34" s="150"/>
      <c r="M34" s="2109"/>
      <c r="N34" s="270"/>
      <c r="O34" s="1549"/>
      <c r="P34" s="1549"/>
      <c r="AH34" s="1556">
        <v>0</v>
      </c>
    </row>
    <row r="35" spans="1:34" s="1560" customFormat="1" ht="0.75" hidden="1" customHeight="1">
      <c r="A35" s="1705"/>
      <c r="B35" s="1705"/>
      <c r="C35" s="304" t="s">
        <v>1151</v>
      </c>
      <c r="D35" s="2340"/>
      <c r="E35" s="2140"/>
      <c r="F35" s="2283"/>
      <c r="G35" s="335"/>
      <c r="H35" s="1425"/>
      <c r="I35" s="586"/>
      <c r="J35" s="506"/>
      <c r="K35" s="1425"/>
      <c r="L35" s="150"/>
      <c r="M35" s="2109"/>
      <c r="N35" s="270"/>
      <c r="O35" s="1549"/>
      <c r="P35" s="1549"/>
      <c r="AH35" s="1556">
        <v>0</v>
      </c>
    </row>
    <row r="36" spans="1:34" s="1560" customFormat="1" ht="18.75" hidden="1" customHeight="1">
      <c r="A36" s="1705" t="s">
        <v>180</v>
      </c>
      <c r="B36" s="1705" t="s">
        <v>181</v>
      </c>
      <c r="C36" s="304"/>
      <c r="D36" s="2340"/>
      <c r="E36" s="2140"/>
      <c r="F36" s="2283" t="str">
        <f>INDEX(PT_DIFFERENTIATION_VTAR,MATCH(A36,PT_DIFFERENTIATION_VTAR_ID,0))</f>
        <v>Тарифы на услуги по передаче тепловой энергии</v>
      </c>
      <c r="G36" s="2315" t="str">
        <f>INDEX(PT_DIFFERENTIATION_NTAR,MATCH(B36,PT_DIFFERENTIATION_NTAR_ID,0))</f>
        <v/>
      </c>
      <c r="H36" s="1786"/>
      <c r="I36" s="1664"/>
      <c r="J36" s="1698"/>
      <c r="K36" s="1789"/>
      <c r="L36" s="1786" t="s">
        <v>305</v>
      </c>
      <c r="M36" s="2109"/>
      <c r="N36" s="270"/>
      <c r="O36" s="1549"/>
      <c r="P36" s="1549"/>
      <c r="AH36" s="1556">
        <v>0</v>
      </c>
    </row>
    <row r="37" spans="1:34" s="1560" customFormat="1" ht="18.75" hidden="1" customHeight="1">
      <c r="A37" s="1705"/>
      <c r="B37" s="1705"/>
      <c r="C37" s="304" t="s">
        <v>1145</v>
      </c>
      <c r="D37" s="2340"/>
      <c r="E37" s="2140"/>
      <c r="F37" s="2283"/>
      <c r="G37" s="2315"/>
      <c r="H37" s="1425"/>
      <c r="I37" s="586" t="s">
        <v>1146</v>
      </c>
      <c r="J37" s="506"/>
      <c r="K37" s="1425"/>
      <c r="L37" s="150"/>
      <c r="M37" s="2109"/>
      <c r="N37" s="270"/>
      <c r="O37" s="1549"/>
      <c r="P37" s="1549"/>
      <c r="AH37" s="1556">
        <v>0</v>
      </c>
    </row>
    <row r="38" spans="1:34" s="1560" customFormat="1" ht="0.75" hidden="1" customHeight="1">
      <c r="A38" s="1705"/>
      <c r="B38" s="1705"/>
      <c r="C38" s="304" t="s">
        <v>1151</v>
      </c>
      <c r="D38" s="2340"/>
      <c r="E38" s="2140"/>
      <c r="F38" s="2283"/>
      <c r="G38" s="335"/>
      <c r="H38" s="1425"/>
      <c r="I38" s="586"/>
      <c r="J38" s="506"/>
      <c r="K38" s="1425"/>
      <c r="L38" s="150"/>
      <c r="M38" s="2109"/>
      <c r="N38" s="270"/>
      <c r="O38" s="1549"/>
      <c r="P38" s="1549"/>
      <c r="AH38" s="1556">
        <v>0</v>
      </c>
    </row>
    <row r="39" spans="1:34" s="1560" customFormat="1" ht="18.75" hidden="1" customHeight="1">
      <c r="A39" s="1705" t="s">
        <v>186</v>
      </c>
      <c r="B39" s="1705" t="s">
        <v>187</v>
      </c>
      <c r="C39" s="304"/>
      <c r="D39" s="2340"/>
      <c r="E39" s="2140"/>
      <c r="F39" s="2283" t="str">
        <f>INDEX(PT_DIFFERENTIATION_VTAR,MATCH(A39,PT_DIFFERENTIATION_VTAR_ID,0))</f>
        <v>Тарифы на услуги по передаче теплоносителя</v>
      </c>
      <c r="G39" s="2315" t="str">
        <f>INDEX(PT_DIFFERENTIATION_NTAR,MATCH(B39,PT_DIFFERENTIATION_NTAR_ID,0))</f>
        <v/>
      </c>
      <c r="H39" s="1786"/>
      <c r="I39" s="1664"/>
      <c r="J39" s="1698"/>
      <c r="K39" s="1789"/>
      <c r="L39" s="1786" t="s">
        <v>305</v>
      </c>
      <c r="M39" s="2109"/>
      <c r="N39" s="270"/>
      <c r="O39" s="1549"/>
      <c r="P39" s="1549"/>
      <c r="AH39" s="1556">
        <v>0</v>
      </c>
    </row>
    <row r="40" spans="1:34" s="1560" customFormat="1" ht="18.75" hidden="1" customHeight="1">
      <c r="A40" s="1705"/>
      <c r="B40" s="1705"/>
      <c r="C40" s="304" t="s">
        <v>1145</v>
      </c>
      <c r="D40" s="2340"/>
      <c r="E40" s="2140"/>
      <c r="F40" s="2283"/>
      <c r="G40" s="2315"/>
      <c r="H40" s="1425"/>
      <c r="I40" s="586" t="s">
        <v>1146</v>
      </c>
      <c r="J40" s="506"/>
      <c r="K40" s="1425"/>
      <c r="L40" s="150"/>
      <c r="M40" s="2109"/>
      <c r="N40" s="270"/>
      <c r="O40" s="1549"/>
      <c r="P40" s="1549"/>
      <c r="AH40" s="1556">
        <v>0</v>
      </c>
    </row>
    <row r="41" spans="1:34" s="1560" customFormat="1" ht="0.75" hidden="1" customHeight="1">
      <c r="A41" s="1705"/>
      <c r="B41" s="1705"/>
      <c r="C41" s="304" t="s">
        <v>1151</v>
      </c>
      <c r="D41" s="2340"/>
      <c r="E41" s="2140"/>
      <c r="F41" s="2283"/>
      <c r="G41" s="335"/>
      <c r="H41" s="1425"/>
      <c r="I41" s="586"/>
      <c r="J41" s="506"/>
      <c r="K41" s="1425"/>
      <c r="L41" s="150"/>
      <c r="M41" s="2109"/>
      <c r="N41" s="270"/>
      <c r="O41" s="1549"/>
      <c r="P41" s="1549"/>
      <c r="AH41" s="1556">
        <v>0</v>
      </c>
    </row>
    <row r="42" spans="1:34" s="1560" customFormat="1" ht="18.75" hidden="1" customHeight="1">
      <c r="A42" s="1705" t="s">
        <v>192</v>
      </c>
      <c r="B42" s="1705" t="s">
        <v>193</v>
      </c>
      <c r="C42" s="304"/>
      <c r="D42" s="2340"/>
      <c r="E42" s="2140"/>
      <c r="F42" s="2283" t="str">
        <f>INDEX(PT_DIFFERENTIATION_VTAR,MATCH(A42,PT_DIFFERENTIATION_VTAR_ID,0))</f>
        <v>Плата за услуги по поддержанию резервной тепловой мощности при отсутствии потребления тепловой энергии</v>
      </c>
      <c r="G42" s="2315" t="str">
        <f>INDEX(PT_DIFFERENTIATION_NTAR,MATCH(B42,PT_DIFFERENTIATION_NTAR_ID,0))</f>
        <v/>
      </c>
      <c r="H42" s="1786"/>
      <c r="I42" s="1664"/>
      <c r="J42" s="1698"/>
      <c r="K42" s="1789"/>
      <c r="L42" s="1786" t="s">
        <v>305</v>
      </c>
      <c r="M42" s="2109"/>
      <c r="N42" s="270"/>
      <c r="O42" s="1549"/>
      <c r="P42" s="1549"/>
      <c r="AH42" s="1556">
        <v>0</v>
      </c>
    </row>
    <row r="43" spans="1:34" s="1560" customFormat="1" ht="18.75" hidden="1" customHeight="1">
      <c r="A43" s="1705"/>
      <c r="B43" s="1705"/>
      <c r="C43" s="304" t="s">
        <v>1145</v>
      </c>
      <c r="D43" s="2340"/>
      <c r="E43" s="2140"/>
      <c r="F43" s="2283"/>
      <c r="G43" s="2315"/>
      <c r="H43" s="1425"/>
      <c r="I43" s="586" t="s">
        <v>1146</v>
      </c>
      <c r="J43" s="506"/>
      <c r="K43" s="1425"/>
      <c r="L43" s="150"/>
      <c r="M43" s="2109"/>
      <c r="N43" s="270"/>
      <c r="O43" s="1549"/>
      <c r="P43" s="1549"/>
      <c r="AH43" s="1556">
        <v>0</v>
      </c>
    </row>
    <row r="44" spans="1:34" s="1560" customFormat="1" ht="0.75" hidden="1" customHeight="1">
      <c r="A44" s="1705"/>
      <c r="B44" s="1705"/>
      <c r="C44" s="304" t="s">
        <v>1151</v>
      </c>
      <c r="D44" s="2340"/>
      <c r="E44" s="2140"/>
      <c r="F44" s="2283"/>
      <c r="G44" s="335"/>
      <c r="H44" s="1425"/>
      <c r="I44" s="586"/>
      <c r="J44" s="506"/>
      <c r="K44" s="1425"/>
      <c r="L44" s="150"/>
      <c r="M44" s="2109"/>
      <c r="N44" s="270"/>
      <c r="O44" s="1549"/>
      <c r="P44" s="1549"/>
      <c r="AH44" s="1556">
        <v>0</v>
      </c>
    </row>
    <row r="45" spans="1:34" s="1560" customFormat="1" ht="18.75" hidden="1" customHeight="1">
      <c r="A45" s="1705" t="s">
        <v>198</v>
      </c>
      <c r="B45" s="1705" t="s">
        <v>199</v>
      </c>
      <c r="C45" s="304"/>
      <c r="D45" s="2340"/>
      <c r="E45" s="2140"/>
      <c r="F45" s="2283" t="str">
        <f>INDEX(PT_DIFFERENTIATION_VTAR,MATCH(A45,PT_DIFFERENTIATION_VTAR_ID,0))</f>
        <v>Плата за подключение (технологическое присоединение) к системе теплоснабжения</v>
      </c>
      <c r="G45" s="2315" t="str">
        <f>INDEX(PT_DIFFERENTIATION_NTAR,MATCH(B45,PT_DIFFERENTIATION_NTAR_ID,0))</f>
        <v/>
      </c>
      <c r="H45" s="1786"/>
      <c r="I45" s="1664"/>
      <c r="J45" s="1698"/>
      <c r="K45" s="1789"/>
      <c r="L45" s="1786" t="s">
        <v>305</v>
      </c>
      <c r="M45" s="2109"/>
      <c r="N45" s="270"/>
      <c r="O45" s="1549"/>
      <c r="P45" s="1549"/>
      <c r="AH45" s="1556">
        <v>0</v>
      </c>
    </row>
    <row r="46" spans="1:34" s="1560" customFormat="1" ht="18.75" hidden="1" customHeight="1">
      <c r="A46" s="1705"/>
      <c r="B46" s="1705"/>
      <c r="C46" s="304" t="s">
        <v>1145</v>
      </c>
      <c r="D46" s="2340"/>
      <c r="E46" s="2140"/>
      <c r="F46" s="2283"/>
      <c r="G46" s="2315"/>
      <c r="H46" s="1425"/>
      <c r="I46" s="586" t="s">
        <v>1146</v>
      </c>
      <c r="J46" s="506"/>
      <c r="K46" s="1425"/>
      <c r="L46" s="150"/>
      <c r="M46" s="2109"/>
      <c r="N46" s="270"/>
      <c r="O46" s="1549"/>
      <c r="P46" s="1549"/>
      <c r="AH46" s="1556">
        <v>0</v>
      </c>
    </row>
    <row r="47" spans="1:34" s="1560" customFormat="1" ht="0.75" hidden="1" customHeight="1">
      <c r="A47" s="1705"/>
      <c r="B47" s="1705"/>
      <c r="C47" s="304" t="s">
        <v>1151</v>
      </c>
      <c r="D47" s="2340"/>
      <c r="E47" s="2140"/>
      <c r="F47" s="2283"/>
      <c r="G47" s="335"/>
      <c r="H47" s="1425"/>
      <c r="I47" s="586"/>
      <c r="J47" s="506"/>
      <c r="K47" s="1425"/>
      <c r="L47" s="150"/>
      <c r="M47" s="2109"/>
      <c r="N47" s="270"/>
      <c r="O47" s="1549"/>
      <c r="P47" s="1549"/>
      <c r="AH47" s="1556">
        <v>0</v>
      </c>
    </row>
    <row r="48" spans="1:34" s="1560" customFormat="1" ht="18.75" hidden="1" customHeight="1">
      <c r="A48" s="1705" t="s">
        <v>204</v>
      </c>
      <c r="B48" s="1705" t="s">
        <v>205</v>
      </c>
      <c r="C48" s="304"/>
      <c r="D48" s="2340"/>
      <c r="E48" s="2140"/>
      <c r="F48" s="2283" t="str">
        <f>INDEX(PT_DIFFERENTIATION_VTAR,MATCH(A48,PT_DIFFERENTIATION_VTAR_ID,0))</f>
        <v>Плата за подключение (технологическое присоединение) к системе теплоснабжения (индивидуальная)</v>
      </c>
      <c r="G48" s="2315" t="str">
        <f>INDEX(PT_DIFFERENTIATION_NTAR,MATCH(B48,PT_DIFFERENTIATION_NTAR_ID,0))</f>
        <v/>
      </c>
      <c r="H48" s="1910"/>
      <c r="I48" s="1664"/>
      <c r="J48" s="1698"/>
      <c r="K48" s="1789"/>
      <c r="L48" s="1910" t="s">
        <v>305</v>
      </c>
      <c r="M48" s="2109"/>
      <c r="N48" s="270"/>
      <c r="O48" s="1549"/>
      <c r="P48" s="1549"/>
      <c r="AH48" s="1556">
        <v>0</v>
      </c>
    </row>
    <row r="49" spans="1:34" s="1560" customFormat="1" ht="18.75" hidden="1" customHeight="1">
      <c r="A49" s="1705"/>
      <c r="B49" s="1705"/>
      <c r="C49" s="304" t="s">
        <v>1145</v>
      </c>
      <c r="D49" s="2340"/>
      <c r="E49" s="2140"/>
      <c r="F49" s="2283"/>
      <c r="G49" s="2315"/>
      <c r="H49" s="1425"/>
      <c r="I49" s="586" t="s">
        <v>1146</v>
      </c>
      <c r="J49" s="506"/>
      <c r="K49" s="1425"/>
      <c r="L49" s="150"/>
      <c r="M49" s="2109"/>
      <c r="N49" s="270"/>
      <c r="O49" s="1549"/>
      <c r="P49" s="1549"/>
      <c r="AH49" s="1556">
        <v>0</v>
      </c>
    </row>
    <row r="50" spans="1:34" s="1560" customFormat="1" ht="0.75" hidden="1" customHeight="1">
      <c r="A50" s="1705"/>
      <c r="B50" s="1705"/>
      <c r="C50" s="304" t="s">
        <v>1151</v>
      </c>
      <c r="D50" s="2340"/>
      <c r="E50" s="2140"/>
      <c r="F50" s="2283"/>
      <c r="G50" s="335"/>
      <c r="H50" s="1425"/>
      <c r="I50" s="586"/>
      <c r="J50" s="506"/>
      <c r="K50" s="1425"/>
      <c r="L50" s="150"/>
      <c r="M50" s="2109"/>
      <c r="N50" s="270"/>
      <c r="O50" s="1549"/>
      <c r="P50" s="1549"/>
      <c r="AH50" s="1556">
        <v>0</v>
      </c>
    </row>
    <row r="51" spans="1:34" s="1560" customFormat="1" ht="18.75" hidden="1" customHeight="1">
      <c r="A51" s="1705" t="s">
        <v>224</v>
      </c>
      <c r="B51" s="1705" t="s">
        <v>225</v>
      </c>
      <c r="C51" s="304"/>
      <c r="D51" s="2340"/>
      <c r="E51" s="2140"/>
      <c r="F51" s="2283" t="str">
        <f>INDEX(PT_DIFFERENTIATION_VTAR,MATCH(A51,PT_DIFFERENTIATION_VTAR_ID,0))</f>
        <v>Тариф на питьевую воду (питьевое водоснабжение)</v>
      </c>
      <c r="G51" s="2315" t="str">
        <f>INDEX(PT_DIFFERENTIATION_NTAR,MATCH(B51,PT_DIFFERENTIATION_NTAR_ID,0))</f>
        <v/>
      </c>
      <c r="H51" s="1786"/>
      <c r="I51" s="1664"/>
      <c r="J51" s="1698"/>
      <c r="K51" s="1789"/>
      <c r="L51" s="1786" t="s">
        <v>305</v>
      </c>
      <c r="M51" s="2109"/>
      <c r="N51" s="270"/>
      <c r="O51" s="1549"/>
      <c r="P51" s="1549"/>
      <c r="AH51" s="1556">
        <v>0</v>
      </c>
    </row>
    <row r="52" spans="1:34" s="1560" customFormat="1" ht="18.75" hidden="1" customHeight="1">
      <c r="A52" s="1705"/>
      <c r="B52" s="1705"/>
      <c r="C52" s="304" t="s">
        <v>1145</v>
      </c>
      <c r="D52" s="2340"/>
      <c r="E52" s="2140"/>
      <c r="F52" s="2283"/>
      <c r="G52" s="2315"/>
      <c r="H52" s="1425"/>
      <c r="I52" s="586" t="s">
        <v>1146</v>
      </c>
      <c r="J52" s="506"/>
      <c r="K52" s="1425"/>
      <c r="L52" s="150"/>
      <c r="M52" s="2109"/>
      <c r="N52" s="270"/>
      <c r="O52" s="1549"/>
      <c r="P52" s="1549"/>
      <c r="AH52" s="1556">
        <v>0</v>
      </c>
    </row>
    <row r="53" spans="1:34" s="1560" customFormat="1" ht="0.75" hidden="1" customHeight="1">
      <c r="A53" s="1705"/>
      <c r="B53" s="1705"/>
      <c r="C53" s="304" t="s">
        <v>1151</v>
      </c>
      <c r="D53" s="2340"/>
      <c r="E53" s="2140"/>
      <c r="F53" s="2283"/>
      <c r="G53" s="335"/>
      <c r="H53" s="1425"/>
      <c r="I53" s="586"/>
      <c r="J53" s="506"/>
      <c r="K53" s="1425"/>
      <c r="L53" s="150"/>
      <c r="M53" s="2109"/>
      <c r="N53" s="270"/>
      <c r="O53" s="1549"/>
      <c r="P53" s="1549"/>
      <c r="AH53" s="1556">
        <v>0</v>
      </c>
    </row>
    <row r="54" spans="1:34" s="1560" customFormat="1" ht="18.75" hidden="1" customHeight="1">
      <c r="A54" s="1705" t="s">
        <v>229</v>
      </c>
      <c r="B54" s="1705" t="s">
        <v>230</v>
      </c>
      <c r="C54" s="304"/>
      <c r="D54" s="2340"/>
      <c r="E54" s="2140"/>
      <c r="F54" s="2283" t="str">
        <f>INDEX(PT_DIFFERENTIATION_VTAR,MATCH(A54,PT_DIFFERENTIATION_VTAR_ID,0))</f>
        <v>Тариф на техническую воду</v>
      </c>
      <c r="G54" s="2315" t="str">
        <f>INDEX(PT_DIFFERENTIATION_NTAR,MATCH(B54,PT_DIFFERENTIATION_NTAR_ID,0))</f>
        <v/>
      </c>
      <c r="H54" s="1786"/>
      <c r="I54" s="1664"/>
      <c r="J54" s="1698"/>
      <c r="K54" s="1789"/>
      <c r="L54" s="1786" t="s">
        <v>305</v>
      </c>
      <c r="M54" s="2109"/>
      <c r="N54" s="270"/>
      <c r="O54" s="1549"/>
      <c r="P54" s="1549"/>
      <c r="AH54" s="1556">
        <v>0</v>
      </c>
    </row>
    <row r="55" spans="1:34" s="1560" customFormat="1" ht="18.75" hidden="1" customHeight="1">
      <c r="A55" s="1705"/>
      <c r="B55" s="1705"/>
      <c r="C55" s="304" t="s">
        <v>1145</v>
      </c>
      <c r="D55" s="2340"/>
      <c r="E55" s="2140"/>
      <c r="F55" s="2283"/>
      <c r="G55" s="2315"/>
      <c r="H55" s="1425"/>
      <c r="I55" s="586" t="s">
        <v>1146</v>
      </c>
      <c r="J55" s="506"/>
      <c r="K55" s="1425"/>
      <c r="L55" s="150"/>
      <c r="M55" s="2109"/>
      <c r="N55" s="270"/>
      <c r="O55" s="1549"/>
      <c r="P55" s="1549"/>
      <c r="AH55" s="1556">
        <v>0</v>
      </c>
    </row>
    <row r="56" spans="1:34" s="1560" customFormat="1" ht="0.75" hidden="1" customHeight="1">
      <c r="A56" s="1705"/>
      <c r="B56" s="1705"/>
      <c r="C56" s="304" t="s">
        <v>1151</v>
      </c>
      <c r="D56" s="2340"/>
      <c r="E56" s="2140"/>
      <c r="F56" s="2283"/>
      <c r="G56" s="335"/>
      <c r="H56" s="1425"/>
      <c r="I56" s="586"/>
      <c r="J56" s="506"/>
      <c r="K56" s="1425"/>
      <c r="L56" s="150"/>
      <c r="M56" s="2109"/>
      <c r="N56" s="270"/>
      <c r="O56" s="1549"/>
      <c r="P56" s="1549"/>
      <c r="AH56" s="1556">
        <v>0</v>
      </c>
    </row>
    <row r="57" spans="1:34" s="1560" customFormat="1" ht="18.75" hidden="1" customHeight="1">
      <c r="A57" s="1705" t="s">
        <v>234</v>
      </c>
      <c r="B57" s="1705" t="s">
        <v>235</v>
      </c>
      <c r="C57" s="304"/>
      <c r="D57" s="2340"/>
      <c r="E57" s="2140"/>
      <c r="F57" s="2283" t="str">
        <f>INDEX(PT_DIFFERENTIATION_VTAR,MATCH(A57,PT_DIFFERENTIATION_VTAR_ID,0))</f>
        <v>Тариф на транспортировку воды</v>
      </c>
      <c r="G57" s="2315" t="str">
        <f>INDEX(PT_DIFFERENTIATION_NTAR,MATCH(B57,PT_DIFFERENTIATION_NTAR_ID,0))</f>
        <v/>
      </c>
      <c r="H57" s="1786"/>
      <c r="I57" s="1664"/>
      <c r="J57" s="1698"/>
      <c r="K57" s="1789"/>
      <c r="L57" s="1786" t="s">
        <v>305</v>
      </c>
      <c r="M57" s="2109"/>
      <c r="N57" s="270"/>
      <c r="O57" s="1549"/>
      <c r="P57" s="1549"/>
      <c r="AH57" s="1556">
        <v>0</v>
      </c>
    </row>
    <row r="58" spans="1:34" s="1560" customFormat="1" ht="18.75" hidden="1" customHeight="1">
      <c r="A58" s="1705"/>
      <c r="B58" s="1705"/>
      <c r="C58" s="304" t="s">
        <v>1145</v>
      </c>
      <c r="D58" s="2340"/>
      <c r="E58" s="2140"/>
      <c r="F58" s="2283"/>
      <c r="G58" s="2315"/>
      <c r="H58" s="1425"/>
      <c r="I58" s="586" t="s">
        <v>1146</v>
      </c>
      <c r="J58" s="506"/>
      <c r="K58" s="1425"/>
      <c r="L58" s="150"/>
      <c r="M58" s="2109"/>
      <c r="N58" s="270"/>
      <c r="O58" s="1549"/>
      <c r="P58" s="1549"/>
      <c r="AH58" s="1556">
        <v>0</v>
      </c>
    </row>
    <row r="59" spans="1:34" s="1560" customFormat="1" ht="0.75" hidden="1" customHeight="1">
      <c r="A59" s="1705"/>
      <c r="B59" s="1705"/>
      <c r="C59" s="304" t="s">
        <v>1151</v>
      </c>
      <c r="D59" s="2340"/>
      <c r="E59" s="2140"/>
      <c r="F59" s="2283"/>
      <c r="G59" s="335"/>
      <c r="H59" s="1425"/>
      <c r="I59" s="586"/>
      <c r="J59" s="506"/>
      <c r="K59" s="1425"/>
      <c r="L59" s="150"/>
      <c r="M59" s="2109"/>
      <c r="N59" s="270"/>
      <c r="O59" s="1549"/>
      <c r="P59" s="1549"/>
      <c r="AH59" s="1556">
        <v>0</v>
      </c>
    </row>
    <row r="60" spans="1:34" s="1560" customFormat="1" ht="18.75" hidden="1" customHeight="1">
      <c r="A60" s="1705" t="s">
        <v>239</v>
      </c>
      <c r="B60" s="1705" t="s">
        <v>240</v>
      </c>
      <c r="C60" s="304"/>
      <c r="D60" s="2340"/>
      <c r="E60" s="2140"/>
      <c r="F60" s="2283" t="str">
        <f>INDEX(PT_DIFFERENTIATION_VTAR,MATCH(A60,PT_DIFFERENTIATION_VTAR_ID,0))</f>
        <v>Тариф на подвоз воды</v>
      </c>
      <c r="G60" s="2315" t="str">
        <f>INDEX(PT_DIFFERENTIATION_NTAR,MATCH(B60,PT_DIFFERENTIATION_NTAR_ID,0))</f>
        <v/>
      </c>
      <c r="H60" s="1786"/>
      <c r="I60" s="1664"/>
      <c r="J60" s="1698"/>
      <c r="K60" s="1789"/>
      <c r="L60" s="1786" t="s">
        <v>305</v>
      </c>
      <c r="M60" s="2109"/>
      <c r="N60" s="270"/>
      <c r="O60" s="1549"/>
      <c r="P60" s="1549"/>
      <c r="AH60" s="1556">
        <v>0</v>
      </c>
    </row>
    <row r="61" spans="1:34" s="1560" customFormat="1" ht="18.75" hidden="1" customHeight="1">
      <c r="A61" s="1705"/>
      <c r="B61" s="1705"/>
      <c r="C61" s="304" t="s">
        <v>1145</v>
      </c>
      <c r="D61" s="2340"/>
      <c r="E61" s="2140"/>
      <c r="F61" s="2283"/>
      <c r="G61" s="2315"/>
      <c r="H61" s="1425"/>
      <c r="I61" s="586" t="s">
        <v>1146</v>
      </c>
      <c r="J61" s="506"/>
      <c r="K61" s="1425"/>
      <c r="L61" s="150"/>
      <c r="M61" s="2109"/>
      <c r="N61" s="270"/>
      <c r="O61" s="1549"/>
      <c r="P61" s="1549"/>
      <c r="AH61" s="1556">
        <v>0</v>
      </c>
    </row>
    <row r="62" spans="1:34" s="1560" customFormat="1" ht="0.75" hidden="1" customHeight="1">
      <c r="A62" s="1705"/>
      <c r="B62" s="1705"/>
      <c r="C62" s="304" t="s">
        <v>1151</v>
      </c>
      <c r="D62" s="2340"/>
      <c r="E62" s="2140"/>
      <c r="F62" s="2283"/>
      <c r="G62" s="335"/>
      <c r="H62" s="1425"/>
      <c r="I62" s="586"/>
      <c r="J62" s="506"/>
      <c r="K62" s="1425"/>
      <c r="L62" s="150"/>
      <c r="M62" s="2109"/>
      <c r="N62" s="270"/>
      <c r="O62" s="1549"/>
      <c r="P62" s="1549"/>
      <c r="AH62" s="1556">
        <v>0</v>
      </c>
    </row>
    <row r="63" spans="1:34" s="1560" customFormat="1" ht="18.75" hidden="1" customHeight="1">
      <c r="A63" s="1705" t="s">
        <v>244</v>
      </c>
      <c r="B63" s="1705" t="s">
        <v>245</v>
      </c>
      <c r="C63" s="304"/>
      <c r="D63" s="2340"/>
      <c r="E63" s="2140"/>
      <c r="F63" s="2283" t="str">
        <f>INDEX(PT_DIFFERENTIATION_VTAR,MATCH(A63,PT_DIFFERENTIATION_VTAR_ID,0))</f>
        <v>Тариф на подключение (технологическое присоединение) к централизованной системе холодного водоснабжения</v>
      </c>
      <c r="G63" s="2315" t="str">
        <f>INDEX(PT_DIFFERENTIATION_NTAR,MATCH(B63,PT_DIFFERENTIATION_NTAR_ID,0))</f>
        <v/>
      </c>
      <c r="H63" s="1786"/>
      <c r="I63" s="1664"/>
      <c r="J63" s="1698"/>
      <c r="K63" s="1789"/>
      <c r="L63" s="1786" t="s">
        <v>305</v>
      </c>
      <c r="M63" s="2109"/>
      <c r="N63" s="270"/>
      <c r="O63" s="1549"/>
      <c r="P63" s="1549"/>
      <c r="AH63" s="1556">
        <v>0</v>
      </c>
    </row>
    <row r="64" spans="1:34" s="1560" customFormat="1" ht="18.75" hidden="1" customHeight="1">
      <c r="A64" s="1705"/>
      <c r="B64" s="1705"/>
      <c r="C64" s="304" t="s">
        <v>1145</v>
      </c>
      <c r="D64" s="2340"/>
      <c r="E64" s="2140"/>
      <c r="F64" s="2283"/>
      <c r="G64" s="2315"/>
      <c r="H64" s="1425"/>
      <c r="I64" s="586" t="s">
        <v>1146</v>
      </c>
      <c r="J64" s="506"/>
      <c r="K64" s="1425"/>
      <c r="L64" s="150"/>
      <c r="M64" s="2109"/>
      <c r="N64" s="270"/>
      <c r="O64" s="1549"/>
      <c r="P64" s="1549"/>
      <c r="AH64" s="1556">
        <v>0</v>
      </c>
    </row>
    <row r="65" spans="1:34" s="1560" customFormat="1" ht="0.75" hidden="1" customHeight="1">
      <c r="A65" s="1705"/>
      <c r="B65" s="1705"/>
      <c r="C65" s="304" t="s">
        <v>1151</v>
      </c>
      <c r="D65" s="2340"/>
      <c r="E65" s="2140"/>
      <c r="F65" s="2283"/>
      <c r="G65" s="335"/>
      <c r="H65" s="1425"/>
      <c r="I65" s="586"/>
      <c r="J65" s="506"/>
      <c r="K65" s="1425"/>
      <c r="L65" s="150"/>
      <c r="M65" s="2109"/>
      <c r="N65" s="270"/>
      <c r="O65" s="1549"/>
      <c r="P65" s="1549"/>
      <c r="AH65" s="1556">
        <v>0</v>
      </c>
    </row>
    <row r="66" spans="1:34" s="1560" customFormat="1" ht="18.75" hidden="1" customHeight="1">
      <c r="A66" s="1705" t="s">
        <v>249</v>
      </c>
      <c r="B66" s="1705" t="s">
        <v>250</v>
      </c>
      <c r="C66" s="304"/>
      <c r="D66" s="2340"/>
      <c r="E66" s="2140"/>
      <c r="F66" s="2283" t="str">
        <f>INDEX(PT_DIFFERENTIATION_VTAR,MATCH(A66,PT_DIFFERENTIATION_VTAR_ID,0))</f>
        <v>Тариф на горячую воду (горячее водоснабжение)</v>
      </c>
      <c r="G66" s="2315" t="str">
        <f>INDEX(PT_DIFFERENTIATION_NTAR,MATCH(B66,PT_DIFFERENTIATION_NTAR_ID,0))</f>
        <v/>
      </c>
      <c r="H66" s="1786"/>
      <c r="I66" s="1664"/>
      <c r="J66" s="1698"/>
      <c r="K66" s="1789"/>
      <c r="L66" s="1786" t="s">
        <v>305</v>
      </c>
      <c r="M66" s="2109"/>
      <c r="N66" s="270"/>
      <c r="O66" s="1549"/>
      <c r="P66" s="1549"/>
      <c r="AH66" s="1556">
        <v>0</v>
      </c>
    </row>
    <row r="67" spans="1:34" s="1560" customFormat="1" ht="18.75" hidden="1" customHeight="1">
      <c r="A67" s="1705"/>
      <c r="B67" s="1705"/>
      <c r="C67" s="304" t="s">
        <v>1145</v>
      </c>
      <c r="D67" s="2340"/>
      <c r="E67" s="2140"/>
      <c r="F67" s="2283"/>
      <c r="G67" s="2315"/>
      <c r="H67" s="1425"/>
      <c r="I67" s="586" t="s">
        <v>1146</v>
      </c>
      <c r="J67" s="506"/>
      <c r="K67" s="1425"/>
      <c r="L67" s="150"/>
      <c r="M67" s="2109"/>
      <c r="N67" s="270"/>
      <c r="O67" s="1549"/>
      <c r="P67" s="1549"/>
      <c r="AH67" s="1556">
        <v>0</v>
      </c>
    </row>
    <row r="68" spans="1:34" s="1560" customFormat="1" ht="0.75" hidden="1" customHeight="1">
      <c r="A68" s="1705"/>
      <c r="B68" s="1705"/>
      <c r="C68" s="304" t="s">
        <v>1151</v>
      </c>
      <c r="D68" s="2340"/>
      <c r="E68" s="2140"/>
      <c r="F68" s="2283"/>
      <c r="G68" s="335"/>
      <c r="H68" s="1425"/>
      <c r="I68" s="586"/>
      <c r="J68" s="506"/>
      <c r="K68" s="1425"/>
      <c r="L68" s="150"/>
      <c r="M68" s="2109"/>
      <c r="N68" s="270"/>
      <c r="O68" s="1549"/>
      <c r="P68" s="1549"/>
      <c r="AH68" s="1556">
        <v>0</v>
      </c>
    </row>
    <row r="69" spans="1:34" s="1560" customFormat="1" ht="18.75" hidden="1" customHeight="1">
      <c r="A69" s="1705" t="s">
        <v>254</v>
      </c>
      <c r="B69" s="1705" t="s">
        <v>255</v>
      </c>
      <c r="C69" s="304"/>
      <c r="D69" s="2340"/>
      <c r="E69" s="2140"/>
      <c r="F69" s="2283" t="str">
        <f>INDEX(PT_DIFFERENTIATION_VTAR,MATCH(A69,PT_DIFFERENTIATION_VTAR_ID,0))</f>
        <v>Тариф на транспортировку горячей воды</v>
      </c>
      <c r="G69" s="2315" t="str">
        <f>INDEX(PT_DIFFERENTIATION_NTAR,MATCH(B69,PT_DIFFERENTIATION_NTAR_ID,0))</f>
        <v/>
      </c>
      <c r="H69" s="1786"/>
      <c r="I69" s="1664"/>
      <c r="J69" s="1698"/>
      <c r="K69" s="1789"/>
      <c r="L69" s="1786" t="s">
        <v>305</v>
      </c>
      <c r="M69" s="2109"/>
      <c r="N69" s="270"/>
      <c r="O69" s="1549"/>
      <c r="P69" s="1549"/>
      <c r="AH69" s="1556">
        <v>0</v>
      </c>
    </row>
    <row r="70" spans="1:34" s="1560" customFormat="1" ht="18.75" hidden="1" customHeight="1">
      <c r="A70" s="1705"/>
      <c r="B70" s="1705"/>
      <c r="C70" s="304" t="s">
        <v>1145</v>
      </c>
      <c r="D70" s="2340"/>
      <c r="E70" s="2140"/>
      <c r="F70" s="2283"/>
      <c r="G70" s="2315"/>
      <c r="H70" s="1425"/>
      <c r="I70" s="586" t="s">
        <v>1146</v>
      </c>
      <c r="J70" s="506"/>
      <c r="K70" s="1425"/>
      <c r="L70" s="150"/>
      <c r="M70" s="2109"/>
      <c r="N70" s="270"/>
      <c r="O70" s="1549"/>
      <c r="P70" s="1549"/>
      <c r="AH70" s="1556">
        <v>0</v>
      </c>
    </row>
    <row r="71" spans="1:34" s="1560" customFormat="1" ht="0.75" hidden="1" customHeight="1">
      <c r="A71" s="1705"/>
      <c r="B71" s="1705"/>
      <c r="C71" s="304" t="s">
        <v>1151</v>
      </c>
      <c r="D71" s="2340"/>
      <c r="E71" s="2140"/>
      <c r="F71" s="2283"/>
      <c r="G71" s="335"/>
      <c r="H71" s="1425"/>
      <c r="I71" s="586"/>
      <c r="J71" s="506"/>
      <c r="K71" s="1425"/>
      <c r="L71" s="150"/>
      <c r="M71" s="2109"/>
      <c r="N71" s="270"/>
      <c r="O71" s="1549"/>
      <c r="P71" s="1549"/>
      <c r="AH71" s="1556">
        <v>0</v>
      </c>
    </row>
    <row r="72" spans="1:34" s="1560" customFormat="1" ht="18.75" hidden="1" customHeight="1">
      <c r="A72" s="1705" t="s">
        <v>259</v>
      </c>
      <c r="B72" s="1705" t="s">
        <v>260</v>
      </c>
      <c r="C72" s="304"/>
      <c r="D72" s="2340"/>
      <c r="E72" s="2140"/>
      <c r="F72" s="2283" t="str">
        <f>INDEX(PT_DIFFERENTIATION_VTAR,MATCH(A72,PT_DIFFERENTIATION_VTAR_ID,0))</f>
        <v>Тариф на подключение (технологическое присоединение) к централизованной системе горячего водоснабжения</v>
      </c>
      <c r="G72" s="2315" t="str">
        <f>INDEX(PT_DIFFERENTIATION_NTAR,MATCH(B72,PT_DIFFERENTIATION_NTAR_ID,0))</f>
        <v/>
      </c>
      <c r="H72" s="1786"/>
      <c r="I72" s="1664"/>
      <c r="J72" s="1698"/>
      <c r="K72" s="1789"/>
      <c r="L72" s="1786" t="s">
        <v>305</v>
      </c>
      <c r="M72" s="2109"/>
      <c r="N72" s="270"/>
      <c r="O72" s="1549"/>
      <c r="P72" s="1549"/>
      <c r="AH72" s="1556">
        <v>0</v>
      </c>
    </row>
    <row r="73" spans="1:34" s="1560" customFormat="1" ht="18.75" hidden="1" customHeight="1">
      <c r="A73" s="1705"/>
      <c r="B73" s="1705"/>
      <c r="C73" s="304" t="s">
        <v>1145</v>
      </c>
      <c r="D73" s="2340"/>
      <c r="E73" s="2140"/>
      <c r="F73" s="2283"/>
      <c r="G73" s="2315"/>
      <c r="H73" s="1425"/>
      <c r="I73" s="586" t="s">
        <v>1146</v>
      </c>
      <c r="J73" s="506"/>
      <c r="K73" s="1425"/>
      <c r="L73" s="150"/>
      <c r="M73" s="2109"/>
      <c r="N73" s="270"/>
      <c r="O73" s="1549"/>
      <c r="P73" s="1549"/>
      <c r="AH73" s="1556">
        <v>0</v>
      </c>
    </row>
    <row r="74" spans="1:34" s="1560" customFormat="1" ht="0.75" hidden="1" customHeight="1">
      <c r="A74" s="1705"/>
      <c r="B74" s="1705"/>
      <c r="C74" s="304" t="s">
        <v>1151</v>
      </c>
      <c r="D74" s="2340"/>
      <c r="E74" s="2140"/>
      <c r="F74" s="2283"/>
      <c r="G74" s="335"/>
      <c r="H74" s="1425"/>
      <c r="I74" s="586"/>
      <c r="J74" s="506"/>
      <c r="K74" s="1425"/>
      <c r="L74" s="150"/>
      <c r="M74" s="2109"/>
      <c r="N74" s="270"/>
      <c r="O74" s="1549"/>
      <c r="P74" s="1549"/>
      <c r="AH74" s="1556">
        <v>0</v>
      </c>
    </row>
    <row r="75" spans="1:34" s="1560" customFormat="1" ht="18.75" hidden="1" customHeight="1">
      <c r="A75" s="1705" t="s">
        <v>264</v>
      </c>
      <c r="B75" s="1705" t="s">
        <v>265</v>
      </c>
      <c r="C75" s="304"/>
      <c r="D75" s="2340"/>
      <c r="E75" s="2140"/>
      <c r="F75" s="2283" t="str">
        <f>INDEX(PT_DIFFERENTIATION_VTAR,MATCH(A75,PT_DIFFERENTIATION_VTAR_ID,0))</f>
        <v>Тариф на водоотведение</v>
      </c>
      <c r="G75" s="2315" t="str">
        <f>INDEX(PT_DIFFERENTIATION_NTAR,MATCH(B75,PT_DIFFERENTIATION_NTAR_ID,0))</f>
        <v/>
      </c>
      <c r="H75" s="1786"/>
      <c r="I75" s="1664"/>
      <c r="J75" s="1698"/>
      <c r="K75" s="1789"/>
      <c r="L75" s="1786" t="s">
        <v>305</v>
      </c>
      <c r="M75" s="2109"/>
      <c r="N75" s="270"/>
      <c r="O75" s="1549"/>
      <c r="P75" s="1549"/>
      <c r="AH75" s="1556">
        <v>0</v>
      </c>
    </row>
    <row r="76" spans="1:34" s="1560" customFormat="1" ht="18.75" hidden="1" customHeight="1">
      <c r="A76" s="1705"/>
      <c r="B76" s="1705"/>
      <c r="C76" s="304" t="s">
        <v>1145</v>
      </c>
      <c r="D76" s="2340"/>
      <c r="E76" s="2140"/>
      <c r="F76" s="2283"/>
      <c r="G76" s="2315"/>
      <c r="H76" s="1425"/>
      <c r="I76" s="586" t="s">
        <v>1146</v>
      </c>
      <c r="J76" s="506"/>
      <c r="K76" s="1425"/>
      <c r="L76" s="150"/>
      <c r="M76" s="2109"/>
      <c r="N76" s="270"/>
      <c r="O76" s="1549"/>
      <c r="P76" s="1549"/>
      <c r="AH76" s="1556">
        <v>0</v>
      </c>
    </row>
    <row r="77" spans="1:34" s="1560" customFormat="1" ht="0.75" hidden="1" customHeight="1">
      <c r="A77" s="1705"/>
      <c r="B77" s="1705"/>
      <c r="C77" s="304" t="s">
        <v>1151</v>
      </c>
      <c r="D77" s="2340"/>
      <c r="E77" s="2140"/>
      <c r="F77" s="2283"/>
      <c r="G77" s="335"/>
      <c r="H77" s="1425"/>
      <c r="I77" s="586"/>
      <c r="J77" s="506"/>
      <c r="K77" s="1425"/>
      <c r="L77" s="150"/>
      <c r="M77" s="2109"/>
      <c r="N77" s="270"/>
      <c r="O77" s="1549"/>
      <c r="P77" s="1549"/>
      <c r="AH77" s="1556">
        <v>0</v>
      </c>
    </row>
    <row r="78" spans="1:34" s="1560" customFormat="1" ht="18.75" hidden="1" customHeight="1">
      <c r="A78" s="1705" t="s">
        <v>269</v>
      </c>
      <c r="B78" s="1705" t="s">
        <v>270</v>
      </c>
      <c r="C78" s="304"/>
      <c r="D78" s="2340"/>
      <c r="E78" s="2140"/>
      <c r="F78" s="2283" t="str">
        <f>INDEX(PT_DIFFERENTIATION_VTAR,MATCH(A78,PT_DIFFERENTIATION_VTAR_ID,0))</f>
        <v>Тариф на транспортировку сточных вод</v>
      </c>
      <c r="G78" s="2315" t="str">
        <f>INDEX(PT_DIFFERENTIATION_NTAR,MATCH(B78,PT_DIFFERENTIATION_NTAR_ID,0))</f>
        <v/>
      </c>
      <c r="H78" s="1786"/>
      <c r="I78" s="1664"/>
      <c r="J78" s="1698"/>
      <c r="K78" s="1789"/>
      <c r="L78" s="1786" t="s">
        <v>305</v>
      </c>
      <c r="M78" s="2109"/>
      <c r="N78" s="270"/>
      <c r="O78" s="1549"/>
      <c r="P78" s="1549"/>
      <c r="AH78" s="1556">
        <v>0</v>
      </c>
    </row>
    <row r="79" spans="1:34" s="1560" customFormat="1" ht="18.75" hidden="1" customHeight="1">
      <c r="A79" s="1705"/>
      <c r="B79" s="1705"/>
      <c r="C79" s="304" t="s">
        <v>1145</v>
      </c>
      <c r="D79" s="2340"/>
      <c r="E79" s="2140"/>
      <c r="F79" s="2283"/>
      <c r="G79" s="2315"/>
      <c r="H79" s="1425"/>
      <c r="I79" s="586" t="s">
        <v>1146</v>
      </c>
      <c r="J79" s="506"/>
      <c r="K79" s="1425"/>
      <c r="L79" s="150"/>
      <c r="M79" s="2109"/>
      <c r="N79" s="270"/>
      <c r="O79" s="1549"/>
      <c r="P79" s="1549"/>
      <c r="AH79" s="1556">
        <v>0</v>
      </c>
    </row>
    <row r="80" spans="1:34" s="1560" customFormat="1" ht="0.75" hidden="1" customHeight="1">
      <c r="A80" s="1705"/>
      <c r="B80" s="1705"/>
      <c r="C80" s="304" t="s">
        <v>1151</v>
      </c>
      <c r="D80" s="2340"/>
      <c r="E80" s="2140"/>
      <c r="F80" s="2283"/>
      <c r="G80" s="335"/>
      <c r="H80" s="1425"/>
      <c r="I80" s="586"/>
      <c r="J80" s="506"/>
      <c r="K80" s="1425"/>
      <c r="L80" s="150"/>
      <c r="M80" s="2109"/>
      <c r="N80" s="270"/>
      <c r="O80" s="1549"/>
      <c r="P80" s="1549"/>
      <c r="AH80" s="1556">
        <v>0</v>
      </c>
    </row>
    <row r="81" spans="1:34" s="1560" customFormat="1" ht="18.75" hidden="1" customHeight="1">
      <c r="A81" s="1705" t="s">
        <v>274</v>
      </c>
      <c r="B81" s="1705" t="s">
        <v>275</v>
      </c>
      <c r="C81" s="304"/>
      <c r="D81" s="2340"/>
      <c r="E81" s="2140"/>
      <c r="F81" s="2283" t="str">
        <f>INDEX(PT_DIFFERENTIATION_VTAR,MATCH(A81,PT_DIFFERENTIATION_VTAR_ID,0))</f>
        <v>Тариф на подключение (технологическое присоединение) к централизованной системе водоотведения</v>
      </c>
      <c r="G81" s="2315" t="str">
        <f>INDEX(PT_DIFFERENTIATION_NTAR,MATCH(B81,PT_DIFFERENTIATION_NTAR_ID,0))</f>
        <v/>
      </c>
      <c r="H81" s="1786"/>
      <c r="I81" s="1664"/>
      <c r="J81" s="1698"/>
      <c r="K81" s="1789"/>
      <c r="L81" s="1786" t="s">
        <v>305</v>
      </c>
      <c r="M81" s="2109"/>
      <c r="N81" s="270"/>
      <c r="O81" s="1549"/>
      <c r="P81" s="1549"/>
      <c r="AH81" s="1556">
        <v>0</v>
      </c>
    </row>
    <row r="82" spans="1:34" s="1560" customFormat="1" ht="18.75" hidden="1" customHeight="1">
      <c r="A82" s="1705"/>
      <c r="B82" s="1705"/>
      <c r="C82" s="304" t="s">
        <v>1145</v>
      </c>
      <c r="D82" s="2340"/>
      <c r="E82" s="2140"/>
      <c r="F82" s="2283"/>
      <c r="G82" s="2315"/>
      <c r="H82" s="1425"/>
      <c r="I82" s="586" t="s">
        <v>1146</v>
      </c>
      <c r="J82" s="506"/>
      <c r="K82" s="1425"/>
      <c r="L82" s="150"/>
      <c r="M82" s="2109"/>
      <c r="N82" s="270"/>
      <c r="O82" s="1549"/>
      <c r="P82" s="1549"/>
      <c r="AH82" s="1556">
        <v>0</v>
      </c>
    </row>
    <row r="83" spans="1:34" s="1560" customFormat="1" ht="1.1499999999999999" customHeight="1">
      <c r="A83" s="1705"/>
      <c r="B83" s="1705"/>
      <c r="C83" s="304" t="s">
        <v>1151</v>
      </c>
      <c r="D83" s="2340"/>
      <c r="E83" s="2140"/>
      <c r="F83" s="2283"/>
      <c r="G83" s="335"/>
      <c r="H83" s="1425"/>
      <c r="I83" s="586"/>
      <c r="J83" s="506"/>
      <c r="K83" s="1425"/>
      <c r="L83" s="150"/>
      <c r="M83" s="2109"/>
      <c r="N83" s="270"/>
      <c r="O83" s="1549"/>
      <c r="P83" s="1549"/>
      <c r="AH83" s="1556">
        <v>1</v>
      </c>
    </row>
    <row r="84" spans="1:34" ht="19.899999999999999" customHeight="1">
      <c r="A84" s="1705"/>
      <c r="B84" s="1705"/>
      <c r="D84" s="311"/>
      <c r="E84" s="83" t="s">
        <v>110</v>
      </c>
      <c r="F84" s="2339" t="str">
        <f>"Долгосрочные параметры регулирования (в случае если их установление предусмотрено выбранным методом регулирования тарифов в сфере "&amp;TEMPLATE_SPHERE_RUS&amp;")"</f>
        <v>Долгосрочные параметры регулирования (в случае если их установление предусмотрено выбранным методом регулирования тарифов в сфере теплоснабжения)</v>
      </c>
      <c r="G84" s="2339"/>
      <c r="H84" s="2339"/>
      <c r="I84" s="2339"/>
      <c r="J84" s="2339"/>
      <c r="K84" s="2339"/>
      <c r="L84" s="2339"/>
      <c r="M84" s="233"/>
      <c r="N84" s="270"/>
      <c r="AH84" s="309">
        <v>19</v>
      </c>
    </row>
    <row r="85" spans="1:34" ht="35.65" customHeight="1">
      <c r="A85" s="1705"/>
      <c r="B85" s="1705"/>
      <c r="D85" s="311"/>
      <c r="E85" s="334"/>
      <c r="F85" s="134" t="s">
        <v>305</v>
      </c>
      <c r="G85" s="134" t="s">
        <v>305</v>
      </c>
      <c r="H85" s="2154" t="s">
        <v>305</v>
      </c>
      <c r="I85" s="2156"/>
      <c r="J85" s="134" t="s">
        <v>305</v>
      </c>
      <c r="K85" s="134" t="s">
        <v>305</v>
      </c>
      <c r="L85" s="336"/>
      <c r="M85" s="281" t="s">
        <v>1152</v>
      </c>
      <c r="N85" s="270"/>
      <c r="AH85" s="309">
        <v>34</v>
      </c>
    </row>
    <row r="86" spans="1:34" ht="19.899999999999999" customHeight="1">
      <c r="A86" s="1705"/>
      <c r="B86" s="1705"/>
      <c r="D86" s="311"/>
      <c r="E86" s="83" t="s">
        <v>90</v>
      </c>
      <c r="F86" s="2339" t="s">
        <v>1153</v>
      </c>
      <c r="G86" s="2339"/>
      <c r="H86" s="2339"/>
      <c r="I86" s="2339"/>
      <c r="J86" s="2339"/>
      <c r="K86" s="2339"/>
      <c r="L86" s="2339"/>
      <c r="M86" s="233"/>
      <c r="N86" s="270"/>
      <c r="AH86" s="309">
        <v>19</v>
      </c>
    </row>
    <row r="87" spans="1:34" s="1560" customFormat="1" ht="60.75" hidden="1" customHeight="1">
      <c r="A87" s="1705" t="s">
        <v>156</v>
      </c>
      <c r="B87" s="1705" t="s">
        <v>157</v>
      </c>
      <c r="C87" s="304"/>
      <c r="D87" s="2340"/>
      <c r="E87" s="2140"/>
      <c r="F87" s="2283" t="str">
        <f>INDEX(PT_DIFFERENTIATION_VTAR,MATCH(A87,PT_DIFFERENTIATION_VTAR_ID,0))</f>
        <v>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v>
      </c>
      <c r="G87" s="2315" t="str">
        <f>INDEX(PT_DIFFERENTIATION_NTAR,MATCH(B87,PT_DIFFERENTIATION_NTAR_ID,0))</f>
        <v/>
      </c>
      <c r="H87" s="1786"/>
      <c r="I87" s="1664"/>
      <c r="J87" s="1698"/>
      <c r="K87" s="1703"/>
      <c r="L87" s="1786" t="s">
        <v>305</v>
      </c>
      <c r="M87" s="2108" t="str">
        <f>"Значение в колонке «Вид тарифа» выбирается из перечня видов тарифов в сфере "&amp;TEMPLATE_SPHERE_RUS&amp;", предусмотренных законодательством в сфере "&amp;IF(TEMPLATE_SPHERE="HEAT","теплоснабжения","водоснабжения и водоотведения")&amp;".
Даты начала и окончания срока действия тарифов указываются в виде «ДД.ММ.ГГГГ».
"&amp;"Величина необходимой валовой выручки указывается в колонке «Информация» в тыс. руб.В случае дифференциации необходимой валовой выручки по видам тарифов и (или) по срокам действия тарифов информация указывается в отдельных строках."</f>
        <v>Значение в колонке «Вид тарифа» выбирается из перечня видов тарифов в сфере теплоснабжения, предусмотренных законодательством в сфере теплоснабжения.
Даты начала и окончания срока действия тарифов указываются в виде «ДД.ММ.ГГГГ».
Величина необходимой валовой выручки указывается в колонке «Информация» в тыс. руб.В случае дифференциации необходимой валовой выручки по видам тарифов и (или) по срокам действия тарифов информация указывается в отдельных строках.</v>
      </c>
      <c r="N87" s="270"/>
      <c r="O87" s="1549"/>
      <c r="P87" s="1549"/>
      <c r="AH87" s="1556">
        <v>0</v>
      </c>
    </row>
    <row r="88" spans="1:34" s="1560" customFormat="1" ht="18.75" hidden="1" customHeight="1">
      <c r="A88" s="1705"/>
      <c r="B88" s="1705"/>
      <c r="C88" s="304" t="s">
        <v>1147</v>
      </c>
      <c r="D88" s="2340"/>
      <c r="E88" s="2140"/>
      <c r="F88" s="2283"/>
      <c r="G88" s="2315"/>
      <c r="H88" s="1425"/>
      <c r="I88" s="586" t="s">
        <v>1146</v>
      </c>
      <c r="J88" s="506"/>
      <c r="K88" s="1425"/>
      <c r="L88" s="150"/>
      <c r="M88" s="2109"/>
      <c r="N88" s="270"/>
      <c r="O88" s="1549"/>
      <c r="P88" s="1549"/>
      <c r="AH88" s="1556">
        <v>0</v>
      </c>
    </row>
    <row r="89" spans="1:34" s="1560" customFormat="1" ht="0.75" hidden="1" customHeight="1">
      <c r="A89" s="1705"/>
      <c r="B89" s="1705"/>
      <c r="C89" s="304" t="s">
        <v>1154</v>
      </c>
      <c r="D89" s="2340"/>
      <c r="E89" s="2140"/>
      <c r="F89" s="2283"/>
      <c r="G89" s="335"/>
      <c r="H89" s="1425"/>
      <c r="I89" s="586"/>
      <c r="J89" s="506"/>
      <c r="K89" s="1425"/>
      <c r="L89" s="150"/>
      <c r="M89" s="2109"/>
      <c r="N89" s="270"/>
      <c r="O89" s="1549"/>
      <c r="P89" s="1549"/>
      <c r="AH89" s="1556">
        <v>0</v>
      </c>
    </row>
    <row r="90" spans="1:34" s="1560" customFormat="1" ht="45" hidden="1" customHeight="1">
      <c r="A90" s="1705" t="s">
        <v>161</v>
      </c>
      <c r="B90" s="1705" t="s">
        <v>162</v>
      </c>
      <c r="C90" s="304"/>
      <c r="D90" s="2340"/>
      <c r="E90" s="2140"/>
      <c r="F90" s="2283" t="str">
        <f>INDEX(PT_DIFFERENTIATION_VTAR,MATCH(A90,PT_DIFFERENTIATION_VTAR_ID,0))</f>
        <v/>
      </c>
      <c r="G90" s="2315" t="str">
        <f>INDEX(PT_DIFFERENTIATION_NTAR,MATCH(B90,PT_DIFFERENTIATION_NTAR_ID,0))</f>
        <v/>
      </c>
      <c r="H90" s="1786"/>
      <c r="I90" s="1664"/>
      <c r="J90" s="1698"/>
      <c r="K90" s="1703"/>
      <c r="L90" s="1786" t="s">
        <v>305</v>
      </c>
      <c r="M90" s="2110"/>
      <c r="N90" s="270"/>
      <c r="O90" s="1549"/>
      <c r="P90" s="1549"/>
      <c r="AH90" s="1556">
        <v>0</v>
      </c>
    </row>
    <row r="91" spans="1:34" s="1560" customFormat="1" ht="18.75" hidden="1" customHeight="1">
      <c r="A91" s="1705"/>
      <c r="B91" s="1705"/>
      <c r="C91" s="304" t="s">
        <v>1147</v>
      </c>
      <c r="D91" s="2340"/>
      <c r="E91" s="2140"/>
      <c r="F91" s="2283"/>
      <c r="G91" s="2315"/>
      <c r="H91" s="1425"/>
      <c r="I91" s="586" t="s">
        <v>1146</v>
      </c>
      <c r="J91" s="506"/>
      <c r="K91" s="1425"/>
      <c r="L91" s="150"/>
      <c r="M91" s="1785"/>
      <c r="N91" s="270"/>
      <c r="O91" s="1549"/>
      <c r="P91" s="1549"/>
      <c r="AH91" s="1556">
        <v>0</v>
      </c>
    </row>
    <row r="92" spans="1:34" s="1560" customFormat="1" ht="0.75" hidden="1" customHeight="1">
      <c r="A92" s="1705"/>
      <c r="B92" s="1705"/>
      <c r="C92" s="304" t="s">
        <v>1154</v>
      </c>
      <c r="D92" s="2340"/>
      <c r="E92" s="2140"/>
      <c r="F92" s="2283"/>
      <c r="G92" s="335"/>
      <c r="H92" s="1425"/>
      <c r="I92" s="586"/>
      <c r="J92" s="506"/>
      <c r="K92" s="1425"/>
      <c r="L92" s="150"/>
      <c r="M92" s="277"/>
      <c r="N92" s="270"/>
      <c r="O92" s="1549"/>
      <c r="P92" s="1549"/>
      <c r="AH92" s="1556">
        <v>0</v>
      </c>
    </row>
    <row r="93" spans="1:34" s="1560" customFormat="1" ht="45" hidden="1" customHeight="1">
      <c r="A93" s="1705" t="s">
        <v>168</v>
      </c>
      <c r="B93" s="1705" t="s">
        <v>169</v>
      </c>
      <c r="C93" s="304"/>
      <c r="D93" s="2340"/>
      <c r="E93" s="2140"/>
      <c r="F93" s="2283" t="str">
        <f>INDEX(PT_DIFFERENTIATION_VTAR,MATCH(A93,PT_DIFFERENTIATION_VTAR_ID,0))</f>
        <v>Тарифы на теплоноситель, поставляемый теплоснабжающими организациями потребителям, другим теплоснабжающим организациям</v>
      </c>
      <c r="G93" s="2315" t="str">
        <f>INDEX(PT_DIFFERENTIATION_NTAR,MATCH(B93,PT_DIFFERENTIATION_NTAR_ID,0))</f>
        <v/>
      </c>
      <c r="H93" s="1786"/>
      <c r="I93" s="1664"/>
      <c r="J93" s="1698"/>
      <c r="K93" s="1703"/>
      <c r="L93" s="1786" t="s">
        <v>305</v>
      </c>
      <c r="M93" s="277"/>
      <c r="N93" s="270"/>
      <c r="O93" s="1549"/>
      <c r="P93" s="1549"/>
      <c r="AH93" s="1556">
        <v>0</v>
      </c>
    </row>
    <row r="94" spans="1:34" s="1560" customFormat="1" ht="18.75" hidden="1" customHeight="1">
      <c r="A94" s="1705"/>
      <c r="B94" s="1705"/>
      <c r="C94" s="304" t="s">
        <v>1147</v>
      </c>
      <c r="D94" s="2340"/>
      <c r="E94" s="2140"/>
      <c r="F94" s="2283"/>
      <c r="G94" s="2315"/>
      <c r="H94" s="1425"/>
      <c r="I94" s="586" t="s">
        <v>1146</v>
      </c>
      <c r="J94" s="506"/>
      <c r="K94" s="1425"/>
      <c r="L94" s="150"/>
      <c r="M94" s="277"/>
      <c r="N94" s="270"/>
      <c r="O94" s="1549"/>
      <c r="P94" s="1549"/>
      <c r="AH94" s="1556">
        <v>0</v>
      </c>
    </row>
    <row r="95" spans="1:34" s="1560" customFormat="1" ht="0.75" hidden="1" customHeight="1">
      <c r="A95" s="1705"/>
      <c r="B95" s="1705"/>
      <c r="C95" s="304" t="s">
        <v>1154</v>
      </c>
      <c r="D95" s="2340"/>
      <c r="E95" s="2140"/>
      <c r="F95" s="2283"/>
      <c r="G95" s="335"/>
      <c r="H95" s="1425"/>
      <c r="I95" s="586"/>
      <c r="J95" s="506"/>
      <c r="K95" s="1425"/>
      <c r="L95" s="150"/>
      <c r="M95" s="277"/>
      <c r="N95" s="270"/>
      <c r="O95" s="1549"/>
      <c r="P95" s="1549"/>
      <c r="AH95" s="1556">
        <v>0</v>
      </c>
    </row>
    <row r="96" spans="1:34" s="1560" customFormat="1" ht="45" hidden="1" customHeight="1">
      <c r="A96" s="1705" t="s">
        <v>174</v>
      </c>
      <c r="B96" s="1705" t="s">
        <v>175</v>
      </c>
      <c r="C96" s="304"/>
      <c r="D96" s="2340"/>
      <c r="E96" s="2140"/>
      <c r="F96" s="2283" t="str">
        <f>INDEX(PT_DIFFERENTIATION_VTAR,MATCH(A96,PT_DIFFERENTIATION_VTAR_ID,0))</f>
        <v>Тарифы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v>
      </c>
      <c r="G96" s="2315" t="str">
        <f>INDEX(PT_DIFFERENTIATION_NTAR,MATCH(B96,PT_DIFFERENTIATION_NTAR_ID,0))</f>
        <v/>
      </c>
      <c r="H96" s="1786"/>
      <c r="I96" s="1664"/>
      <c r="J96" s="1698"/>
      <c r="K96" s="1703"/>
      <c r="L96" s="1786" t="s">
        <v>305</v>
      </c>
      <c r="M96" s="277"/>
      <c r="N96" s="270"/>
      <c r="O96" s="1549"/>
      <c r="P96" s="1549"/>
      <c r="AH96" s="1556">
        <v>0</v>
      </c>
    </row>
    <row r="97" spans="1:34" s="1560" customFormat="1" ht="18.75" hidden="1" customHeight="1">
      <c r="A97" s="1705"/>
      <c r="B97" s="1705"/>
      <c r="C97" s="304" t="s">
        <v>1147</v>
      </c>
      <c r="D97" s="2340"/>
      <c r="E97" s="2140"/>
      <c r="F97" s="2283"/>
      <c r="G97" s="2315"/>
      <c r="H97" s="1425"/>
      <c r="I97" s="586" t="s">
        <v>1146</v>
      </c>
      <c r="J97" s="506"/>
      <c r="K97" s="1425"/>
      <c r="L97" s="150"/>
      <c r="M97" s="277"/>
      <c r="N97" s="270"/>
      <c r="O97" s="1549"/>
      <c r="P97" s="1549"/>
      <c r="AH97" s="1556">
        <v>0</v>
      </c>
    </row>
    <row r="98" spans="1:34" s="1560" customFormat="1" ht="0.75" hidden="1" customHeight="1">
      <c r="A98" s="1705"/>
      <c r="B98" s="1705"/>
      <c r="C98" s="304" t="s">
        <v>1154</v>
      </c>
      <c r="D98" s="2340"/>
      <c r="E98" s="2140"/>
      <c r="F98" s="2283"/>
      <c r="G98" s="335"/>
      <c r="H98" s="1425"/>
      <c r="I98" s="586"/>
      <c r="J98" s="506"/>
      <c r="K98" s="1425"/>
      <c r="L98" s="150"/>
      <c r="M98" s="277"/>
      <c r="N98" s="270"/>
      <c r="O98" s="1549"/>
      <c r="P98" s="1549"/>
      <c r="AH98" s="1556">
        <v>0</v>
      </c>
    </row>
    <row r="99" spans="1:34" s="1560" customFormat="1" ht="18.75" hidden="1" customHeight="1">
      <c r="A99" s="1705" t="s">
        <v>180</v>
      </c>
      <c r="B99" s="1705" t="s">
        <v>181</v>
      </c>
      <c r="C99" s="304"/>
      <c r="D99" s="2340"/>
      <c r="E99" s="2140"/>
      <c r="F99" s="2283" t="str">
        <f>INDEX(PT_DIFFERENTIATION_VTAR,MATCH(A99,PT_DIFFERENTIATION_VTAR_ID,0))</f>
        <v>Тарифы на услуги по передаче тепловой энергии</v>
      </c>
      <c r="G99" s="2315" t="str">
        <f>INDEX(PT_DIFFERENTIATION_NTAR,MATCH(B99,PT_DIFFERENTIATION_NTAR_ID,0))</f>
        <v/>
      </c>
      <c r="H99" s="1786"/>
      <c r="I99" s="1664"/>
      <c r="J99" s="1698"/>
      <c r="K99" s="1703"/>
      <c r="L99" s="1786" t="s">
        <v>305</v>
      </c>
      <c r="M99" s="277"/>
      <c r="N99" s="270"/>
      <c r="O99" s="1549"/>
      <c r="P99" s="1549"/>
      <c r="AH99" s="1556">
        <v>0</v>
      </c>
    </row>
    <row r="100" spans="1:34" s="1560" customFormat="1" ht="18.75" hidden="1" customHeight="1">
      <c r="A100" s="1705"/>
      <c r="B100" s="1705"/>
      <c r="C100" s="304" t="s">
        <v>1147</v>
      </c>
      <c r="D100" s="2340"/>
      <c r="E100" s="2140"/>
      <c r="F100" s="2283"/>
      <c r="G100" s="2315"/>
      <c r="H100" s="1425"/>
      <c r="I100" s="586" t="s">
        <v>1146</v>
      </c>
      <c r="J100" s="506"/>
      <c r="K100" s="1425"/>
      <c r="L100" s="150"/>
      <c r="M100" s="277"/>
      <c r="N100" s="270"/>
      <c r="O100" s="1549"/>
      <c r="P100" s="1549"/>
      <c r="AH100" s="1556">
        <v>0</v>
      </c>
    </row>
    <row r="101" spans="1:34" s="1560" customFormat="1" ht="0.75" hidden="1" customHeight="1">
      <c r="A101" s="1705"/>
      <c r="B101" s="1705"/>
      <c r="C101" s="304" t="s">
        <v>1154</v>
      </c>
      <c r="D101" s="2340"/>
      <c r="E101" s="2140"/>
      <c r="F101" s="2283"/>
      <c r="G101" s="335"/>
      <c r="H101" s="1425"/>
      <c r="I101" s="586"/>
      <c r="J101" s="506"/>
      <c r="K101" s="1425"/>
      <c r="L101" s="150"/>
      <c r="M101" s="277"/>
      <c r="N101" s="270"/>
      <c r="O101" s="1549"/>
      <c r="P101" s="1549"/>
      <c r="AH101" s="1556">
        <v>0</v>
      </c>
    </row>
    <row r="102" spans="1:34" s="1560" customFormat="1" ht="18.75" hidden="1" customHeight="1">
      <c r="A102" s="1705" t="s">
        <v>186</v>
      </c>
      <c r="B102" s="1705" t="s">
        <v>187</v>
      </c>
      <c r="C102" s="304"/>
      <c r="D102" s="2340"/>
      <c r="E102" s="2140"/>
      <c r="F102" s="2283" t="str">
        <f>INDEX(PT_DIFFERENTIATION_VTAR,MATCH(A102,PT_DIFFERENTIATION_VTAR_ID,0))</f>
        <v>Тарифы на услуги по передаче теплоносителя</v>
      </c>
      <c r="G102" s="2315" t="str">
        <f>INDEX(PT_DIFFERENTIATION_NTAR,MATCH(B102,PT_DIFFERENTIATION_NTAR_ID,0))</f>
        <v/>
      </c>
      <c r="H102" s="1786"/>
      <c r="I102" s="1664"/>
      <c r="J102" s="1698"/>
      <c r="K102" s="1703"/>
      <c r="L102" s="1786" t="s">
        <v>305</v>
      </c>
      <c r="M102" s="277"/>
      <c r="N102" s="270"/>
      <c r="O102" s="1549"/>
      <c r="P102" s="1549"/>
      <c r="AH102" s="1556">
        <v>0</v>
      </c>
    </row>
    <row r="103" spans="1:34" s="1560" customFormat="1" ht="18.75" hidden="1" customHeight="1">
      <c r="A103" s="1705"/>
      <c r="B103" s="1705"/>
      <c r="C103" s="304" t="s">
        <v>1147</v>
      </c>
      <c r="D103" s="2340"/>
      <c r="E103" s="2140"/>
      <c r="F103" s="2283"/>
      <c r="G103" s="2315"/>
      <c r="H103" s="1425"/>
      <c r="I103" s="586" t="s">
        <v>1146</v>
      </c>
      <c r="J103" s="506"/>
      <c r="K103" s="1425"/>
      <c r="L103" s="150"/>
      <c r="M103" s="277"/>
      <c r="N103" s="270"/>
      <c r="O103" s="1549"/>
      <c r="P103" s="1549"/>
      <c r="AH103" s="1556">
        <v>0</v>
      </c>
    </row>
    <row r="104" spans="1:34" s="1560" customFormat="1" ht="0.75" hidden="1" customHeight="1">
      <c r="A104" s="1705"/>
      <c r="B104" s="1705"/>
      <c r="C104" s="304" t="s">
        <v>1154</v>
      </c>
      <c r="D104" s="2340"/>
      <c r="E104" s="2140"/>
      <c r="F104" s="2283"/>
      <c r="G104" s="335"/>
      <c r="H104" s="1425"/>
      <c r="I104" s="586"/>
      <c r="J104" s="506"/>
      <c r="K104" s="1425"/>
      <c r="L104" s="150"/>
      <c r="M104" s="277"/>
      <c r="N104" s="270"/>
      <c r="O104" s="1549"/>
      <c r="P104" s="1549"/>
      <c r="AH104" s="1556">
        <v>0</v>
      </c>
    </row>
    <row r="105" spans="1:34" s="1560" customFormat="1" ht="18.75" hidden="1" customHeight="1">
      <c r="A105" s="1705" t="s">
        <v>192</v>
      </c>
      <c r="B105" s="1705" t="s">
        <v>193</v>
      </c>
      <c r="C105" s="304"/>
      <c r="D105" s="2340"/>
      <c r="E105" s="2140"/>
      <c r="F105" s="2283" t="str">
        <f>INDEX(PT_DIFFERENTIATION_VTAR,MATCH(A105,PT_DIFFERENTIATION_VTAR_ID,0))</f>
        <v>Плата за услуги по поддержанию резервной тепловой мощности при отсутствии потребления тепловой энергии</v>
      </c>
      <c r="G105" s="2315" t="str">
        <f>INDEX(PT_DIFFERENTIATION_NTAR,MATCH(B105,PT_DIFFERENTIATION_NTAR_ID,0))</f>
        <v/>
      </c>
      <c r="H105" s="1786"/>
      <c r="I105" s="1664"/>
      <c r="J105" s="1698"/>
      <c r="K105" s="1703"/>
      <c r="L105" s="1786" t="s">
        <v>305</v>
      </c>
      <c r="M105" s="277"/>
      <c r="N105" s="270"/>
      <c r="O105" s="1549"/>
      <c r="P105" s="1549"/>
      <c r="AH105" s="1556">
        <v>0</v>
      </c>
    </row>
    <row r="106" spans="1:34" s="1560" customFormat="1" ht="18.75" hidden="1" customHeight="1">
      <c r="A106" s="1705"/>
      <c r="B106" s="1705"/>
      <c r="C106" s="304" t="s">
        <v>1147</v>
      </c>
      <c r="D106" s="2340"/>
      <c r="E106" s="2140"/>
      <c r="F106" s="2283"/>
      <c r="G106" s="2315"/>
      <c r="H106" s="1425"/>
      <c r="I106" s="586" t="s">
        <v>1146</v>
      </c>
      <c r="J106" s="506"/>
      <c r="K106" s="1425"/>
      <c r="L106" s="150"/>
      <c r="M106" s="277"/>
      <c r="N106" s="270"/>
      <c r="O106" s="1549"/>
      <c r="P106" s="1549"/>
      <c r="AH106" s="1556">
        <v>0</v>
      </c>
    </row>
    <row r="107" spans="1:34" s="1560" customFormat="1" ht="0.75" hidden="1" customHeight="1">
      <c r="A107" s="1705"/>
      <c r="B107" s="1705"/>
      <c r="C107" s="304" t="s">
        <v>1154</v>
      </c>
      <c r="D107" s="2340"/>
      <c r="E107" s="2140"/>
      <c r="F107" s="2283"/>
      <c r="G107" s="335"/>
      <c r="H107" s="1425"/>
      <c r="I107" s="586"/>
      <c r="J107" s="506"/>
      <c r="K107" s="1425"/>
      <c r="L107" s="150"/>
      <c r="M107" s="277"/>
      <c r="N107" s="270"/>
      <c r="O107" s="1549"/>
      <c r="P107" s="1549"/>
      <c r="AH107" s="1556">
        <v>0</v>
      </c>
    </row>
    <row r="108" spans="1:34" s="1560" customFormat="1" ht="18.75" hidden="1" customHeight="1">
      <c r="A108" s="1705" t="s">
        <v>198</v>
      </c>
      <c r="B108" s="1705" t="s">
        <v>199</v>
      </c>
      <c r="C108" s="304"/>
      <c r="D108" s="2340"/>
      <c r="E108" s="2140"/>
      <c r="F108" s="2283" t="str">
        <f>INDEX(PT_DIFFERENTIATION_VTAR,MATCH(A108,PT_DIFFERENTIATION_VTAR_ID,0))</f>
        <v>Плата за подключение (технологическое присоединение) к системе теплоснабжения</v>
      </c>
      <c r="G108" s="2315" t="str">
        <f>INDEX(PT_DIFFERENTIATION_NTAR,MATCH(B108,PT_DIFFERENTIATION_NTAR_ID,0))</f>
        <v/>
      </c>
      <c r="H108" s="1786"/>
      <c r="I108" s="1664"/>
      <c r="J108" s="1698"/>
      <c r="K108" s="1703"/>
      <c r="L108" s="1786" t="s">
        <v>305</v>
      </c>
      <c r="M108" s="277"/>
      <c r="N108" s="270"/>
      <c r="O108" s="1549"/>
      <c r="P108" s="1549"/>
      <c r="AH108" s="1556">
        <v>0</v>
      </c>
    </row>
    <row r="109" spans="1:34" s="1560" customFormat="1" ht="18.75" hidden="1" customHeight="1">
      <c r="A109" s="1705"/>
      <c r="B109" s="1705"/>
      <c r="C109" s="304" t="s">
        <v>1147</v>
      </c>
      <c r="D109" s="2340"/>
      <c r="E109" s="2140"/>
      <c r="F109" s="2283"/>
      <c r="G109" s="2315"/>
      <c r="H109" s="1425"/>
      <c r="I109" s="586" t="s">
        <v>1146</v>
      </c>
      <c r="J109" s="506"/>
      <c r="K109" s="1425"/>
      <c r="L109" s="150"/>
      <c r="M109" s="277"/>
      <c r="N109" s="270"/>
      <c r="O109" s="1549"/>
      <c r="P109" s="1549"/>
      <c r="AH109" s="1556">
        <v>0</v>
      </c>
    </row>
    <row r="110" spans="1:34" s="1560" customFormat="1" ht="0.75" hidden="1" customHeight="1">
      <c r="A110" s="1705"/>
      <c r="B110" s="1705"/>
      <c r="C110" s="304" t="s">
        <v>1154</v>
      </c>
      <c r="D110" s="2340"/>
      <c r="E110" s="2140"/>
      <c r="F110" s="2283"/>
      <c r="G110" s="335"/>
      <c r="H110" s="1425"/>
      <c r="I110" s="586"/>
      <c r="J110" s="506"/>
      <c r="K110" s="1425"/>
      <c r="L110" s="150"/>
      <c r="M110" s="277"/>
      <c r="N110" s="270"/>
      <c r="O110" s="1549"/>
      <c r="P110" s="1549"/>
      <c r="AH110" s="1556">
        <v>0</v>
      </c>
    </row>
    <row r="111" spans="1:34" s="1560" customFormat="1" ht="18.75" hidden="1" customHeight="1">
      <c r="A111" s="1705" t="s">
        <v>204</v>
      </c>
      <c r="B111" s="1705" t="s">
        <v>205</v>
      </c>
      <c r="C111" s="304"/>
      <c r="D111" s="2340"/>
      <c r="E111" s="2140"/>
      <c r="F111" s="2283" t="str">
        <f>INDEX(PT_DIFFERENTIATION_VTAR,MATCH(A111,PT_DIFFERENTIATION_VTAR_ID,0))</f>
        <v>Плата за подключение (технологическое присоединение) к системе теплоснабжения (индивидуальная)</v>
      </c>
      <c r="G111" s="2315" t="str">
        <f>INDEX(PT_DIFFERENTIATION_NTAR,MATCH(B111,PT_DIFFERENTIATION_NTAR_ID,0))</f>
        <v/>
      </c>
      <c r="H111" s="1910"/>
      <c r="I111" s="1664"/>
      <c r="J111" s="1698"/>
      <c r="K111" s="1703"/>
      <c r="L111" s="1910" t="s">
        <v>305</v>
      </c>
      <c r="M111" s="277"/>
      <c r="N111" s="270"/>
      <c r="O111" s="1549"/>
      <c r="P111" s="1549"/>
      <c r="AH111" s="1556">
        <v>0</v>
      </c>
    </row>
    <row r="112" spans="1:34" s="1560" customFormat="1" ht="18.75" hidden="1" customHeight="1">
      <c r="A112" s="1705"/>
      <c r="B112" s="1705"/>
      <c r="C112" s="304" t="s">
        <v>1147</v>
      </c>
      <c r="D112" s="2340"/>
      <c r="E112" s="2140"/>
      <c r="F112" s="2283"/>
      <c r="G112" s="2315"/>
      <c r="H112" s="1425"/>
      <c r="I112" s="586" t="s">
        <v>1146</v>
      </c>
      <c r="J112" s="506"/>
      <c r="K112" s="1425"/>
      <c r="L112" s="150"/>
      <c r="M112" s="277"/>
      <c r="N112" s="270"/>
      <c r="O112" s="1549"/>
      <c r="P112" s="1549"/>
      <c r="AH112" s="1556">
        <v>0</v>
      </c>
    </row>
    <row r="113" spans="1:34" s="1560" customFormat="1" ht="0.75" hidden="1" customHeight="1">
      <c r="A113" s="1705"/>
      <c r="B113" s="1705"/>
      <c r="C113" s="304" t="s">
        <v>1154</v>
      </c>
      <c r="D113" s="2340"/>
      <c r="E113" s="2140"/>
      <c r="F113" s="2283"/>
      <c r="G113" s="335"/>
      <c r="H113" s="1425"/>
      <c r="I113" s="586"/>
      <c r="J113" s="506"/>
      <c r="K113" s="1425"/>
      <c r="L113" s="150"/>
      <c r="M113" s="277"/>
      <c r="N113" s="270"/>
      <c r="O113" s="1549"/>
      <c r="P113" s="1549"/>
      <c r="AH113" s="1556">
        <v>0</v>
      </c>
    </row>
    <row r="114" spans="1:34" s="1560" customFormat="1" ht="18.75" hidden="1" customHeight="1">
      <c r="A114" s="1705" t="s">
        <v>224</v>
      </c>
      <c r="B114" s="1705" t="s">
        <v>225</v>
      </c>
      <c r="C114" s="304"/>
      <c r="D114" s="2340"/>
      <c r="E114" s="2140"/>
      <c r="F114" s="2283" t="str">
        <f>INDEX(PT_DIFFERENTIATION_VTAR,MATCH(A114,PT_DIFFERENTIATION_VTAR_ID,0))</f>
        <v>Тариф на питьевую воду (питьевое водоснабжение)</v>
      </c>
      <c r="G114" s="2315" t="str">
        <f>INDEX(PT_DIFFERENTIATION_NTAR,MATCH(B114,PT_DIFFERENTIATION_NTAR_ID,0))</f>
        <v/>
      </c>
      <c r="H114" s="1786"/>
      <c r="I114" s="1664"/>
      <c r="J114" s="1698"/>
      <c r="K114" s="1703"/>
      <c r="L114" s="1786" t="s">
        <v>305</v>
      </c>
      <c r="M114" s="277"/>
      <c r="N114" s="270"/>
      <c r="O114" s="1549"/>
      <c r="P114" s="1549"/>
      <c r="AH114" s="1556">
        <v>0</v>
      </c>
    </row>
    <row r="115" spans="1:34" s="1560" customFormat="1" ht="18.75" hidden="1" customHeight="1">
      <c r="A115" s="1705"/>
      <c r="B115" s="1705"/>
      <c r="C115" s="304" t="s">
        <v>1147</v>
      </c>
      <c r="D115" s="2340"/>
      <c r="E115" s="2140"/>
      <c r="F115" s="2283"/>
      <c r="G115" s="2315"/>
      <c r="H115" s="1425"/>
      <c r="I115" s="586" t="s">
        <v>1146</v>
      </c>
      <c r="J115" s="506"/>
      <c r="K115" s="1425"/>
      <c r="L115" s="150"/>
      <c r="M115" s="277"/>
      <c r="N115" s="270"/>
      <c r="O115" s="1549"/>
      <c r="P115" s="1549"/>
      <c r="AH115" s="1556">
        <v>0</v>
      </c>
    </row>
    <row r="116" spans="1:34" s="1560" customFormat="1" ht="0.75" hidden="1" customHeight="1">
      <c r="A116" s="1705"/>
      <c r="B116" s="1705"/>
      <c r="C116" s="304" t="s">
        <v>1154</v>
      </c>
      <c r="D116" s="2340"/>
      <c r="E116" s="2140"/>
      <c r="F116" s="2283"/>
      <c r="G116" s="335"/>
      <c r="H116" s="1425"/>
      <c r="I116" s="586"/>
      <c r="J116" s="506"/>
      <c r="K116" s="1425"/>
      <c r="L116" s="150"/>
      <c r="M116" s="277"/>
      <c r="N116" s="270"/>
      <c r="O116" s="1549"/>
      <c r="P116" s="1549"/>
      <c r="AH116" s="1556">
        <v>0</v>
      </c>
    </row>
    <row r="117" spans="1:34" s="1560" customFormat="1" ht="18.75" hidden="1" customHeight="1">
      <c r="A117" s="1705" t="s">
        <v>229</v>
      </c>
      <c r="B117" s="1705" t="s">
        <v>230</v>
      </c>
      <c r="C117" s="304"/>
      <c r="D117" s="2340"/>
      <c r="E117" s="2140"/>
      <c r="F117" s="2283" t="str">
        <f>INDEX(PT_DIFFERENTIATION_VTAR,MATCH(A117,PT_DIFFERENTIATION_VTAR_ID,0))</f>
        <v>Тариф на техническую воду</v>
      </c>
      <c r="G117" s="2315" t="str">
        <f>INDEX(PT_DIFFERENTIATION_NTAR,MATCH(B117,PT_DIFFERENTIATION_NTAR_ID,0))</f>
        <v/>
      </c>
      <c r="H117" s="1786"/>
      <c r="I117" s="1664"/>
      <c r="J117" s="1698"/>
      <c r="K117" s="1703"/>
      <c r="L117" s="1786" t="s">
        <v>305</v>
      </c>
      <c r="M117" s="277"/>
      <c r="N117" s="270"/>
      <c r="O117" s="1549"/>
      <c r="P117" s="1549"/>
      <c r="AH117" s="1556">
        <v>0</v>
      </c>
    </row>
    <row r="118" spans="1:34" s="1560" customFormat="1" ht="18.75" hidden="1" customHeight="1">
      <c r="A118" s="1705"/>
      <c r="B118" s="1705"/>
      <c r="C118" s="304" t="s">
        <v>1147</v>
      </c>
      <c r="D118" s="2340"/>
      <c r="E118" s="2140"/>
      <c r="F118" s="2283"/>
      <c r="G118" s="2315"/>
      <c r="H118" s="1425"/>
      <c r="I118" s="586" t="s">
        <v>1146</v>
      </c>
      <c r="J118" s="506"/>
      <c r="K118" s="1425"/>
      <c r="L118" s="150"/>
      <c r="M118" s="277"/>
      <c r="N118" s="270"/>
      <c r="O118" s="1549"/>
      <c r="P118" s="1549"/>
      <c r="AH118" s="1556">
        <v>0</v>
      </c>
    </row>
    <row r="119" spans="1:34" s="1560" customFormat="1" ht="0.75" hidden="1" customHeight="1">
      <c r="A119" s="1705"/>
      <c r="B119" s="1705"/>
      <c r="C119" s="304" t="s">
        <v>1154</v>
      </c>
      <c r="D119" s="2340"/>
      <c r="E119" s="2140"/>
      <c r="F119" s="2283"/>
      <c r="G119" s="335"/>
      <c r="H119" s="1425"/>
      <c r="I119" s="586"/>
      <c r="J119" s="506"/>
      <c r="K119" s="1425"/>
      <c r="L119" s="150"/>
      <c r="M119" s="277"/>
      <c r="N119" s="270"/>
      <c r="O119" s="1549"/>
      <c r="P119" s="1549"/>
      <c r="AH119" s="1556">
        <v>0</v>
      </c>
    </row>
    <row r="120" spans="1:34" s="1560" customFormat="1" ht="18.75" hidden="1" customHeight="1">
      <c r="A120" s="1705" t="s">
        <v>234</v>
      </c>
      <c r="B120" s="1705" t="s">
        <v>235</v>
      </c>
      <c r="C120" s="304"/>
      <c r="D120" s="2340"/>
      <c r="E120" s="2140"/>
      <c r="F120" s="2283" t="str">
        <f>INDEX(PT_DIFFERENTIATION_VTAR,MATCH(A120,PT_DIFFERENTIATION_VTAR_ID,0))</f>
        <v>Тариф на транспортировку воды</v>
      </c>
      <c r="G120" s="2315" t="str">
        <f>INDEX(PT_DIFFERENTIATION_NTAR,MATCH(B120,PT_DIFFERENTIATION_NTAR_ID,0))</f>
        <v/>
      </c>
      <c r="H120" s="1786"/>
      <c r="I120" s="1664"/>
      <c r="J120" s="1698"/>
      <c r="K120" s="1703"/>
      <c r="L120" s="1786" t="s">
        <v>305</v>
      </c>
      <c r="M120" s="277"/>
      <c r="N120" s="270"/>
      <c r="O120" s="1549"/>
      <c r="P120" s="1549"/>
      <c r="AH120" s="1556">
        <v>0</v>
      </c>
    </row>
    <row r="121" spans="1:34" s="1560" customFormat="1" ht="18.75" hidden="1" customHeight="1">
      <c r="A121" s="1705"/>
      <c r="B121" s="1705"/>
      <c r="C121" s="304" t="s">
        <v>1147</v>
      </c>
      <c r="D121" s="2340"/>
      <c r="E121" s="2140"/>
      <c r="F121" s="2283"/>
      <c r="G121" s="2315"/>
      <c r="H121" s="1425"/>
      <c r="I121" s="586" t="s">
        <v>1146</v>
      </c>
      <c r="J121" s="506"/>
      <c r="K121" s="1425"/>
      <c r="L121" s="150"/>
      <c r="M121" s="277"/>
      <c r="N121" s="270"/>
      <c r="O121" s="1549"/>
      <c r="P121" s="1549"/>
      <c r="AH121" s="1556">
        <v>0</v>
      </c>
    </row>
    <row r="122" spans="1:34" s="1560" customFormat="1" ht="0.75" hidden="1" customHeight="1">
      <c r="A122" s="1705"/>
      <c r="B122" s="1705"/>
      <c r="C122" s="304" t="s">
        <v>1154</v>
      </c>
      <c r="D122" s="2340"/>
      <c r="E122" s="2140"/>
      <c r="F122" s="2283"/>
      <c r="G122" s="335"/>
      <c r="H122" s="1425"/>
      <c r="I122" s="586"/>
      <c r="J122" s="506"/>
      <c r="K122" s="1425"/>
      <c r="L122" s="150"/>
      <c r="M122" s="277"/>
      <c r="N122" s="270"/>
      <c r="O122" s="1549"/>
      <c r="P122" s="1549"/>
      <c r="AH122" s="1556">
        <v>0</v>
      </c>
    </row>
    <row r="123" spans="1:34" s="1560" customFormat="1" ht="18.75" hidden="1" customHeight="1">
      <c r="A123" s="1705" t="s">
        <v>239</v>
      </c>
      <c r="B123" s="1705" t="s">
        <v>240</v>
      </c>
      <c r="C123" s="304"/>
      <c r="D123" s="2340"/>
      <c r="E123" s="2140"/>
      <c r="F123" s="2283" t="str">
        <f>INDEX(PT_DIFFERENTIATION_VTAR,MATCH(A123,PT_DIFFERENTIATION_VTAR_ID,0))</f>
        <v>Тариф на подвоз воды</v>
      </c>
      <c r="G123" s="2315" t="str">
        <f>INDEX(PT_DIFFERENTIATION_NTAR,MATCH(B123,PT_DIFFERENTIATION_NTAR_ID,0))</f>
        <v/>
      </c>
      <c r="H123" s="1786"/>
      <c r="I123" s="1664"/>
      <c r="J123" s="1698"/>
      <c r="K123" s="1703"/>
      <c r="L123" s="1786" t="s">
        <v>305</v>
      </c>
      <c r="M123" s="277"/>
      <c r="N123" s="270"/>
      <c r="O123" s="1549"/>
      <c r="P123" s="1549"/>
      <c r="AH123" s="1556">
        <v>0</v>
      </c>
    </row>
    <row r="124" spans="1:34" s="1560" customFormat="1" ht="18.75" hidden="1" customHeight="1">
      <c r="A124" s="1705"/>
      <c r="B124" s="1705"/>
      <c r="C124" s="304" t="s">
        <v>1147</v>
      </c>
      <c r="D124" s="2340"/>
      <c r="E124" s="2140"/>
      <c r="F124" s="2283"/>
      <c r="G124" s="2315"/>
      <c r="H124" s="1425"/>
      <c r="I124" s="586" t="s">
        <v>1146</v>
      </c>
      <c r="J124" s="506"/>
      <c r="K124" s="1425"/>
      <c r="L124" s="150"/>
      <c r="M124" s="277"/>
      <c r="N124" s="270"/>
      <c r="O124" s="1549"/>
      <c r="P124" s="1549"/>
      <c r="AH124" s="1556">
        <v>0</v>
      </c>
    </row>
    <row r="125" spans="1:34" s="1560" customFormat="1" ht="0.75" hidden="1" customHeight="1">
      <c r="A125" s="1705"/>
      <c r="B125" s="1705"/>
      <c r="C125" s="304" t="s">
        <v>1154</v>
      </c>
      <c r="D125" s="2340"/>
      <c r="E125" s="2140"/>
      <c r="F125" s="2283"/>
      <c r="G125" s="335"/>
      <c r="H125" s="1425"/>
      <c r="I125" s="586"/>
      <c r="J125" s="506"/>
      <c r="K125" s="1425"/>
      <c r="L125" s="150"/>
      <c r="M125" s="277"/>
      <c r="N125" s="270"/>
      <c r="O125" s="1549"/>
      <c r="P125" s="1549"/>
      <c r="AH125" s="1556">
        <v>0</v>
      </c>
    </row>
    <row r="126" spans="1:34" s="1560" customFormat="1" ht="18.75" hidden="1" customHeight="1">
      <c r="A126" s="1705" t="s">
        <v>244</v>
      </c>
      <c r="B126" s="1705" t="s">
        <v>245</v>
      </c>
      <c r="C126" s="304"/>
      <c r="D126" s="2340"/>
      <c r="E126" s="2140"/>
      <c r="F126" s="2283" t="str">
        <f>INDEX(PT_DIFFERENTIATION_VTAR,MATCH(A126,PT_DIFFERENTIATION_VTAR_ID,0))</f>
        <v>Тариф на подключение (технологическое присоединение) к централизованной системе холодного водоснабжения</v>
      </c>
      <c r="G126" s="2315" t="str">
        <f>INDEX(PT_DIFFERENTIATION_NTAR,MATCH(B126,PT_DIFFERENTIATION_NTAR_ID,0))</f>
        <v/>
      </c>
      <c r="H126" s="1786"/>
      <c r="I126" s="1664"/>
      <c r="J126" s="1698"/>
      <c r="K126" s="1703"/>
      <c r="L126" s="1786" t="s">
        <v>305</v>
      </c>
      <c r="M126" s="277"/>
      <c r="N126" s="270"/>
      <c r="O126" s="1549"/>
      <c r="P126" s="1549"/>
      <c r="AH126" s="1556">
        <v>0</v>
      </c>
    </row>
    <row r="127" spans="1:34" s="1560" customFormat="1" ht="18.75" hidden="1" customHeight="1">
      <c r="A127" s="1705"/>
      <c r="B127" s="1705"/>
      <c r="C127" s="304" t="s">
        <v>1147</v>
      </c>
      <c r="D127" s="2340"/>
      <c r="E127" s="2140"/>
      <c r="F127" s="2283"/>
      <c r="G127" s="2315"/>
      <c r="H127" s="1425"/>
      <c r="I127" s="586" t="s">
        <v>1146</v>
      </c>
      <c r="J127" s="506"/>
      <c r="K127" s="1425"/>
      <c r="L127" s="150"/>
      <c r="M127" s="277"/>
      <c r="N127" s="270"/>
      <c r="O127" s="1549"/>
      <c r="P127" s="1549"/>
      <c r="AH127" s="1556">
        <v>0</v>
      </c>
    </row>
    <row r="128" spans="1:34" s="1560" customFormat="1" ht="0.75" hidden="1" customHeight="1">
      <c r="A128" s="1705"/>
      <c r="B128" s="1705"/>
      <c r="C128" s="304" t="s">
        <v>1154</v>
      </c>
      <c r="D128" s="2340"/>
      <c r="E128" s="2140"/>
      <c r="F128" s="2283"/>
      <c r="G128" s="335"/>
      <c r="H128" s="1425"/>
      <c r="I128" s="586"/>
      <c r="J128" s="506"/>
      <c r="K128" s="1425"/>
      <c r="L128" s="150"/>
      <c r="M128" s="277"/>
      <c r="N128" s="270"/>
      <c r="O128" s="1549"/>
      <c r="P128" s="1549"/>
      <c r="AH128" s="1556">
        <v>0</v>
      </c>
    </row>
    <row r="129" spans="1:34" s="1560" customFormat="1" ht="18.75" hidden="1" customHeight="1">
      <c r="A129" s="1705" t="s">
        <v>249</v>
      </c>
      <c r="B129" s="1705" t="s">
        <v>250</v>
      </c>
      <c r="C129" s="304"/>
      <c r="D129" s="2340"/>
      <c r="E129" s="2140"/>
      <c r="F129" s="2283" t="str">
        <f>INDEX(PT_DIFFERENTIATION_VTAR,MATCH(A129,PT_DIFFERENTIATION_VTAR_ID,0))</f>
        <v>Тариф на горячую воду (горячее водоснабжение)</v>
      </c>
      <c r="G129" s="2315" t="str">
        <f>INDEX(PT_DIFFERENTIATION_NTAR,MATCH(B129,PT_DIFFERENTIATION_NTAR_ID,0))</f>
        <v/>
      </c>
      <c r="H129" s="1786"/>
      <c r="I129" s="1664"/>
      <c r="J129" s="1698"/>
      <c r="K129" s="1703"/>
      <c r="L129" s="1786" t="s">
        <v>305</v>
      </c>
      <c r="M129" s="277"/>
      <c r="N129" s="270"/>
      <c r="O129" s="1549"/>
      <c r="P129" s="1549"/>
      <c r="AH129" s="1556">
        <v>0</v>
      </c>
    </row>
    <row r="130" spans="1:34" s="1560" customFormat="1" ht="18.75" hidden="1" customHeight="1">
      <c r="A130" s="1705"/>
      <c r="B130" s="1705"/>
      <c r="C130" s="304" t="s">
        <v>1147</v>
      </c>
      <c r="D130" s="2340"/>
      <c r="E130" s="2140"/>
      <c r="F130" s="2283"/>
      <c r="G130" s="2315"/>
      <c r="H130" s="1425"/>
      <c r="I130" s="586" t="s">
        <v>1146</v>
      </c>
      <c r="J130" s="506"/>
      <c r="K130" s="1425"/>
      <c r="L130" s="150"/>
      <c r="M130" s="277"/>
      <c r="N130" s="270"/>
      <c r="O130" s="1549"/>
      <c r="P130" s="1549"/>
      <c r="AH130" s="1556">
        <v>0</v>
      </c>
    </row>
    <row r="131" spans="1:34" s="1560" customFormat="1" ht="0.75" hidden="1" customHeight="1">
      <c r="A131" s="1705"/>
      <c r="B131" s="1705"/>
      <c r="C131" s="304" t="s">
        <v>1154</v>
      </c>
      <c r="D131" s="2340"/>
      <c r="E131" s="2140"/>
      <c r="F131" s="2283"/>
      <c r="G131" s="335"/>
      <c r="H131" s="1425"/>
      <c r="I131" s="586"/>
      <c r="J131" s="506"/>
      <c r="K131" s="1425"/>
      <c r="L131" s="150"/>
      <c r="M131" s="277"/>
      <c r="N131" s="270"/>
      <c r="O131" s="1549"/>
      <c r="P131" s="1549"/>
      <c r="AH131" s="1556">
        <v>0</v>
      </c>
    </row>
    <row r="132" spans="1:34" s="1560" customFormat="1" ht="18.75" hidden="1" customHeight="1">
      <c r="A132" s="1705" t="s">
        <v>254</v>
      </c>
      <c r="B132" s="1705" t="s">
        <v>255</v>
      </c>
      <c r="C132" s="304"/>
      <c r="D132" s="2340"/>
      <c r="E132" s="2140"/>
      <c r="F132" s="2283" t="str">
        <f>INDEX(PT_DIFFERENTIATION_VTAR,MATCH(A132,PT_DIFFERENTIATION_VTAR_ID,0))</f>
        <v>Тариф на транспортировку горячей воды</v>
      </c>
      <c r="G132" s="2315" t="str">
        <f>INDEX(PT_DIFFERENTIATION_NTAR,MATCH(B132,PT_DIFFERENTIATION_NTAR_ID,0))</f>
        <v/>
      </c>
      <c r="H132" s="1786"/>
      <c r="I132" s="1664"/>
      <c r="J132" s="1698"/>
      <c r="K132" s="1703"/>
      <c r="L132" s="1786" t="s">
        <v>305</v>
      </c>
      <c r="M132" s="277"/>
      <c r="N132" s="270"/>
      <c r="O132" s="1549"/>
      <c r="P132" s="1549"/>
      <c r="AH132" s="1556">
        <v>0</v>
      </c>
    </row>
    <row r="133" spans="1:34" s="1560" customFormat="1" ht="18.75" hidden="1" customHeight="1">
      <c r="A133" s="1705"/>
      <c r="B133" s="1705"/>
      <c r="C133" s="304" t="s">
        <v>1147</v>
      </c>
      <c r="D133" s="2340"/>
      <c r="E133" s="2140"/>
      <c r="F133" s="2283"/>
      <c r="G133" s="2315"/>
      <c r="H133" s="1425"/>
      <c r="I133" s="586" t="s">
        <v>1146</v>
      </c>
      <c r="J133" s="506"/>
      <c r="K133" s="1425"/>
      <c r="L133" s="150"/>
      <c r="M133" s="277"/>
      <c r="N133" s="270"/>
      <c r="O133" s="1549"/>
      <c r="P133" s="1549"/>
      <c r="AH133" s="1556">
        <v>0</v>
      </c>
    </row>
    <row r="134" spans="1:34" s="1560" customFormat="1" ht="0.75" hidden="1" customHeight="1">
      <c r="A134" s="1705"/>
      <c r="B134" s="1705"/>
      <c r="C134" s="304" t="s">
        <v>1154</v>
      </c>
      <c r="D134" s="2340"/>
      <c r="E134" s="2140"/>
      <c r="F134" s="2283"/>
      <c r="G134" s="335"/>
      <c r="H134" s="1425"/>
      <c r="I134" s="586"/>
      <c r="J134" s="506"/>
      <c r="K134" s="1425"/>
      <c r="L134" s="150"/>
      <c r="M134" s="277"/>
      <c r="N134" s="270"/>
      <c r="O134" s="1549"/>
      <c r="P134" s="1549"/>
      <c r="AH134" s="1556">
        <v>0</v>
      </c>
    </row>
    <row r="135" spans="1:34" s="1560" customFormat="1" ht="18.75" hidden="1" customHeight="1">
      <c r="A135" s="1705" t="s">
        <v>259</v>
      </c>
      <c r="B135" s="1705" t="s">
        <v>260</v>
      </c>
      <c r="C135" s="304"/>
      <c r="D135" s="2340"/>
      <c r="E135" s="2140"/>
      <c r="F135" s="2283" t="str">
        <f>INDEX(PT_DIFFERENTIATION_VTAR,MATCH(A135,PT_DIFFERENTIATION_VTAR_ID,0))</f>
        <v>Тариф на подключение (технологическое присоединение) к централизованной системе горячего водоснабжения</v>
      </c>
      <c r="G135" s="2315" t="str">
        <f>INDEX(PT_DIFFERENTIATION_NTAR,MATCH(B135,PT_DIFFERENTIATION_NTAR_ID,0))</f>
        <v/>
      </c>
      <c r="H135" s="1786"/>
      <c r="I135" s="1664"/>
      <c r="J135" s="1698"/>
      <c r="K135" s="1703"/>
      <c r="L135" s="1786" t="s">
        <v>305</v>
      </c>
      <c r="M135" s="277"/>
      <c r="N135" s="270"/>
      <c r="O135" s="1549"/>
      <c r="P135" s="1549"/>
      <c r="AH135" s="1556">
        <v>0</v>
      </c>
    </row>
    <row r="136" spans="1:34" s="1560" customFormat="1" ht="18.75" hidden="1" customHeight="1">
      <c r="A136" s="1705"/>
      <c r="B136" s="1705"/>
      <c r="C136" s="304" t="s">
        <v>1147</v>
      </c>
      <c r="D136" s="2340"/>
      <c r="E136" s="2140"/>
      <c r="F136" s="2283"/>
      <c r="G136" s="2315"/>
      <c r="H136" s="1425"/>
      <c r="I136" s="586" t="s">
        <v>1146</v>
      </c>
      <c r="J136" s="506"/>
      <c r="K136" s="1425"/>
      <c r="L136" s="150"/>
      <c r="M136" s="277"/>
      <c r="N136" s="270"/>
      <c r="O136" s="1549"/>
      <c r="P136" s="1549"/>
      <c r="AH136" s="1556">
        <v>0</v>
      </c>
    </row>
    <row r="137" spans="1:34" s="1560" customFormat="1" ht="0.75" hidden="1" customHeight="1">
      <c r="A137" s="1705"/>
      <c r="B137" s="1705"/>
      <c r="C137" s="304" t="s">
        <v>1154</v>
      </c>
      <c r="D137" s="2340"/>
      <c r="E137" s="2140"/>
      <c r="F137" s="2283"/>
      <c r="G137" s="335"/>
      <c r="H137" s="1425"/>
      <c r="I137" s="586"/>
      <c r="J137" s="506"/>
      <c r="K137" s="1425"/>
      <c r="L137" s="150"/>
      <c r="M137" s="277"/>
      <c r="N137" s="270"/>
      <c r="O137" s="1549"/>
      <c r="P137" s="1549"/>
      <c r="AH137" s="1556">
        <v>0</v>
      </c>
    </row>
    <row r="138" spans="1:34" s="1560" customFormat="1" ht="18.75" hidden="1" customHeight="1">
      <c r="A138" s="1705" t="s">
        <v>264</v>
      </c>
      <c r="B138" s="1705" t="s">
        <v>265</v>
      </c>
      <c r="C138" s="304"/>
      <c r="D138" s="2340"/>
      <c r="E138" s="2140"/>
      <c r="F138" s="2283" t="str">
        <f>INDEX(PT_DIFFERENTIATION_VTAR,MATCH(A138,PT_DIFFERENTIATION_VTAR_ID,0))</f>
        <v>Тариф на водоотведение</v>
      </c>
      <c r="G138" s="2315" t="str">
        <f>INDEX(PT_DIFFERENTIATION_NTAR,MATCH(B138,PT_DIFFERENTIATION_NTAR_ID,0))</f>
        <v/>
      </c>
      <c r="H138" s="1786"/>
      <c r="I138" s="1664"/>
      <c r="J138" s="1698"/>
      <c r="K138" s="1703"/>
      <c r="L138" s="1786" t="s">
        <v>305</v>
      </c>
      <c r="M138" s="277"/>
      <c r="N138" s="270"/>
      <c r="O138" s="1549"/>
      <c r="P138" s="1549"/>
      <c r="AH138" s="1556">
        <v>0</v>
      </c>
    </row>
    <row r="139" spans="1:34" s="1560" customFormat="1" ht="18.75" hidden="1" customHeight="1">
      <c r="A139" s="1705"/>
      <c r="B139" s="1705"/>
      <c r="C139" s="304" t="s">
        <v>1147</v>
      </c>
      <c r="D139" s="2340"/>
      <c r="E139" s="2140"/>
      <c r="F139" s="2283"/>
      <c r="G139" s="2315"/>
      <c r="H139" s="1425"/>
      <c r="I139" s="586" t="s">
        <v>1146</v>
      </c>
      <c r="J139" s="506"/>
      <c r="K139" s="1425"/>
      <c r="L139" s="150"/>
      <c r="M139" s="277"/>
      <c r="N139" s="270"/>
      <c r="O139" s="1549"/>
      <c r="P139" s="1549"/>
      <c r="AH139" s="1556">
        <v>0</v>
      </c>
    </row>
    <row r="140" spans="1:34" s="1560" customFormat="1" ht="0.75" hidden="1" customHeight="1">
      <c r="A140" s="1705"/>
      <c r="B140" s="1705"/>
      <c r="C140" s="304" t="s">
        <v>1154</v>
      </c>
      <c r="D140" s="2340"/>
      <c r="E140" s="2140"/>
      <c r="F140" s="2283"/>
      <c r="G140" s="335"/>
      <c r="H140" s="1425"/>
      <c r="I140" s="586"/>
      <c r="J140" s="506"/>
      <c r="K140" s="1425"/>
      <c r="L140" s="150"/>
      <c r="M140" s="277"/>
      <c r="N140" s="270"/>
      <c r="O140" s="1549"/>
      <c r="P140" s="1549"/>
      <c r="AH140" s="1556">
        <v>0</v>
      </c>
    </row>
    <row r="141" spans="1:34" s="1560" customFormat="1" ht="18.75" hidden="1" customHeight="1">
      <c r="A141" s="1705" t="s">
        <v>269</v>
      </c>
      <c r="B141" s="1705" t="s">
        <v>270</v>
      </c>
      <c r="C141" s="304"/>
      <c r="D141" s="2340"/>
      <c r="E141" s="2140"/>
      <c r="F141" s="2283" t="str">
        <f>INDEX(PT_DIFFERENTIATION_VTAR,MATCH(A141,PT_DIFFERENTIATION_VTAR_ID,0))</f>
        <v>Тариф на транспортировку сточных вод</v>
      </c>
      <c r="G141" s="2315" t="str">
        <f>INDEX(PT_DIFFERENTIATION_NTAR,MATCH(B141,PT_DIFFERENTIATION_NTAR_ID,0))</f>
        <v/>
      </c>
      <c r="H141" s="1786"/>
      <c r="I141" s="1664"/>
      <c r="J141" s="1698"/>
      <c r="K141" s="1703"/>
      <c r="L141" s="1786" t="s">
        <v>305</v>
      </c>
      <c r="M141" s="277"/>
      <c r="N141" s="270"/>
      <c r="O141" s="1549"/>
      <c r="P141" s="1549"/>
      <c r="AH141" s="1556">
        <v>0</v>
      </c>
    </row>
    <row r="142" spans="1:34" s="1560" customFormat="1" ht="18.75" hidden="1" customHeight="1">
      <c r="A142" s="1705"/>
      <c r="B142" s="1705"/>
      <c r="C142" s="304" t="s">
        <v>1147</v>
      </c>
      <c r="D142" s="2340"/>
      <c r="E142" s="2140"/>
      <c r="F142" s="2283"/>
      <c r="G142" s="2315"/>
      <c r="H142" s="1425"/>
      <c r="I142" s="586" t="s">
        <v>1146</v>
      </c>
      <c r="J142" s="506"/>
      <c r="K142" s="1425"/>
      <c r="L142" s="150"/>
      <c r="M142" s="277"/>
      <c r="N142" s="270"/>
      <c r="O142" s="1549"/>
      <c r="P142" s="1549"/>
      <c r="AH142" s="1556">
        <v>0</v>
      </c>
    </row>
    <row r="143" spans="1:34" s="1560" customFormat="1" ht="0.75" hidden="1" customHeight="1">
      <c r="A143" s="1705"/>
      <c r="B143" s="1705"/>
      <c r="C143" s="304" t="s">
        <v>1154</v>
      </c>
      <c r="D143" s="2340"/>
      <c r="E143" s="2140"/>
      <c r="F143" s="2283"/>
      <c r="G143" s="335"/>
      <c r="H143" s="1425"/>
      <c r="I143" s="586"/>
      <c r="J143" s="506"/>
      <c r="K143" s="1425"/>
      <c r="L143" s="150"/>
      <c r="M143" s="277"/>
      <c r="N143" s="270"/>
      <c r="O143" s="1549"/>
      <c r="P143" s="1549"/>
      <c r="AH143" s="1556">
        <v>0</v>
      </c>
    </row>
    <row r="144" spans="1:34" s="1560" customFormat="1" ht="18.75" hidden="1" customHeight="1">
      <c r="A144" s="1705" t="s">
        <v>274</v>
      </c>
      <c r="B144" s="1705" t="s">
        <v>275</v>
      </c>
      <c r="C144" s="304"/>
      <c r="D144" s="2340"/>
      <c r="E144" s="2140"/>
      <c r="F144" s="2283" t="str">
        <f>INDEX(PT_DIFFERENTIATION_VTAR,MATCH(A144,PT_DIFFERENTIATION_VTAR_ID,0))</f>
        <v>Тариф на подключение (технологическое присоединение) к централизованной системе водоотведения</v>
      </c>
      <c r="G144" s="2315" t="str">
        <f>INDEX(PT_DIFFERENTIATION_NTAR,MATCH(B144,PT_DIFFERENTIATION_NTAR_ID,0))</f>
        <v/>
      </c>
      <c r="H144" s="1786"/>
      <c r="I144" s="1664"/>
      <c r="J144" s="1698"/>
      <c r="K144" s="1703"/>
      <c r="L144" s="1786" t="s">
        <v>305</v>
      </c>
      <c r="M144" s="277"/>
      <c r="N144" s="270"/>
      <c r="O144" s="1549"/>
      <c r="P144" s="1549"/>
      <c r="AH144" s="1556">
        <v>0</v>
      </c>
    </row>
    <row r="145" spans="1:34" s="1560" customFormat="1" ht="18.75" hidden="1" customHeight="1">
      <c r="A145" s="1705"/>
      <c r="B145" s="1705"/>
      <c r="C145" s="304" t="s">
        <v>1147</v>
      </c>
      <c r="D145" s="2340"/>
      <c r="E145" s="2140"/>
      <c r="F145" s="2283"/>
      <c r="G145" s="2315"/>
      <c r="H145" s="1425"/>
      <c r="I145" s="586" t="s">
        <v>1146</v>
      </c>
      <c r="J145" s="506"/>
      <c r="K145" s="1425"/>
      <c r="L145" s="150"/>
      <c r="M145" s="277"/>
      <c r="N145" s="270"/>
      <c r="O145" s="1549"/>
      <c r="P145" s="1549"/>
      <c r="AH145" s="1556">
        <v>0</v>
      </c>
    </row>
    <row r="146" spans="1:34" s="1560" customFormat="1" ht="1.1499999999999999" customHeight="1">
      <c r="A146" s="1705"/>
      <c r="B146" s="1705"/>
      <c r="C146" s="304" t="s">
        <v>1154</v>
      </c>
      <c r="D146" s="2340"/>
      <c r="E146" s="2140"/>
      <c r="F146" s="2283"/>
      <c r="G146" s="335"/>
      <c r="H146" s="1425"/>
      <c r="I146" s="586"/>
      <c r="J146" s="506"/>
      <c r="K146" s="1425"/>
      <c r="L146" s="150"/>
      <c r="M146" s="277"/>
      <c r="N146" s="270"/>
      <c r="O146" s="1549"/>
      <c r="P146" s="1549"/>
      <c r="AH146" s="1556">
        <v>1</v>
      </c>
    </row>
    <row r="147" spans="1:34" ht="19.899999999999999" customHeight="1">
      <c r="A147" s="1705"/>
      <c r="B147" s="1705"/>
      <c r="D147" s="311"/>
      <c r="E147" s="83" t="s">
        <v>91</v>
      </c>
      <c r="F147" s="2339" t="str">
        <f>"Годовой объем "&amp;IF(TEMPLATE_SPHERE="HEAT","полезного отпуска тепловой энергии (теплоносителя)",IF(TEMPLATE_SPHERE="VOTV","принятых сточных вод","отпущенной "&amp;IF(TEMPLATE_SPHERE="COLDVSNA","потребителям воды","в сеть горячей воды")))</f>
        <v>Годовой объем полезного отпуска тепловой энергии (теплоносителя)</v>
      </c>
      <c r="G147" s="2339"/>
      <c r="H147" s="2339"/>
      <c r="I147" s="2339"/>
      <c r="J147" s="2339"/>
      <c r="K147" s="2339"/>
      <c r="L147" s="2339"/>
      <c r="M147" s="233"/>
      <c r="N147" s="270"/>
      <c r="AH147" s="309">
        <v>19</v>
      </c>
    </row>
    <row r="148" spans="1:34" s="1560" customFormat="1" ht="60.75" hidden="1" customHeight="1">
      <c r="A148" s="1705" t="s">
        <v>156</v>
      </c>
      <c r="B148" s="1705" t="s">
        <v>157</v>
      </c>
      <c r="C148" s="304"/>
      <c r="D148" s="2340"/>
      <c r="E148" s="2140"/>
      <c r="F148" s="2283" t="str">
        <f>INDEX(PT_DIFFERENTIATION_VTAR,MATCH(A148,PT_DIFFERENTIATION_VTAR_ID,0))</f>
        <v>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v>
      </c>
      <c r="G148" s="2315" t="str">
        <f>INDEX(PT_DIFFERENTIATION_NTAR,MATCH(B148,PT_DIFFERENTIATION_NTAR_ID,0))</f>
        <v/>
      </c>
      <c r="H148" s="1786"/>
      <c r="I148" s="1664"/>
      <c r="J148" s="1698"/>
      <c r="K148" s="1703"/>
      <c r="L148" s="1786" t="s">
        <v>305</v>
      </c>
      <c r="M148" s="2108" t="str">
        <f>"Значение в колонке «Вид тарифа» выбирается из перечня видов тарифов в сфере "&amp;TEMPLATE_SPHERE_RUS&amp;", предусмотренных законодательством в сфере "&amp;IF(TEMPLATE_SPHERE="HEAT","теплоснабжения","водоснабжения и водоотведения")&amp;".
Даты начала и окончания срока действия тарифов указываются в виде «ДД.ММ.ГГГГ».
Величина годового объема "&amp;IF(TEMPLATE_SPHERE="HEAT","полезного отпуска тепловой энергии (теплоносителя)","отпущенной потребителям воды")&amp;" указывается в колонке «Информация» в тыс. "&amp;IF(TEMPLATE_SPHERE="HEAT","Гкал","куб. м.")&amp;"
В случае дифференциации "&amp;IF(TEMPLATE_SPHERE="HEAT","полезного отпуска тепловой энергии (теплоносителя)","отпущенной потребителям воды")&amp;" по видам тарифов и (или) по срокам действия тарифов информация указывается в отдельных строках."</f>
        <v>Значение в колонке «Вид тарифа» выбирается из перечня видов тарифов в сфере теплоснабжения, предусмотренных законодательством в сфере теплоснабжения.
Даты начала и окончания срока действия тарифов указываются в виде «ДД.ММ.ГГГГ».
Величина годового объема полезного отпуска тепловой энергии (теплоносителя) указывается в колонке «Информация» в тыс. Гкал
В случае дифференциации полезного отпуска тепловой энергии (теплоносителя) по видам тарифов и (или) по срокам действия тарифов информация указывается в отдельных строках.</v>
      </c>
      <c r="N148" s="270"/>
      <c r="O148" s="1549"/>
      <c r="P148" s="1549"/>
      <c r="AH148" s="1556">
        <v>0</v>
      </c>
    </row>
    <row r="149" spans="1:34" s="1560" customFormat="1" ht="18.75" hidden="1" customHeight="1">
      <c r="A149" s="1705"/>
      <c r="B149" s="1705"/>
      <c r="C149" s="304" t="s">
        <v>1147</v>
      </c>
      <c r="D149" s="2340"/>
      <c r="E149" s="2140"/>
      <c r="F149" s="2283"/>
      <c r="G149" s="2315"/>
      <c r="H149" s="1425"/>
      <c r="I149" s="586" t="s">
        <v>1146</v>
      </c>
      <c r="J149" s="506"/>
      <c r="K149" s="1425"/>
      <c r="L149" s="150"/>
      <c r="M149" s="2109"/>
      <c r="N149" s="270"/>
      <c r="O149" s="1549"/>
      <c r="P149" s="1549"/>
      <c r="AH149" s="1556">
        <v>0</v>
      </c>
    </row>
    <row r="150" spans="1:34" s="1560" customFormat="1" ht="0.75" hidden="1" customHeight="1">
      <c r="A150" s="1705"/>
      <c r="B150" s="1705"/>
      <c r="C150" s="304" t="s">
        <v>1154</v>
      </c>
      <c r="D150" s="2340"/>
      <c r="E150" s="2140"/>
      <c r="F150" s="2283"/>
      <c r="G150" s="335"/>
      <c r="H150" s="1425"/>
      <c r="I150" s="586"/>
      <c r="J150" s="506"/>
      <c r="K150" s="1425"/>
      <c r="L150" s="150"/>
      <c r="M150" s="2109"/>
      <c r="N150" s="270"/>
      <c r="O150" s="1549"/>
      <c r="P150" s="1549"/>
      <c r="AH150" s="1556">
        <v>0</v>
      </c>
    </row>
    <row r="151" spans="1:34" s="1560" customFormat="1" ht="45" hidden="1" customHeight="1">
      <c r="A151" s="1705" t="s">
        <v>161</v>
      </c>
      <c r="B151" s="1705" t="s">
        <v>162</v>
      </c>
      <c r="C151" s="304"/>
      <c r="D151" s="2340"/>
      <c r="E151" s="2140"/>
      <c r="F151" s="2283" t="str">
        <f>INDEX(PT_DIFFERENTIATION_VTAR,MATCH(A151,PT_DIFFERENTIATION_VTAR_ID,0))</f>
        <v/>
      </c>
      <c r="G151" s="2315" t="str">
        <f>INDEX(PT_DIFFERENTIATION_NTAR,MATCH(B151,PT_DIFFERENTIATION_NTAR_ID,0))</f>
        <v/>
      </c>
      <c r="H151" s="1786"/>
      <c r="I151" s="1664"/>
      <c r="J151" s="1698"/>
      <c r="K151" s="1703"/>
      <c r="L151" s="1786" t="s">
        <v>305</v>
      </c>
      <c r="M151" s="2110"/>
      <c r="N151" s="270"/>
      <c r="O151" s="1549"/>
      <c r="P151" s="1549"/>
      <c r="AH151" s="1556">
        <v>0</v>
      </c>
    </row>
    <row r="152" spans="1:34" s="1560" customFormat="1" ht="18.75" hidden="1" customHeight="1">
      <c r="A152" s="1705"/>
      <c r="B152" s="1705"/>
      <c r="C152" s="304" t="s">
        <v>1147</v>
      </c>
      <c r="D152" s="2340"/>
      <c r="E152" s="2140"/>
      <c r="F152" s="2283"/>
      <c r="G152" s="2315"/>
      <c r="H152" s="1425"/>
      <c r="I152" s="586" t="s">
        <v>1146</v>
      </c>
      <c r="J152" s="506"/>
      <c r="K152" s="1425"/>
      <c r="L152" s="150"/>
      <c r="M152" s="1785"/>
      <c r="N152" s="270"/>
      <c r="O152" s="1549"/>
      <c r="P152" s="1549"/>
      <c r="AH152" s="1556">
        <v>0</v>
      </c>
    </row>
    <row r="153" spans="1:34" s="1560" customFormat="1" ht="0.75" hidden="1" customHeight="1">
      <c r="A153" s="1705"/>
      <c r="B153" s="1705"/>
      <c r="C153" s="304" t="s">
        <v>1154</v>
      </c>
      <c r="D153" s="2340"/>
      <c r="E153" s="2140"/>
      <c r="F153" s="2283"/>
      <c r="G153" s="335"/>
      <c r="H153" s="1425"/>
      <c r="I153" s="586"/>
      <c r="J153" s="506"/>
      <c r="K153" s="1425"/>
      <c r="L153" s="150"/>
      <c r="M153" s="277"/>
      <c r="N153" s="270"/>
      <c r="O153" s="1549"/>
      <c r="P153" s="1549"/>
      <c r="AH153" s="1556">
        <v>0</v>
      </c>
    </row>
    <row r="154" spans="1:34" s="1560" customFormat="1" ht="45" hidden="1" customHeight="1">
      <c r="A154" s="1705" t="s">
        <v>168</v>
      </c>
      <c r="B154" s="1705" t="s">
        <v>169</v>
      </c>
      <c r="C154" s="304"/>
      <c r="D154" s="2340"/>
      <c r="E154" s="2140"/>
      <c r="F154" s="2283" t="str">
        <f>INDEX(PT_DIFFERENTIATION_VTAR,MATCH(A154,PT_DIFFERENTIATION_VTAR_ID,0))</f>
        <v>Тарифы на теплоноситель, поставляемый теплоснабжающими организациями потребителям, другим теплоснабжающим организациям</v>
      </c>
      <c r="G154" s="2315" t="str">
        <f>INDEX(PT_DIFFERENTIATION_NTAR,MATCH(B154,PT_DIFFERENTIATION_NTAR_ID,0))</f>
        <v/>
      </c>
      <c r="H154" s="1786"/>
      <c r="I154" s="1664"/>
      <c r="J154" s="1698"/>
      <c r="K154" s="1703"/>
      <c r="L154" s="1786" t="s">
        <v>305</v>
      </c>
      <c r="M154" s="277"/>
      <c r="N154" s="270"/>
      <c r="O154" s="1549"/>
      <c r="P154" s="1549"/>
      <c r="AH154" s="1556">
        <v>0</v>
      </c>
    </row>
    <row r="155" spans="1:34" s="1560" customFormat="1" ht="18.75" hidden="1" customHeight="1">
      <c r="A155" s="1705"/>
      <c r="B155" s="1705"/>
      <c r="C155" s="304" t="s">
        <v>1147</v>
      </c>
      <c r="D155" s="2340"/>
      <c r="E155" s="2140"/>
      <c r="F155" s="2283"/>
      <c r="G155" s="2315"/>
      <c r="H155" s="1425"/>
      <c r="I155" s="586" t="s">
        <v>1146</v>
      </c>
      <c r="J155" s="506"/>
      <c r="K155" s="1425"/>
      <c r="L155" s="150"/>
      <c r="M155" s="277"/>
      <c r="N155" s="270"/>
      <c r="O155" s="1549"/>
      <c r="P155" s="1549"/>
      <c r="AH155" s="1556">
        <v>0</v>
      </c>
    </row>
    <row r="156" spans="1:34" s="1560" customFormat="1" ht="0.75" hidden="1" customHeight="1">
      <c r="A156" s="1705"/>
      <c r="B156" s="1705"/>
      <c r="C156" s="304" t="s">
        <v>1154</v>
      </c>
      <c r="D156" s="2340"/>
      <c r="E156" s="2140"/>
      <c r="F156" s="2283"/>
      <c r="G156" s="335"/>
      <c r="H156" s="1425"/>
      <c r="I156" s="586"/>
      <c r="J156" s="506"/>
      <c r="K156" s="1425"/>
      <c r="L156" s="150"/>
      <c r="M156" s="277"/>
      <c r="N156" s="270"/>
      <c r="O156" s="1549"/>
      <c r="P156" s="1549"/>
      <c r="AH156" s="1556">
        <v>0</v>
      </c>
    </row>
    <row r="157" spans="1:34" s="1560" customFormat="1" ht="45" hidden="1" customHeight="1">
      <c r="A157" s="1705" t="s">
        <v>174</v>
      </c>
      <c r="B157" s="1705" t="s">
        <v>175</v>
      </c>
      <c r="C157" s="304"/>
      <c r="D157" s="2340"/>
      <c r="E157" s="2140"/>
      <c r="F157" s="2283" t="str">
        <f>INDEX(PT_DIFFERENTIATION_VTAR,MATCH(A157,PT_DIFFERENTIATION_VTAR_ID,0))</f>
        <v>Тарифы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v>
      </c>
      <c r="G157" s="2315" t="str">
        <f>INDEX(PT_DIFFERENTIATION_NTAR,MATCH(B157,PT_DIFFERENTIATION_NTAR_ID,0))</f>
        <v/>
      </c>
      <c r="H157" s="1786"/>
      <c r="I157" s="1664"/>
      <c r="J157" s="1698"/>
      <c r="K157" s="1703"/>
      <c r="L157" s="1786" t="s">
        <v>305</v>
      </c>
      <c r="M157" s="277"/>
      <c r="N157" s="270"/>
      <c r="O157" s="1549"/>
      <c r="P157" s="1549"/>
      <c r="AH157" s="1556">
        <v>0</v>
      </c>
    </row>
    <row r="158" spans="1:34" s="1560" customFormat="1" ht="18.75" hidden="1" customHeight="1">
      <c r="A158" s="1705"/>
      <c r="B158" s="1705"/>
      <c r="C158" s="304" t="s">
        <v>1147</v>
      </c>
      <c r="D158" s="2340"/>
      <c r="E158" s="2140"/>
      <c r="F158" s="2283"/>
      <c r="G158" s="2315"/>
      <c r="H158" s="1425"/>
      <c r="I158" s="586" t="s">
        <v>1146</v>
      </c>
      <c r="J158" s="506"/>
      <c r="K158" s="1425"/>
      <c r="L158" s="150"/>
      <c r="M158" s="277"/>
      <c r="N158" s="270"/>
      <c r="O158" s="1549"/>
      <c r="P158" s="1549"/>
      <c r="AH158" s="1556">
        <v>0</v>
      </c>
    </row>
    <row r="159" spans="1:34" s="1560" customFormat="1" ht="0.75" hidden="1" customHeight="1">
      <c r="A159" s="1705"/>
      <c r="B159" s="1705"/>
      <c r="C159" s="304" t="s">
        <v>1154</v>
      </c>
      <c r="D159" s="2340"/>
      <c r="E159" s="2140"/>
      <c r="F159" s="2283"/>
      <c r="G159" s="335"/>
      <c r="H159" s="1425"/>
      <c r="I159" s="586"/>
      <c r="J159" s="506"/>
      <c r="K159" s="1425"/>
      <c r="L159" s="150"/>
      <c r="M159" s="277"/>
      <c r="N159" s="270"/>
      <c r="O159" s="1549"/>
      <c r="P159" s="1549"/>
      <c r="AH159" s="1556">
        <v>0</v>
      </c>
    </row>
    <row r="160" spans="1:34" s="1560" customFormat="1" ht="18.75" hidden="1" customHeight="1">
      <c r="A160" s="1705" t="s">
        <v>180</v>
      </c>
      <c r="B160" s="1705" t="s">
        <v>181</v>
      </c>
      <c r="C160" s="304"/>
      <c r="D160" s="2340"/>
      <c r="E160" s="2140"/>
      <c r="F160" s="2283" t="str">
        <f>INDEX(PT_DIFFERENTIATION_VTAR,MATCH(A160,PT_DIFFERENTIATION_VTAR_ID,0))</f>
        <v>Тарифы на услуги по передаче тепловой энергии</v>
      </c>
      <c r="G160" s="2315" t="str">
        <f>INDEX(PT_DIFFERENTIATION_NTAR,MATCH(B160,PT_DIFFERENTIATION_NTAR_ID,0))</f>
        <v/>
      </c>
      <c r="H160" s="1786"/>
      <c r="I160" s="1664"/>
      <c r="J160" s="1698"/>
      <c r="K160" s="1703"/>
      <c r="L160" s="1786" t="s">
        <v>305</v>
      </c>
      <c r="M160" s="277"/>
      <c r="N160" s="270"/>
      <c r="O160" s="1549"/>
      <c r="P160" s="1549"/>
      <c r="AH160" s="1556">
        <v>0</v>
      </c>
    </row>
    <row r="161" spans="1:34" s="1560" customFormat="1" ht="18.75" hidden="1" customHeight="1">
      <c r="A161" s="1705"/>
      <c r="B161" s="1705"/>
      <c r="C161" s="304" t="s">
        <v>1147</v>
      </c>
      <c r="D161" s="2340"/>
      <c r="E161" s="2140"/>
      <c r="F161" s="2283"/>
      <c r="G161" s="2315"/>
      <c r="H161" s="1425"/>
      <c r="I161" s="586" t="s">
        <v>1146</v>
      </c>
      <c r="J161" s="506"/>
      <c r="K161" s="1425"/>
      <c r="L161" s="150"/>
      <c r="M161" s="277"/>
      <c r="N161" s="270"/>
      <c r="O161" s="1549"/>
      <c r="P161" s="1549"/>
      <c r="AH161" s="1556">
        <v>0</v>
      </c>
    </row>
    <row r="162" spans="1:34" s="1560" customFormat="1" ht="0.75" hidden="1" customHeight="1">
      <c r="A162" s="1705"/>
      <c r="B162" s="1705"/>
      <c r="C162" s="304" t="s">
        <v>1154</v>
      </c>
      <c r="D162" s="2340"/>
      <c r="E162" s="2140"/>
      <c r="F162" s="2283"/>
      <c r="G162" s="335"/>
      <c r="H162" s="1425"/>
      <c r="I162" s="586"/>
      <c r="J162" s="506"/>
      <c r="K162" s="1425"/>
      <c r="L162" s="150"/>
      <c r="M162" s="277"/>
      <c r="N162" s="270"/>
      <c r="O162" s="1549"/>
      <c r="P162" s="1549"/>
      <c r="AH162" s="1556">
        <v>0</v>
      </c>
    </row>
    <row r="163" spans="1:34" s="1560" customFormat="1" ht="18.75" hidden="1" customHeight="1">
      <c r="A163" s="1705" t="s">
        <v>186</v>
      </c>
      <c r="B163" s="1705" t="s">
        <v>187</v>
      </c>
      <c r="C163" s="304"/>
      <c r="D163" s="2340"/>
      <c r="E163" s="2140"/>
      <c r="F163" s="2283" t="str">
        <f>INDEX(PT_DIFFERENTIATION_VTAR,MATCH(A163,PT_DIFFERENTIATION_VTAR_ID,0))</f>
        <v>Тарифы на услуги по передаче теплоносителя</v>
      </c>
      <c r="G163" s="2315" t="str">
        <f>INDEX(PT_DIFFERENTIATION_NTAR,MATCH(B163,PT_DIFFERENTIATION_NTAR_ID,0))</f>
        <v/>
      </c>
      <c r="H163" s="1786"/>
      <c r="I163" s="1664"/>
      <c r="J163" s="1698"/>
      <c r="K163" s="1703"/>
      <c r="L163" s="1786" t="s">
        <v>305</v>
      </c>
      <c r="M163" s="277"/>
      <c r="N163" s="270"/>
      <c r="O163" s="1549"/>
      <c r="P163" s="1549"/>
      <c r="AH163" s="1556">
        <v>0</v>
      </c>
    </row>
    <row r="164" spans="1:34" s="1560" customFormat="1" ht="18.75" hidden="1" customHeight="1">
      <c r="A164" s="1705"/>
      <c r="B164" s="1705"/>
      <c r="C164" s="304" t="s">
        <v>1147</v>
      </c>
      <c r="D164" s="2340"/>
      <c r="E164" s="2140"/>
      <c r="F164" s="2283"/>
      <c r="G164" s="2315"/>
      <c r="H164" s="1425"/>
      <c r="I164" s="586" t="s">
        <v>1146</v>
      </c>
      <c r="J164" s="506"/>
      <c r="K164" s="1425"/>
      <c r="L164" s="150"/>
      <c r="M164" s="277"/>
      <c r="N164" s="270"/>
      <c r="O164" s="1549"/>
      <c r="P164" s="1549"/>
      <c r="AH164" s="1556">
        <v>0</v>
      </c>
    </row>
    <row r="165" spans="1:34" s="1560" customFormat="1" ht="0.75" hidden="1" customHeight="1">
      <c r="A165" s="1705"/>
      <c r="B165" s="1705"/>
      <c r="C165" s="304" t="s">
        <v>1154</v>
      </c>
      <c r="D165" s="2340"/>
      <c r="E165" s="2140"/>
      <c r="F165" s="2283"/>
      <c r="G165" s="335"/>
      <c r="H165" s="1425"/>
      <c r="I165" s="586"/>
      <c r="J165" s="506"/>
      <c r="K165" s="1425"/>
      <c r="L165" s="150"/>
      <c r="M165" s="277"/>
      <c r="N165" s="270"/>
      <c r="O165" s="1549"/>
      <c r="P165" s="1549"/>
      <c r="AH165" s="1556">
        <v>0</v>
      </c>
    </row>
    <row r="166" spans="1:34" s="1560" customFormat="1" ht="18.75" hidden="1" customHeight="1">
      <c r="A166" s="1705" t="s">
        <v>192</v>
      </c>
      <c r="B166" s="1705" t="s">
        <v>193</v>
      </c>
      <c r="C166" s="304"/>
      <c r="D166" s="2340"/>
      <c r="E166" s="2140"/>
      <c r="F166" s="2283" t="str">
        <f>INDEX(PT_DIFFERENTIATION_VTAR,MATCH(A166,PT_DIFFERENTIATION_VTAR_ID,0))</f>
        <v>Плата за услуги по поддержанию резервной тепловой мощности при отсутствии потребления тепловой энергии</v>
      </c>
      <c r="G166" s="2315" t="str">
        <f>INDEX(PT_DIFFERENTIATION_NTAR,MATCH(B166,PT_DIFFERENTIATION_NTAR_ID,0))</f>
        <v/>
      </c>
      <c r="H166" s="1786"/>
      <c r="I166" s="1664"/>
      <c r="J166" s="1698"/>
      <c r="K166" s="1703"/>
      <c r="L166" s="1786" t="s">
        <v>305</v>
      </c>
      <c r="M166" s="277"/>
      <c r="N166" s="270"/>
      <c r="O166" s="1549"/>
      <c r="P166" s="1549"/>
      <c r="AH166" s="1556">
        <v>0</v>
      </c>
    </row>
    <row r="167" spans="1:34" s="1560" customFormat="1" ht="18.75" hidden="1" customHeight="1">
      <c r="A167" s="1705"/>
      <c r="B167" s="1705"/>
      <c r="C167" s="304" t="s">
        <v>1147</v>
      </c>
      <c r="D167" s="2340"/>
      <c r="E167" s="2140"/>
      <c r="F167" s="2283"/>
      <c r="G167" s="2315"/>
      <c r="H167" s="1425"/>
      <c r="I167" s="586" t="s">
        <v>1146</v>
      </c>
      <c r="J167" s="506"/>
      <c r="K167" s="1425"/>
      <c r="L167" s="150"/>
      <c r="M167" s="277"/>
      <c r="N167" s="270"/>
      <c r="O167" s="1549"/>
      <c r="P167" s="1549"/>
      <c r="AH167" s="1556">
        <v>0</v>
      </c>
    </row>
    <row r="168" spans="1:34" s="1560" customFormat="1" ht="0.75" hidden="1" customHeight="1">
      <c r="A168" s="1705"/>
      <c r="B168" s="1705"/>
      <c r="C168" s="304" t="s">
        <v>1154</v>
      </c>
      <c r="D168" s="2340"/>
      <c r="E168" s="2140"/>
      <c r="F168" s="2283"/>
      <c r="G168" s="335"/>
      <c r="H168" s="1425"/>
      <c r="I168" s="586"/>
      <c r="J168" s="506"/>
      <c r="K168" s="1425"/>
      <c r="L168" s="150"/>
      <c r="M168" s="277"/>
      <c r="N168" s="270"/>
      <c r="O168" s="1549"/>
      <c r="P168" s="1549"/>
      <c r="AH168" s="1556">
        <v>0</v>
      </c>
    </row>
    <row r="169" spans="1:34" s="1560" customFormat="1" ht="18.75" hidden="1" customHeight="1">
      <c r="A169" s="1705" t="s">
        <v>198</v>
      </c>
      <c r="B169" s="1705" t="s">
        <v>199</v>
      </c>
      <c r="C169" s="304"/>
      <c r="D169" s="2340"/>
      <c r="E169" s="2140"/>
      <c r="F169" s="2283" t="str">
        <f>INDEX(PT_DIFFERENTIATION_VTAR,MATCH(A169,PT_DIFFERENTIATION_VTAR_ID,0))</f>
        <v>Плата за подключение (технологическое присоединение) к системе теплоснабжения</v>
      </c>
      <c r="G169" s="2315" t="str">
        <f>INDEX(PT_DIFFERENTIATION_NTAR,MATCH(B169,PT_DIFFERENTIATION_NTAR_ID,0))</f>
        <v/>
      </c>
      <c r="H169" s="1786"/>
      <c r="I169" s="1664"/>
      <c r="J169" s="1698"/>
      <c r="K169" s="1703"/>
      <c r="L169" s="1786" t="s">
        <v>305</v>
      </c>
      <c r="M169" s="277"/>
      <c r="N169" s="270"/>
      <c r="O169" s="1549"/>
      <c r="P169" s="1549"/>
      <c r="AH169" s="1556">
        <v>0</v>
      </c>
    </row>
    <row r="170" spans="1:34" s="1560" customFormat="1" ht="18.75" hidden="1" customHeight="1">
      <c r="A170" s="1705"/>
      <c r="B170" s="1705"/>
      <c r="C170" s="304" t="s">
        <v>1147</v>
      </c>
      <c r="D170" s="2340"/>
      <c r="E170" s="2140"/>
      <c r="F170" s="2283"/>
      <c r="G170" s="2315"/>
      <c r="H170" s="1425"/>
      <c r="I170" s="586" t="s">
        <v>1146</v>
      </c>
      <c r="J170" s="506"/>
      <c r="K170" s="1425"/>
      <c r="L170" s="150"/>
      <c r="M170" s="277"/>
      <c r="N170" s="270"/>
      <c r="O170" s="1549"/>
      <c r="P170" s="1549"/>
      <c r="AH170" s="1556">
        <v>0</v>
      </c>
    </row>
    <row r="171" spans="1:34" s="1560" customFormat="1" ht="0.75" hidden="1" customHeight="1">
      <c r="A171" s="1705"/>
      <c r="B171" s="1705"/>
      <c r="C171" s="304" t="s">
        <v>1154</v>
      </c>
      <c r="D171" s="2340"/>
      <c r="E171" s="2140"/>
      <c r="F171" s="2283"/>
      <c r="G171" s="335"/>
      <c r="H171" s="1425"/>
      <c r="I171" s="586"/>
      <c r="J171" s="506"/>
      <c r="K171" s="1425"/>
      <c r="L171" s="150"/>
      <c r="M171" s="277"/>
      <c r="N171" s="270"/>
      <c r="O171" s="1549"/>
      <c r="P171" s="1549"/>
      <c r="AH171" s="1556">
        <v>0</v>
      </c>
    </row>
    <row r="172" spans="1:34" s="1560" customFormat="1" ht="18.75" hidden="1" customHeight="1">
      <c r="A172" s="1705" t="s">
        <v>204</v>
      </c>
      <c r="B172" s="1705" t="s">
        <v>205</v>
      </c>
      <c r="C172" s="304"/>
      <c r="D172" s="2340"/>
      <c r="E172" s="2140"/>
      <c r="F172" s="2283" t="str">
        <f>INDEX(PT_DIFFERENTIATION_VTAR,MATCH(A172,PT_DIFFERENTIATION_VTAR_ID,0))</f>
        <v>Плата за подключение (технологическое присоединение) к системе теплоснабжения (индивидуальная)</v>
      </c>
      <c r="G172" s="2315" t="str">
        <f>INDEX(PT_DIFFERENTIATION_NTAR,MATCH(B172,PT_DIFFERENTIATION_NTAR_ID,0))</f>
        <v/>
      </c>
      <c r="H172" s="1910"/>
      <c r="I172" s="1664"/>
      <c r="J172" s="1698"/>
      <c r="K172" s="1703"/>
      <c r="L172" s="1910" t="s">
        <v>305</v>
      </c>
      <c r="M172" s="277"/>
      <c r="N172" s="270"/>
      <c r="O172" s="1549"/>
      <c r="P172" s="1549"/>
      <c r="AH172" s="1556">
        <v>0</v>
      </c>
    </row>
    <row r="173" spans="1:34" s="1560" customFormat="1" ht="18.75" hidden="1" customHeight="1">
      <c r="A173" s="1705"/>
      <c r="B173" s="1705"/>
      <c r="C173" s="304" t="s">
        <v>1147</v>
      </c>
      <c r="D173" s="2340"/>
      <c r="E173" s="2140"/>
      <c r="F173" s="2283"/>
      <c r="G173" s="2315"/>
      <c r="H173" s="1425"/>
      <c r="I173" s="586" t="s">
        <v>1146</v>
      </c>
      <c r="J173" s="506"/>
      <c r="K173" s="1425"/>
      <c r="L173" s="150"/>
      <c r="M173" s="277"/>
      <c r="N173" s="270"/>
      <c r="O173" s="1549"/>
      <c r="P173" s="1549"/>
      <c r="AH173" s="1556">
        <v>0</v>
      </c>
    </row>
    <row r="174" spans="1:34" s="1560" customFormat="1" ht="0.75" hidden="1" customHeight="1">
      <c r="A174" s="1705"/>
      <c r="B174" s="1705"/>
      <c r="C174" s="304" t="s">
        <v>1154</v>
      </c>
      <c r="D174" s="2340"/>
      <c r="E174" s="2140"/>
      <c r="F174" s="2283"/>
      <c r="G174" s="335"/>
      <c r="H174" s="1425"/>
      <c r="I174" s="586"/>
      <c r="J174" s="506"/>
      <c r="K174" s="1425"/>
      <c r="L174" s="150"/>
      <c r="M174" s="277"/>
      <c r="N174" s="270"/>
      <c r="O174" s="1549"/>
      <c r="P174" s="1549"/>
      <c r="AH174" s="1556">
        <v>0</v>
      </c>
    </row>
    <row r="175" spans="1:34" s="1560" customFormat="1" ht="18.75" hidden="1" customHeight="1">
      <c r="A175" s="1705" t="s">
        <v>224</v>
      </c>
      <c r="B175" s="1705" t="s">
        <v>225</v>
      </c>
      <c r="C175" s="304"/>
      <c r="D175" s="2340"/>
      <c r="E175" s="2140"/>
      <c r="F175" s="2283" t="str">
        <f>INDEX(PT_DIFFERENTIATION_VTAR,MATCH(A175,PT_DIFFERENTIATION_VTAR_ID,0))</f>
        <v>Тариф на питьевую воду (питьевое водоснабжение)</v>
      </c>
      <c r="G175" s="2315" t="str">
        <f>INDEX(PT_DIFFERENTIATION_NTAR,MATCH(B175,PT_DIFFERENTIATION_NTAR_ID,0))</f>
        <v/>
      </c>
      <c r="H175" s="1786"/>
      <c r="I175" s="1664"/>
      <c r="J175" s="1698"/>
      <c r="K175" s="1703"/>
      <c r="L175" s="1786" t="s">
        <v>305</v>
      </c>
      <c r="M175" s="277"/>
      <c r="N175" s="270"/>
      <c r="O175" s="1549"/>
      <c r="P175" s="1549"/>
      <c r="AH175" s="1556">
        <v>0</v>
      </c>
    </row>
    <row r="176" spans="1:34" s="1560" customFormat="1" ht="18.75" hidden="1" customHeight="1">
      <c r="A176" s="1705"/>
      <c r="B176" s="1705"/>
      <c r="C176" s="304" t="s">
        <v>1147</v>
      </c>
      <c r="D176" s="2340"/>
      <c r="E176" s="2140"/>
      <c r="F176" s="2283"/>
      <c r="G176" s="2315"/>
      <c r="H176" s="1425"/>
      <c r="I176" s="586" t="s">
        <v>1146</v>
      </c>
      <c r="J176" s="506"/>
      <c r="K176" s="1425"/>
      <c r="L176" s="150"/>
      <c r="M176" s="277"/>
      <c r="N176" s="270"/>
      <c r="O176" s="1549"/>
      <c r="P176" s="1549"/>
      <c r="AH176" s="1556">
        <v>0</v>
      </c>
    </row>
    <row r="177" spans="1:34" s="1560" customFormat="1" ht="0.75" hidden="1" customHeight="1">
      <c r="A177" s="1705"/>
      <c r="B177" s="1705"/>
      <c r="C177" s="304" t="s">
        <v>1154</v>
      </c>
      <c r="D177" s="2340"/>
      <c r="E177" s="2140"/>
      <c r="F177" s="2283"/>
      <c r="G177" s="335"/>
      <c r="H177" s="1425"/>
      <c r="I177" s="586"/>
      <c r="J177" s="506"/>
      <c r="K177" s="1425"/>
      <c r="L177" s="150"/>
      <c r="M177" s="277"/>
      <c r="N177" s="270"/>
      <c r="O177" s="1549"/>
      <c r="P177" s="1549"/>
      <c r="AH177" s="1556">
        <v>0</v>
      </c>
    </row>
    <row r="178" spans="1:34" s="1560" customFormat="1" ht="18.75" hidden="1" customHeight="1">
      <c r="A178" s="1705" t="s">
        <v>229</v>
      </c>
      <c r="B178" s="1705" t="s">
        <v>230</v>
      </c>
      <c r="C178" s="304"/>
      <c r="D178" s="2340"/>
      <c r="E178" s="2140"/>
      <c r="F178" s="2283" t="str">
        <f>INDEX(PT_DIFFERENTIATION_VTAR,MATCH(A178,PT_DIFFERENTIATION_VTAR_ID,0))</f>
        <v>Тариф на техническую воду</v>
      </c>
      <c r="G178" s="2315" t="str">
        <f>INDEX(PT_DIFFERENTIATION_NTAR,MATCH(B178,PT_DIFFERENTIATION_NTAR_ID,0))</f>
        <v/>
      </c>
      <c r="H178" s="1786"/>
      <c r="I178" s="1664"/>
      <c r="J178" s="1698"/>
      <c r="K178" s="1703"/>
      <c r="L178" s="1786" t="s">
        <v>305</v>
      </c>
      <c r="M178" s="277"/>
      <c r="N178" s="270"/>
      <c r="O178" s="1549"/>
      <c r="P178" s="1549"/>
      <c r="AH178" s="1556">
        <v>0</v>
      </c>
    </row>
    <row r="179" spans="1:34" s="1560" customFormat="1" ht="18.75" hidden="1" customHeight="1">
      <c r="A179" s="1705"/>
      <c r="B179" s="1705"/>
      <c r="C179" s="304" t="s">
        <v>1147</v>
      </c>
      <c r="D179" s="2340"/>
      <c r="E179" s="2140"/>
      <c r="F179" s="2283"/>
      <c r="G179" s="2315"/>
      <c r="H179" s="1425"/>
      <c r="I179" s="586" t="s">
        <v>1146</v>
      </c>
      <c r="J179" s="506"/>
      <c r="K179" s="1425"/>
      <c r="L179" s="150"/>
      <c r="M179" s="277"/>
      <c r="N179" s="270"/>
      <c r="O179" s="1549"/>
      <c r="P179" s="1549"/>
      <c r="AH179" s="1556">
        <v>0</v>
      </c>
    </row>
    <row r="180" spans="1:34" s="1560" customFormat="1" ht="0.75" hidden="1" customHeight="1">
      <c r="A180" s="1705"/>
      <c r="B180" s="1705"/>
      <c r="C180" s="304" t="s">
        <v>1154</v>
      </c>
      <c r="D180" s="2340"/>
      <c r="E180" s="2140"/>
      <c r="F180" s="2283"/>
      <c r="G180" s="335"/>
      <c r="H180" s="1425"/>
      <c r="I180" s="586"/>
      <c r="J180" s="506"/>
      <c r="K180" s="1425"/>
      <c r="L180" s="150"/>
      <c r="M180" s="277"/>
      <c r="N180" s="270"/>
      <c r="O180" s="1549"/>
      <c r="P180" s="1549"/>
      <c r="AH180" s="1556">
        <v>0</v>
      </c>
    </row>
    <row r="181" spans="1:34" s="1560" customFormat="1" ht="18.75" hidden="1" customHeight="1">
      <c r="A181" s="1705" t="s">
        <v>234</v>
      </c>
      <c r="B181" s="1705" t="s">
        <v>235</v>
      </c>
      <c r="C181" s="304"/>
      <c r="D181" s="2340"/>
      <c r="E181" s="2140"/>
      <c r="F181" s="2283" t="str">
        <f>INDEX(PT_DIFFERENTIATION_VTAR,MATCH(A181,PT_DIFFERENTIATION_VTAR_ID,0))</f>
        <v>Тариф на транспортировку воды</v>
      </c>
      <c r="G181" s="2315" t="str">
        <f>INDEX(PT_DIFFERENTIATION_NTAR,MATCH(B181,PT_DIFFERENTIATION_NTAR_ID,0))</f>
        <v/>
      </c>
      <c r="H181" s="1786"/>
      <c r="I181" s="1664"/>
      <c r="J181" s="1698"/>
      <c r="K181" s="1703"/>
      <c r="L181" s="1786" t="s">
        <v>305</v>
      </c>
      <c r="M181" s="277"/>
      <c r="N181" s="270"/>
      <c r="O181" s="1549"/>
      <c r="P181" s="1549"/>
      <c r="AH181" s="1556">
        <v>0</v>
      </c>
    </row>
    <row r="182" spans="1:34" s="1560" customFormat="1" ht="18.75" hidden="1" customHeight="1">
      <c r="A182" s="1705"/>
      <c r="B182" s="1705"/>
      <c r="C182" s="304" t="s">
        <v>1147</v>
      </c>
      <c r="D182" s="2340"/>
      <c r="E182" s="2140"/>
      <c r="F182" s="2283"/>
      <c r="G182" s="2315"/>
      <c r="H182" s="1425"/>
      <c r="I182" s="586" t="s">
        <v>1146</v>
      </c>
      <c r="J182" s="506"/>
      <c r="K182" s="1425"/>
      <c r="L182" s="150"/>
      <c r="M182" s="277"/>
      <c r="N182" s="270"/>
      <c r="O182" s="1549"/>
      <c r="P182" s="1549"/>
      <c r="AH182" s="1556">
        <v>0</v>
      </c>
    </row>
    <row r="183" spans="1:34" s="1560" customFormat="1" ht="0.75" hidden="1" customHeight="1">
      <c r="A183" s="1705"/>
      <c r="B183" s="1705"/>
      <c r="C183" s="304" t="s">
        <v>1154</v>
      </c>
      <c r="D183" s="2340"/>
      <c r="E183" s="2140"/>
      <c r="F183" s="2283"/>
      <c r="G183" s="335"/>
      <c r="H183" s="1425"/>
      <c r="I183" s="586"/>
      <c r="J183" s="506"/>
      <c r="K183" s="1425"/>
      <c r="L183" s="150"/>
      <c r="M183" s="277"/>
      <c r="N183" s="270"/>
      <c r="O183" s="1549"/>
      <c r="P183" s="1549"/>
      <c r="AH183" s="1556">
        <v>0</v>
      </c>
    </row>
    <row r="184" spans="1:34" s="1560" customFormat="1" ht="18.75" hidden="1" customHeight="1">
      <c r="A184" s="1705" t="s">
        <v>239</v>
      </c>
      <c r="B184" s="1705" t="s">
        <v>240</v>
      </c>
      <c r="C184" s="304"/>
      <c r="D184" s="2340"/>
      <c r="E184" s="2140"/>
      <c r="F184" s="2283" t="str">
        <f>INDEX(PT_DIFFERENTIATION_VTAR,MATCH(A184,PT_DIFFERENTIATION_VTAR_ID,0))</f>
        <v>Тариф на подвоз воды</v>
      </c>
      <c r="G184" s="2315" t="str">
        <f>INDEX(PT_DIFFERENTIATION_NTAR,MATCH(B184,PT_DIFFERENTIATION_NTAR_ID,0))</f>
        <v/>
      </c>
      <c r="H184" s="1786"/>
      <c r="I184" s="1664"/>
      <c r="J184" s="1698"/>
      <c r="K184" s="1703"/>
      <c r="L184" s="1786" t="s">
        <v>305</v>
      </c>
      <c r="M184" s="277"/>
      <c r="N184" s="270"/>
      <c r="O184" s="1549"/>
      <c r="P184" s="1549"/>
      <c r="AH184" s="1556">
        <v>0</v>
      </c>
    </row>
    <row r="185" spans="1:34" s="1560" customFormat="1" ht="18.75" hidden="1" customHeight="1">
      <c r="A185" s="1705"/>
      <c r="B185" s="1705"/>
      <c r="C185" s="304" t="s">
        <v>1147</v>
      </c>
      <c r="D185" s="2340"/>
      <c r="E185" s="2140"/>
      <c r="F185" s="2283"/>
      <c r="G185" s="2315"/>
      <c r="H185" s="1425"/>
      <c r="I185" s="586" t="s">
        <v>1146</v>
      </c>
      <c r="J185" s="506"/>
      <c r="K185" s="1425"/>
      <c r="L185" s="150"/>
      <c r="M185" s="277"/>
      <c r="N185" s="270"/>
      <c r="O185" s="1549"/>
      <c r="P185" s="1549"/>
      <c r="AH185" s="1556">
        <v>0</v>
      </c>
    </row>
    <row r="186" spans="1:34" s="1560" customFormat="1" ht="0.75" hidden="1" customHeight="1">
      <c r="A186" s="1705"/>
      <c r="B186" s="1705"/>
      <c r="C186" s="304" t="s">
        <v>1154</v>
      </c>
      <c r="D186" s="2340"/>
      <c r="E186" s="2140"/>
      <c r="F186" s="2283"/>
      <c r="G186" s="335"/>
      <c r="H186" s="1425"/>
      <c r="I186" s="586"/>
      <c r="J186" s="506"/>
      <c r="K186" s="1425"/>
      <c r="L186" s="150"/>
      <c r="M186" s="277"/>
      <c r="N186" s="270"/>
      <c r="O186" s="1549"/>
      <c r="P186" s="1549"/>
      <c r="AH186" s="1556">
        <v>0</v>
      </c>
    </row>
    <row r="187" spans="1:34" s="1560" customFormat="1" ht="18.75" hidden="1" customHeight="1">
      <c r="A187" s="1705" t="s">
        <v>244</v>
      </c>
      <c r="B187" s="1705" t="s">
        <v>245</v>
      </c>
      <c r="C187" s="304"/>
      <c r="D187" s="2340"/>
      <c r="E187" s="2140"/>
      <c r="F187" s="2283" t="str">
        <f>INDEX(PT_DIFFERENTIATION_VTAR,MATCH(A187,PT_DIFFERENTIATION_VTAR_ID,0))</f>
        <v>Тариф на подключение (технологическое присоединение) к централизованной системе холодного водоснабжения</v>
      </c>
      <c r="G187" s="2315" t="str">
        <f>INDEX(PT_DIFFERENTIATION_NTAR,MATCH(B187,PT_DIFFERENTIATION_NTAR_ID,0))</f>
        <v/>
      </c>
      <c r="H187" s="1786"/>
      <c r="I187" s="1664"/>
      <c r="J187" s="1698"/>
      <c r="K187" s="1703"/>
      <c r="L187" s="1786" t="s">
        <v>305</v>
      </c>
      <c r="M187" s="277"/>
      <c r="N187" s="270"/>
      <c r="O187" s="1549"/>
      <c r="P187" s="1549"/>
      <c r="AH187" s="1556">
        <v>0</v>
      </c>
    </row>
    <row r="188" spans="1:34" s="1560" customFormat="1" ht="18.75" hidden="1" customHeight="1">
      <c r="A188" s="1705"/>
      <c r="B188" s="1705"/>
      <c r="C188" s="304" t="s">
        <v>1147</v>
      </c>
      <c r="D188" s="2340"/>
      <c r="E188" s="2140"/>
      <c r="F188" s="2283"/>
      <c r="G188" s="2315"/>
      <c r="H188" s="1425"/>
      <c r="I188" s="586" t="s">
        <v>1146</v>
      </c>
      <c r="J188" s="506"/>
      <c r="K188" s="1425"/>
      <c r="L188" s="150"/>
      <c r="M188" s="277"/>
      <c r="N188" s="270"/>
      <c r="O188" s="1549"/>
      <c r="P188" s="1549"/>
      <c r="AH188" s="1556">
        <v>0</v>
      </c>
    </row>
    <row r="189" spans="1:34" s="1560" customFormat="1" ht="0.75" hidden="1" customHeight="1">
      <c r="A189" s="1705"/>
      <c r="B189" s="1705"/>
      <c r="C189" s="304" t="s">
        <v>1154</v>
      </c>
      <c r="D189" s="2340"/>
      <c r="E189" s="2140"/>
      <c r="F189" s="2283"/>
      <c r="G189" s="335"/>
      <c r="H189" s="1425"/>
      <c r="I189" s="586"/>
      <c r="J189" s="506"/>
      <c r="K189" s="1425"/>
      <c r="L189" s="150"/>
      <c r="M189" s="277"/>
      <c r="N189" s="270"/>
      <c r="O189" s="1549"/>
      <c r="P189" s="1549"/>
      <c r="AH189" s="1556">
        <v>0</v>
      </c>
    </row>
    <row r="190" spans="1:34" s="1560" customFormat="1" ht="18.75" hidden="1" customHeight="1">
      <c r="A190" s="1705" t="s">
        <v>249</v>
      </c>
      <c r="B190" s="1705" t="s">
        <v>250</v>
      </c>
      <c r="C190" s="304"/>
      <c r="D190" s="2340"/>
      <c r="E190" s="2140"/>
      <c r="F190" s="2283" t="str">
        <f>INDEX(PT_DIFFERENTIATION_VTAR,MATCH(A190,PT_DIFFERENTIATION_VTAR_ID,0))</f>
        <v>Тариф на горячую воду (горячее водоснабжение)</v>
      </c>
      <c r="G190" s="2315" t="str">
        <f>INDEX(PT_DIFFERENTIATION_NTAR,MATCH(B190,PT_DIFFERENTIATION_NTAR_ID,0))</f>
        <v/>
      </c>
      <c r="H190" s="1786"/>
      <c r="I190" s="1664"/>
      <c r="J190" s="1698"/>
      <c r="K190" s="1703"/>
      <c r="L190" s="1786" t="s">
        <v>305</v>
      </c>
      <c r="M190" s="277"/>
      <c r="N190" s="270"/>
      <c r="O190" s="1549"/>
      <c r="P190" s="1549"/>
      <c r="AH190" s="1556">
        <v>0</v>
      </c>
    </row>
    <row r="191" spans="1:34" s="1560" customFormat="1" ht="18.75" hidden="1" customHeight="1">
      <c r="A191" s="1705"/>
      <c r="B191" s="1705"/>
      <c r="C191" s="304" t="s">
        <v>1147</v>
      </c>
      <c r="D191" s="2340"/>
      <c r="E191" s="2140"/>
      <c r="F191" s="2283"/>
      <c r="G191" s="2315"/>
      <c r="H191" s="1425"/>
      <c r="I191" s="586" t="s">
        <v>1146</v>
      </c>
      <c r="J191" s="506"/>
      <c r="K191" s="1425"/>
      <c r="L191" s="150"/>
      <c r="M191" s="277"/>
      <c r="N191" s="270"/>
      <c r="O191" s="1549"/>
      <c r="P191" s="1549"/>
      <c r="AH191" s="1556">
        <v>0</v>
      </c>
    </row>
    <row r="192" spans="1:34" s="1560" customFormat="1" ht="0.75" hidden="1" customHeight="1">
      <c r="A192" s="1705"/>
      <c r="B192" s="1705"/>
      <c r="C192" s="304" t="s">
        <v>1154</v>
      </c>
      <c r="D192" s="2340"/>
      <c r="E192" s="2140"/>
      <c r="F192" s="2283"/>
      <c r="G192" s="335"/>
      <c r="H192" s="1425"/>
      <c r="I192" s="586"/>
      <c r="J192" s="506"/>
      <c r="K192" s="1425"/>
      <c r="L192" s="150"/>
      <c r="M192" s="277"/>
      <c r="N192" s="270"/>
      <c r="O192" s="1549"/>
      <c r="P192" s="1549"/>
      <c r="AH192" s="1556">
        <v>0</v>
      </c>
    </row>
    <row r="193" spans="1:34" s="1560" customFormat="1" ht="18.75" hidden="1" customHeight="1">
      <c r="A193" s="1705" t="s">
        <v>254</v>
      </c>
      <c r="B193" s="1705" t="s">
        <v>255</v>
      </c>
      <c r="C193" s="304"/>
      <c r="D193" s="2340"/>
      <c r="E193" s="2140"/>
      <c r="F193" s="2283" t="str">
        <f>INDEX(PT_DIFFERENTIATION_VTAR,MATCH(A193,PT_DIFFERENTIATION_VTAR_ID,0))</f>
        <v>Тариф на транспортировку горячей воды</v>
      </c>
      <c r="G193" s="2315" t="str">
        <f>INDEX(PT_DIFFERENTIATION_NTAR,MATCH(B193,PT_DIFFERENTIATION_NTAR_ID,0))</f>
        <v/>
      </c>
      <c r="H193" s="1786"/>
      <c r="I193" s="1664"/>
      <c r="J193" s="1698"/>
      <c r="K193" s="1703"/>
      <c r="L193" s="1786" t="s">
        <v>305</v>
      </c>
      <c r="M193" s="277"/>
      <c r="N193" s="270"/>
      <c r="O193" s="1549"/>
      <c r="P193" s="1549"/>
      <c r="AH193" s="1556">
        <v>0</v>
      </c>
    </row>
    <row r="194" spans="1:34" s="1560" customFormat="1" ht="18.75" hidden="1" customHeight="1">
      <c r="A194" s="1705"/>
      <c r="B194" s="1705"/>
      <c r="C194" s="304" t="s">
        <v>1147</v>
      </c>
      <c r="D194" s="2340"/>
      <c r="E194" s="2140"/>
      <c r="F194" s="2283"/>
      <c r="G194" s="2315"/>
      <c r="H194" s="1425"/>
      <c r="I194" s="586" t="s">
        <v>1146</v>
      </c>
      <c r="J194" s="506"/>
      <c r="K194" s="1425"/>
      <c r="L194" s="150"/>
      <c r="M194" s="277"/>
      <c r="N194" s="270"/>
      <c r="O194" s="1549"/>
      <c r="P194" s="1549"/>
      <c r="AH194" s="1556">
        <v>0</v>
      </c>
    </row>
    <row r="195" spans="1:34" s="1560" customFormat="1" ht="0.75" hidden="1" customHeight="1">
      <c r="A195" s="1705"/>
      <c r="B195" s="1705"/>
      <c r="C195" s="304" t="s">
        <v>1154</v>
      </c>
      <c r="D195" s="2340"/>
      <c r="E195" s="2140"/>
      <c r="F195" s="2283"/>
      <c r="G195" s="335"/>
      <c r="H195" s="1425"/>
      <c r="I195" s="586"/>
      <c r="J195" s="506"/>
      <c r="K195" s="1425"/>
      <c r="L195" s="150"/>
      <c r="M195" s="277"/>
      <c r="N195" s="270"/>
      <c r="O195" s="1549"/>
      <c r="P195" s="1549"/>
      <c r="AH195" s="1556">
        <v>0</v>
      </c>
    </row>
    <row r="196" spans="1:34" s="1560" customFormat="1" ht="18.75" hidden="1" customHeight="1">
      <c r="A196" s="1705" t="s">
        <v>259</v>
      </c>
      <c r="B196" s="1705" t="s">
        <v>260</v>
      </c>
      <c r="C196" s="304"/>
      <c r="D196" s="2340"/>
      <c r="E196" s="2140"/>
      <c r="F196" s="2283" t="str">
        <f>INDEX(PT_DIFFERENTIATION_VTAR,MATCH(A196,PT_DIFFERENTIATION_VTAR_ID,0))</f>
        <v>Тариф на подключение (технологическое присоединение) к централизованной системе горячего водоснабжения</v>
      </c>
      <c r="G196" s="2315" t="str">
        <f>INDEX(PT_DIFFERENTIATION_NTAR,MATCH(B196,PT_DIFFERENTIATION_NTAR_ID,0))</f>
        <v/>
      </c>
      <c r="H196" s="1786"/>
      <c r="I196" s="1664"/>
      <c r="J196" s="1698"/>
      <c r="K196" s="1703"/>
      <c r="L196" s="1786" t="s">
        <v>305</v>
      </c>
      <c r="M196" s="277"/>
      <c r="N196" s="270"/>
      <c r="O196" s="1549"/>
      <c r="P196" s="1549"/>
      <c r="AH196" s="1556">
        <v>0</v>
      </c>
    </row>
    <row r="197" spans="1:34" s="1560" customFormat="1" ht="18.75" hidden="1" customHeight="1">
      <c r="A197" s="1705"/>
      <c r="B197" s="1705"/>
      <c r="C197" s="304" t="s">
        <v>1147</v>
      </c>
      <c r="D197" s="2340"/>
      <c r="E197" s="2140"/>
      <c r="F197" s="2283"/>
      <c r="G197" s="2315"/>
      <c r="H197" s="1425"/>
      <c r="I197" s="586" t="s">
        <v>1146</v>
      </c>
      <c r="J197" s="506"/>
      <c r="K197" s="1425"/>
      <c r="L197" s="150"/>
      <c r="M197" s="277"/>
      <c r="N197" s="270"/>
      <c r="O197" s="1549"/>
      <c r="P197" s="1549"/>
      <c r="AH197" s="1556">
        <v>0</v>
      </c>
    </row>
    <row r="198" spans="1:34" s="1560" customFormat="1" ht="0.75" hidden="1" customHeight="1">
      <c r="A198" s="1705"/>
      <c r="B198" s="1705"/>
      <c r="C198" s="304" t="s">
        <v>1154</v>
      </c>
      <c r="D198" s="2340"/>
      <c r="E198" s="2140"/>
      <c r="F198" s="2283"/>
      <c r="G198" s="335"/>
      <c r="H198" s="1425"/>
      <c r="I198" s="586"/>
      <c r="J198" s="506"/>
      <c r="K198" s="1425"/>
      <c r="L198" s="150"/>
      <c r="M198" s="277"/>
      <c r="N198" s="270"/>
      <c r="O198" s="1549"/>
      <c r="P198" s="1549"/>
      <c r="AH198" s="1556">
        <v>0</v>
      </c>
    </row>
    <row r="199" spans="1:34" s="1560" customFormat="1" ht="18.75" hidden="1" customHeight="1">
      <c r="A199" s="1705" t="s">
        <v>264</v>
      </c>
      <c r="B199" s="1705" t="s">
        <v>265</v>
      </c>
      <c r="C199" s="304"/>
      <c r="D199" s="2340"/>
      <c r="E199" s="2140"/>
      <c r="F199" s="2283" t="str">
        <f>INDEX(PT_DIFFERENTIATION_VTAR,MATCH(A199,PT_DIFFERENTIATION_VTAR_ID,0))</f>
        <v>Тариф на водоотведение</v>
      </c>
      <c r="G199" s="2315" t="str">
        <f>INDEX(PT_DIFFERENTIATION_NTAR,MATCH(B199,PT_DIFFERENTIATION_NTAR_ID,0))</f>
        <v/>
      </c>
      <c r="H199" s="1786"/>
      <c r="I199" s="1664"/>
      <c r="J199" s="1698"/>
      <c r="K199" s="1703"/>
      <c r="L199" s="1786" t="s">
        <v>305</v>
      </c>
      <c r="M199" s="277"/>
      <c r="N199" s="270"/>
      <c r="O199" s="1549"/>
      <c r="P199" s="1549"/>
      <c r="AH199" s="1556">
        <v>0</v>
      </c>
    </row>
    <row r="200" spans="1:34" s="1560" customFormat="1" ht="18.75" hidden="1" customHeight="1">
      <c r="A200" s="1705"/>
      <c r="B200" s="1705"/>
      <c r="C200" s="304" t="s">
        <v>1147</v>
      </c>
      <c r="D200" s="2340"/>
      <c r="E200" s="2140"/>
      <c r="F200" s="2283"/>
      <c r="G200" s="2315"/>
      <c r="H200" s="1425"/>
      <c r="I200" s="586" t="s">
        <v>1146</v>
      </c>
      <c r="J200" s="506"/>
      <c r="K200" s="1425"/>
      <c r="L200" s="150"/>
      <c r="M200" s="277"/>
      <c r="N200" s="270"/>
      <c r="O200" s="1549"/>
      <c r="P200" s="1549"/>
      <c r="AH200" s="1556">
        <v>0</v>
      </c>
    </row>
    <row r="201" spans="1:34" s="1560" customFormat="1" ht="0.75" hidden="1" customHeight="1">
      <c r="A201" s="1705"/>
      <c r="B201" s="1705"/>
      <c r="C201" s="304" t="s">
        <v>1154</v>
      </c>
      <c r="D201" s="2340"/>
      <c r="E201" s="2140"/>
      <c r="F201" s="2283"/>
      <c r="G201" s="335"/>
      <c r="H201" s="1425"/>
      <c r="I201" s="586"/>
      <c r="J201" s="506"/>
      <c r="K201" s="1425"/>
      <c r="L201" s="150"/>
      <c r="M201" s="277"/>
      <c r="N201" s="270"/>
      <c r="O201" s="1549"/>
      <c r="P201" s="1549"/>
      <c r="AH201" s="1556">
        <v>0</v>
      </c>
    </row>
    <row r="202" spans="1:34" s="1560" customFormat="1" ht="18.75" hidden="1" customHeight="1">
      <c r="A202" s="1705" t="s">
        <v>269</v>
      </c>
      <c r="B202" s="1705" t="s">
        <v>270</v>
      </c>
      <c r="C202" s="304"/>
      <c r="D202" s="2340"/>
      <c r="E202" s="2140"/>
      <c r="F202" s="2283" t="str">
        <f>INDEX(PT_DIFFERENTIATION_VTAR,MATCH(A202,PT_DIFFERENTIATION_VTAR_ID,0))</f>
        <v>Тариф на транспортировку сточных вод</v>
      </c>
      <c r="G202" s="2315" t="str">
        <f>INDEX(PT_DIFFERENTIATION_NTAR,MATCH(B202,PT_DIFFERENTIATION_NTAR_ID,0))</f>
        <v/>
      </c>
      <c r="H202" s="1786"/>
      <c r="I202" s="1664"/>
      <c r="J202" s="1698"/>
      <c r="K202" s="1703"/>
      <c r="L202" s="1786" t="s">
        <v>305</v>
      </c>
      <c r="M202" s="277"/>
      <c r="N202" s="270"/>
      <c r="O202" s="1549"/>
      <c r="P202" s="1549"/>
      <c r="AH202" s="1556">
        <v>0</v>
      </c>
    </row>
    <row r="203" spans="1:34" s="1560" customFormat="1" ht="18.75" hidden="1" customHeight="1">
      <c r="A203" s="1705"/>
      <c r="B203" s="1705"/>
      <c r="C203" s="304" t="s">
        <v>1147</v>
      </c>
      <c r="D203" s="2340"/>
      <c r="E203" s="2140"/>
      <c r="F203" s="2283"/>
      <c r="G203" s="2315"/>
      <c r="H203" s="1425"/>
      <c r="I203" s="586" t="s">
        <v>1146</v>
      </c>
      <c r="J203" s="506"/>
      <c r="K203" s="1425"/>
      <c r="L203" s="150"/>
      <c r="M203" s="277"/>
      <c r="N203" s="270"/>
      <c r="O203" s="1549"/>
      <c r="P203" s="1549"/>
      <c r="AH203" s="1556">
        <v>0</v>
      </c>
    </row>
    <row r="204" spans="1:34" s="1560" customFormat="1" ht="0.75" hidden="1" customHeight="1">
      <c r="A204" s="1705"/>
      <c r="B204" s="1705"/>
      <c r="C204" s="304" t="s">
        <v>1154</v>
      </c>
      <c r="D204" s="2340"/>
      <c r="E204" s="2140"/>
      <c r="F204" s="2283"/>
      <c r="G204" s="335"/>
      <c r="H204" s="1425"/>
      <c r="I204" s="586"/>
      <c r="J204" s="506"/>
      <c r="K204" s="1425"/>
      <c r="L204" s="150"/>
      <c r="M204" s="277"/>
      <c r="N204" s="270"/>
      <c r="O204" s="1549"/>
      <c r="P204" s="1549"/>
      <c r="AH204" s="1556">
        <v>0</v>
      </c>
    </row>
    <row r="205" spans="1:34" s="1560" customFormat="1" ht="18.75" hidden="1" customHeight="1">
      <c r="A205" s="1705" t="s">
        <v>274</v>
      </c>
      <c r="B205" s="1705" t="s">
        <v>275</v>
      </c>
      <c r="C205" s="304"/>
      <c r="D205" s="2340"/>
      <c r="E205" s="2140"/>
      <c r="F205" s="2283" t="str">
        <f>INDEX(PT_DIFFERENTIATION_VTAR,MATCH(A205,PT_DIFFERENTIATION_VTAR_ID,0))</f>
        <v>Тариф на подключение (технологическое присоединение) к централизованной системе водоотведения</v>
      </c>
      <c r="G205" s="2315" t="str">
        <f>INDEX(PT_DIFFERENTIATION_NTAR,MATCH(B205,PT_DIFFERENTIATION_NTAR_ID,0))</f>
        <v/>
      </c>
      <c r="H205" s="1786"/>
      <c r="I205" s="1664"/>
      <c r="J205" s="1698"/>
      <c r="K205" s="1703"/>
      <c r="L205" s="1786" t="s">
        <v>305</v>
      </c>
      <c r="M205" s="277"/>
      <c r="N205" s="270"/>
      <c r="O205" s="1549"/>
      <c r="P205" s="1549"/>
      <c r="AH205" s="1556">
        <v>0</v>
      </c>
    </row>
    <row r="206" spans="1:34" s="1560" customFormat="1" ht="18.75" hidden="1" customHeight="1">
      <c r="A206" s="1705"/>
      <c r="B206" s="1705"/>
      <c r="C206" s="304" t="s">
        <v>1147</v>
      </c>
      <c r="D206" s="2340"/>
      <c r="E206" s="2140"/>
      <c r="F206" s="2283"/>
      <c r="G206" s="2315"/>
      <c r="H206" s="1425"/>
      <c r="I206" s="586" t="s">
        <v>1146</v>
      </c>
      <c r="J206" s="506"/>
      <c r="K206" s="1425"/>
      <c r="L206" s="150"/>
      <c r="M206" s="277"/>
      <c r="N206" s="270"/>
      <c r="O206" s="1549"/>
      <c r="P206" s="1549"/>
      <c r="AH206" s="1556">
        <v>0</v>
      </c>
    </row>
    <row r="207" spans="1:34" s="1560" customFormat="1" ht="1.1499999999999999" customHeight="1">
      <c r="A207" s="1705"/>
      <c r="B207" s="1705"/>
      <c r="C207" s="304" t="s">
        <v>1154</v>
      </c>
      <c r="D207" s="2340"/>
      <c r="E207" s="2140"/>
      <c r="F207" s="2283"/>
      <c r="G207" s="335"/>
      <c r="H207" s="1425"/>
      <c r="I207" s="586"/>
      <c r="J207" s="506"/>
      <c r="K207" s="1425"/>
      <c r="L207" s="150"/>
      <c r="M207" s="277"/>
      <c r="N207" s="270"/>
      <c r="O207" s="1549"/>
      <c r="P207" s="1549"/>
      <c r="AH207" s="1556">
        <v>1</v>
      </c>
    </row>
    <row r="208" spans="1:34" ht="27.4" customHeight="1">
      <c r="A208" s="1705"/>
      <c r="B208" s="1705"/>
      <c r="D208" s="311"/>
      <c r="E208" s="83" t="s">
        <v>111</v>
      </c>
      <c r="F208" s="2339" t="str">
        <f>IF(TEMPLATE_SPHERE="HEAT","Размер недополученных доходов регулируемой организацией (при их наличии), исчисленный в соответствии с Основами ценообразования в сфере теплоснабжения,"&amp;" утвержденными постановлением Правительства Российской Федерации от 22 октября 2012 г. N 1075 ""О ценообразовании в сфере теплоснабжения""","Размер недополученных доходов организации холодного водоснабжения (при их наличии), исчисленных в соответствии с Основами ценообразования в сфере водоснабжения и водоотведения")</f>
        <v>Размер недополученных доходов регулируемой организацией (при их наличии), исчисленный в соответствии с Основами ценообразования в сфере теплоснабжения, утвержденными постановлением Правительства Российской Федерации от 22 октября 2012 г. N 1075 "О ценообразовании в сфере теплоснабжения"</v>
      </c>
      <c r="G208" s="2339"/>
      <c r="H208" s="2339"/>
      <c r="I208" s="2339"/>
      <c r="J208" s="2339"/>
      <c r="K208" s="2339"/>
      <c r="L208" s="2339"/>
      <c r="M208" s="233"/>
      <c r="N208" s="270"/>
      <c r="AH208" s="309">
        <v>26</v>
      </c>
    </row>
    <row r="209" spans="1:34" s="1560" customFormat="1" ht="60.75" hidden="1" customHeight="1">
      <c r="A209" s="1705" t="s">
        <v>156</v>
      </c>
      <c r="B209" s="1705" t="s">
        <v>157</v>
      </c>
      <c r="C209" s="304"/>
      <c r="D209" s="2340"/>
      <c r="E209" s="2140"/>
      <c r="F209" s="2283" t="str">
        <f>INDEX(PT_DIFFERENTIATION_VTAR,MATCH(A209,PT_DIFFERENTIATION_VTAR_ID,0))</f>
        <v>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v>
      </c>
      <c r="G209" s="2315" t="str">
        <f>INDEX(PT_DIFFERENTIATION_NTAR,MATCH(B209,PT_DIFFERENTIATION_NTAR_ID,0))</f>
        <v/>
      </c>
      <c r="H209" s="1786"/>
      <c r="I209" s="1664"/>
      <c r="J209" s="1698"/>
      <c r="K209" s="1703"/>
      <c r="L209" s="1786" t="s">
        <v>305</v>
      </c>
      <c r="M209" s="2108" t="str">
        <f>"Значение в колонке «Вид тарифа» выбирается из перечня видов тарифов в сфере "&amp;TEMPLATE_SPHERE_RUS&amp;", предусмотренных законодательством в сфере "&amp;IF(TEMPLATE_SPHERE="HEAT","теплоснабжения","водоснабжения и водоотведения")&amp;".
Даты начала и окончания срока действия тарифов указываются в виде «ДД.ММ.ГГГГ».
Величина недополученных доходов регулируемой организации указывается в колонке «Информация» в тыс. руб.
В случае отсутствия недополученных доходов организацией "&amp;IF(TEMPLATE_SPHERE="HEAT","регулируемой организацией",TEMPLATE_SPHERE_RUS)&amp;", исчисленных в соответствии с законодательством в сфере "&amp;IF(TEMPLATE_SPHERE="HEAT","теплоснабжения","водоснабжения и водоотведения")&amp;", указывается значение «0».
В случае дифференциации недополученных доходов организацией "&amp;TEMPLATE_SPHERE_RUS&amp;" по видам тарифов и/или по срокам действия тарифов информация указывается в отдельных строках."</f>
        <v>Значение в колонке «Вид тарифа» выбирается из перечня видов тарифов в сфере теплоснабжения, предусмотренных законодательством в сфере теплоснабжения.
Даты начала и окончания срока действия тарифов указываются в виде «ДД.ММ.ГГГГ».
Величина недополученных доходов регулируемой организации указывается в колонке «Информация» в тыс. руб.
В случае отсутствия недополученных доходов организацией регулируемой организацией, исчисленных в соответствии с законодательством в сфере теплоснабжения, указывается значение «0».
В случае дифференциации недополученных доходов организацией теплоснабжения по видам тарифов и/или по срокам действия тарифов информация указывается в отдельных строках.</v>
      </c>
      <c r="N209" s="270"/>
      <c r="O209" s="1549"/>
      <c r="P209" s="1549"/>
      <c r="AH209" s="1556">
        <v>0</v>
      </c>
    </row>
    <row r="210" spans="1:34" s="1560" customFormat="1" ht="18.75" hidden="1" customHeight="1">
      <c r="A210" s="1705"/>
      <c r="B210" s="1705"/>
      <c r="C210" s="304" t="s">
        <v>1147</v>
      </c>
      <c r="D210" s="2340"/>
      <c r="E210" s="2140"/>
      <c r="F210" s="2283"/>
      <c r="G210" s="2315"/>
      <c r="H210" s="1425"/>
      <c r="I210" s="586" t="s">
        <v>1146</v>
      </c>
      <c r="J210" s="506"/>
      <c r="K210" s="1425"/>
      <c r="L210" s="150"/>
      <c r="M210" s="2109"/>
      <c r="N210" s="270"/>
      <c r="O210" s="1549"/>
      <c r="P210" s="1549"/>
      <c r="AH210" s="1556">
        <v>0</v>
      </c>
    </row>
    <row r="211" spans="1:34" s="1560" customFormat="1" ht="0.75" hidden="1" customHeight="1">
      <c r="A211" s="1705"/>
      <c r="B211" s="1705"/>
      <c r="C211" s="304" t="s">
        <v>1154</v>
      </c>
      <c r="D211" s="2340"/>
      <c r="E211" s="2140"/>
      <c r="F211" s="2283"/>
      <c r="G211" s="335"/>
      <c r="H211" s="1425"/>
      <c r="I211" s="586"/>
      <c r="J211" s="506"/>
      <c r="K211" s="1425"/>
      <c r="L211" s="150"/>
      <c r="M211" s="2109"/>
      <c r="N211" s="270"/>
      <c r="O211" s="1549"/>
      <c r="P211" s="1549"/>
      <c r="AH211" s="1556">
        <v>0</v>
      </c>
    </row>
    <row r="212" spans="1:34" s="1560" customFormat="1" ht="45" hidden="1" customHeight="1">
      <c r="A212" s="1705" t="s">
        <v>161</v>
      </c>
      <c r="B212" s="1705" t="s">
        <v>162</v>
      </c>
      <c r="C212" s="304"/>
      <c r="D212" s="2340"/>
      <c r="E212" s="2140"/>
      <c r="F212" s="2283" t="str">
        <f>INDEX(PT_DIFFERENTIATION_VTAR,MATCH(A212,PT_DIFFERENTIATION_VTAR_ID,0))</f>
        <v/>
      </c>
      <c r="G212" s="2315" t="str">
        <f>INDEX(PT_DIFFERENTIATION_NTAR,MATCH(B212,PT_DIFFERENTIATION_NTAR_ID,0))</f>
        <v/>
      </c>
      <c r="H212" s="1786"/>
      <c r="I212" s="1664"/>
      <c r="J212" s="1698"/>
      <c r="K212" s="1703"/>
      <c r="L212" s="1786" t="s">
        <v>305</v>
      </c>
      <c r="M212" s="2110"/>
      <c r="N212" s="270"/>
      <c r="O212" s="1549"/>
      <c r="P212" s="1549"/>
      <c r="AH212" s="1556">
        <v>0</v>
      </c>
    </row>
    <row r="213" spans="1:34" s="1560" customFormat="1" ht="18.75" hidden="1" customHeight="1">
      <c r="A213" s="1705"/>
      <c r="B213" s="1705"/>
      <c r="C213" s="304" t="s">
        <v>1147</v>
      </c>
      <c r="D213" s="2340"/>
      <c r="E213" s="2140"/>
      <c r="F213" s="2283"/>
      <c r="G213" s="2315"/>
      <c r="H213" s="1425"/>
      <c r="I213" s="586" t="s">
        <v>1146</v>
      </c>
      <c r="J213" s="506"/>
      <c r="K213" s="1425"/>
      <c r="L213" s="150"/>
      <c r="M213" s="1785"/>
      <c r="N213" s="270"/>
      <c r="O213" s="1549"/>
      <c r="P213" s="1549"/>
      <c r="AH213" s="1556">
        <v>0</v>
      </c>
    </row>
    <row r="214" spans="1:34" s="1560" customFormat="1" ht="0.75" hidden="1" customHeight="1">
      <c r="A214" s="1705"/>
      <c r="B214" s="1705"/>
      <c r="C214" s="304" t="s">
        <v>1154</v>
      </c>
      <c r="D214" s="2340"/>
      <c r="E214" s="2140"/>
      <c r="F214" s="2283"/>
      <c r="G214" s="335"/>
      <c r="H214" s="1425"/>
      <c r="I214" s="586"/>
      <c r="J214" s="506"/>
      <c r="K214" s="1425"/>
      <c r="L214" s="150"/>
      <c r="M214" s="277"/>
      <c r="N214" s="270"/>
      <c r="O214" s="1549"/>
      <c r="P214" s="1549"/>
      <c r="AH214" s="1556">
        <v>0</v>
      </c>
    </row>
    <row r="215" spans="1:34" s="1560" customFormat="1" ht="45" hidden="1" customHeight="1">
      <c r="A215" s="1705" t="s">
        <v>168</v>
      </c>
      <c r="B215" s="1705" t="s">
        <v>169</v>
      </c>
      <c r="C215" s="304"/>
      <c r="D215" s="2340"/>
      <c r="E215" s="2140"/>
      <c r="F215" s="2283" t="str">
        <f>INDEX(PT_DIFFERENTIATION_VTAR,MATCH(A215,PT_DIFFERENTIATION_VTAR_ID,0))</f>
        <v>Тарифы на теплоноситель, поставляемый теплоснабжающими организациями потребителям, другим теплоснабжающим организациям</v>
      </c>
      <c r="G215" s="2315" t="str">
        <f>INDEX(PT_DIFFERENTIATION_NTAR,MATCH(B215,PT_DIFFERENTIATION_NTAR_ID,0))</f>
        <v/>
      </c>
      <c r="H215" s="1786"/>
      <c r="I215" s="1664"/>
      <c r="J215" s="1698"/>
      <c r="K215" s="1703"/>
      <c r="L215" s="1786" t="s">
        <v>305</v>
      </c>
      <c r="M215" s="277"/>
      <c r="N215" s="270"/>
      <c r="O215" s="1549"/>
      <c r="P215" s="1549"/>
      <c r="AH215" s="1556">
        <v>0</v>
      </c>
    </row>
    <row r="216" spans="1:34" s="1560" customFormat="1" ht="18.75" hidden="1" customHeight="1">
      <c r="A216" s="1705"/>
      <c r="B216" s="1705"/>
      <c r="C216" s="304" t="s">
        <v>1147</v>
      </c>
      <c r="D216" s="2340"/>
      <c r="E216" s="2140"/>
      <c r="F216" s="2283"/>
      <c r="G216" s="2315"/>
      <c r="H216" s="1425"/>
      <c r="I216" s="586" t="s">
        <v>1146</v>
      </c>
      <c r="J216" s="506"/>
      <c r="K216" s="1425"/>
      <c r="L216" s="150"/>
      <c r="M216" s="277"/>
      <c r="N216" s="270"/>
      <c r="O216" s="1549"/>
      <c r="P216" s="1549"/>
      <c r="AH216" s="1556">
        <v>0</v>
      </c>
    </row>
    <row r="217" spans="1:34" s="1560" customFormat="1" ht="0.75" hidden="1" customHeight="1">
      <c r="A217" s="1705"/>
      <c r="B217" s="1705"/>
      <c r="C217" s="304" t="s">
        <v>1154</v>
      </c>
      <c r="D217" s="2340"/>
      <c r="E217" s="2140"/>
      <c r="F217" s="2283"/>
      <c r="G217" s="335"/>
      <c r="H217" s="1425"/>
      <c r="I217" s="586"/>
      <c r="J217" s="506"/>
      <c r="K217" s="1425"/>
      <c r="L217" s="150"/>
      <c r="M217" s="277"/>
      <c r="N217" s="270"/>
      <c r="O217" s="1549"/>
      <c r="P217" s="1549"/>
      <c r="AH217" s="1556">
        <v>0</v>
      </c>
    </row>
    <row r="218" spans="1:34" s="1560" customFormat="1" ht="45" hidden="1" customHeight="1">
      <c r="A218" s="1705" t="s">
        <v>174</v>
      </c>
      <c r="B218" s="1705" t="s">
        <v>175</v>
      </c>
      <c r="C218" s="304"/>
      <c r="D218" s="2340"/>
      <c r="E218" s="2140"/>
      <c r="F218" s="2283" t="str">
        <f>INDEX(PT_DIFFERENTIATION_VTAR,MATCH(A218,PT_DIFFERENTIATION_VTAR_ID,0))</f>
        <v>Тарифы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v>
      </c>
      <c r="G218" s="2315" t="str">
        <f>INDEX(PT_DIFFERENTIATION_NTAR,MATCH(B218,PT_DIFFERENTIATION_NTAR_ID,0))</f>
        <v/>
      </c>
      <c r="H218" s="1786"/>
      <c r="I218" s="1664"/>
      <c r="J218" s="1698"/>
      <c r="K218" s="1703"/>
      <c r="L218" s="1786" t="s">
        <v>305</v>
      </c>
      <c r="M218" s="277"/>
      <c r="N218" s="270"/>
      <c r="O218" s="1549"/>
      <c r="P218" s="1549"/>
      <c r="AH218" s="1556">
        <v>0</v>
      </c>
    </row>
    <row r="219" spans="1:34" s="1560" customFormat="1" ht="18.75" hidden="1" customHeight="1">
      <c r="A219" s="1705"/>
      <c r="B219" s="1705"/>
      <c r="C219" s="304" t="s">
        <v>1147</v>
      </c>
      <c r="D219" s="2340"/>
      <c r="E219" s="2140"/>
      <c r="F219" s="2283"/>
      <c r="G219" s="2315"/>
      <c r="H219" s="1425"/>
      <c r="I219" s="586" t="s">
        <v>1146</v>
      </c>
      <c r="J219" s="506"/>
      <c r="K219" s="1425"/>
      <c r="L219" s="150"/>
      <c r="M219" s="277"/>
      <c r="N219" s="270"/>
      <c r="O219" s="1549"/>
      <c r="P219" s="1549"/>
      <c r="AH219" s="1556">
        <v>0</v>
      </c>
    </row>
    <row r="220" spans="1:34" s="1560" customFormat="1" ht="0.75" hidden="1" customHeight="1">
      <c r="A220" s="1705"/>
      <c r="B220" s="1705"/>
      <c r="C220" s="304" t="s">
        <v>1154</v>
      </c>
      <c r="D220" s="2340"/>
      <c r="E220" s="2140"/>
      <c r="F220" s="2283"/>
      <c r="G220" s="335"/>
      <c r="H220" s="1425"/>
      <c r="I220" s="586"/>
      <c r="J220" s="506"/>
      <c r="K220" s="1425"/>
      <c r="L220" s="150"/>
      <c r="M220" s="277"/>
      <c r="N220" s="270"/>
      <c r="O220" s="1549"/>
      <c r="P220" s="1549"/>
      <c r="AH220" s="1556">
        <v>0</v>
      </c>
    </row>
    <row r="221" spans="1:34" s="1560" customFormat="1" ht="18.75" hidden="1" customHeight="1">
      <c r="A221" s="1705" t="s">
        <v>180</v>
      </c>
      <c r="B221" s="1705" t="s">
        <v>181</v>
      </c>
      <c r="C221" s="304"/>
      <c r="D221" s="2340"/>
      <c r="E221" s="2140"/>
      <c r="F221" s="2283" t="str">
        <f>INDEX(PT_DIFFERENTIATION_VTAR,MATCH(A221,PT_DIFFERENTIATION_VTAR_ID,0))</f>
        <v>Тарифы на услуги по передаче тепловой энергии</v>
      </c>
      <c r="G221" s="2315" t="str">
        <f>INDEX(PT_DIFFERENTIATION_NTAR,MATCH(B221,PT_DIFFERENTIATION_NTAR_ID,0))</f>
        <v/>
      </c>
      <c r="H221" s="1786"/>
      <c r="I221" s="1664"/>
      <c r="J221" s="1698"/>
      <c r="K221" s="1703"/>
      <c r="L221" s="1786" t="s">
        <v>305</v>
      </c>
      <c r="M221" s="277"/>
      <c r="N221" s="270"/>
      <c r="O221" s="1549"/>
      <c r="P221" s="1549"/>
      <c r="AH221" s="1556">
        <v>0</v>
      </c>
    </row>
    <row r="222" spans="1:34" s="1560" customFormat="1" ht="18.75" hidden="1" customHeight="1">
      <c r="A222" s="1705"/>
      <c r="B222" s="1705"/>
      <c r="C222" s="304" t="s">
        <v>1147</v>
      </c>
      <c r="D222" s="2340"/>
      <c r="E222" s="2140"/>
      <c r="F222" s="2283"/>
      <c r="G222" s="2315"/>
      <c r="H222" s="1425"/>
      <c r="I222" s="586" t="s">
        <v>1146</v>
      </c>
      <c r="J222" s="506"/>
      <c r="K222" s="1425"/>
      <c r="L222" s="150"/>
      <c r="M222" s="277"/>
      <c r="N222" s="270"/>
      <c r="O222" s="1549"/>
      <c r="P222" s="1549"/>
      <c r="AH222" s="1556">
        <v>0</v>
      </c>
    </row>
    <row r="223" spans="1:34" s="1560" customFormat="1" ht="0.75" hidden="1" customHeight="1">
      <c r="A223" s="1705"/>
      <c r="B223" s="1705"/>
      <c r="C223" s="304" t="s">
        <v>1154</v>
      </c>
      <c r="D223" s="2340"/>
      <c r="E223" s="2140"/>
      <c r="F223" s="2283"/>
      <c r="G223" s="335"/>
      <c r="H223" s="1425"/>
      <c r="I223" s="586"/>
      <c r="J223" s="506"/>
      <c r="K223" s="1425"/>
      <c r="L223" s="150"/>
      <c r="M223" s="277"/>
      <c r="N223" s="270"/>
      <c r="O223" s="1549"/>
      <c r="P223" s="1549"/>
      <c r="AH223" s="1556">
        <v>0</v>
      </c>
    </row>
    <row r="224" spans="1:34" s="1560" customFormat="1" ht="18.75" hidden="1" customHeight="1">
      <c r="A224" s="1705" t="s">
        <v>186</v>
      </c>
      <c r="B224" s="1705" t="s">
        <v>187</v>
      </c>
      <c r="C224" s="304"/>
      <c r="D224" s="2340"/>
      <c r="E224" s="2140"/>
      <c r="F224" s="2283" t="str">
        <f>INDEX(PT_DIFFERENTIATION_VTAR,MATCH(A224,PT_DIFFERENTIATION_VTAR_ID,0))</f>
        <v>Тарифы на услуги по передаче теплоносителя</v>
      </c>
      <c r="G224" s="2315" t="str">
        <f>INDEX(PT_DIFFERENTIATION_NTAR,MATCH(B224,PT_DIFFERENTIATION_NTAR_ID,0))</f>
        <v/>
      </c>
      <c r="H224" s="1786"/>
      <c r="I224" s="1664"/>
      <c r="J224" s="1698"/>
      <c r="K224" s="1703"/>
      <c r="L224" s="1786" t="s">
        <v>305</v>
      </c>
      <c r="M224" s="277"/>
      <c r="N224" s="270"/>
      <c r="O224" s="1549"/>
      <c r="P224" s="1549"/>
      <c r="AH224" s="1556">
        <v>0</v>
      </c>
    </row>
    <row r="225" spans="1:34" s="1560" customFormat="1" ht="18.75" hidden="1" customHeight="1">
      <c r="A225" s="1705"/>
      <c r="B225" s="1705"/>
      <c r="C225" s="304" t="s">
        <v>1147</v>
      </c>
      <c r="D225" s="2340"/>
      <c r="E225" s="2140"/>
      <c r="F225" s="2283"/>
      <c r="G225" s="2315"/>
      <c r="H225" s="1425"/>
      <c r="I225" s="586" t="s">
        <v>1146</v>
      </c>
      <c r="J225" s="506"/>
      <c r="K225" s="1425"/>
      <c r="L225" s="150"/>
      <c r="M225" s="277"/>
      <c r="N225" s="270"/>
      <c r="O225" s="1549"/>
      <c r="P225" s="1549"/>
      <c r="AH225" s="1556">
        <v>0</v>
      </c>
    </row>
    <row r="226" spans="1:34" s="1560" customFormat="1" ht="0.75" hidden="1" customHeight="1">
      <c r="A226" s="1705"/>
      <c r="B226" s="1705"/>
      <c r="C226" s="304" t="s">
        <v>1154</v>
      </c>
      <c r="D226" s="2340"/>
      <c r="E226" s="2140"/>
      <c r="F226" s="2283"/>
      <c r="G226" s="335"/>
      <c r="H226" s="1425"/>
      <c r="I226" s="586"/>
      <c r="J226" s="506"/>
      <c r="K226" s="1425"/>
      <c r="L226" s="150"/>
      <c r="M226" s="277"/>
      <c r="N226" s="270"/>
      <c r="O226" s="1549"/>
      <c r="P226" s="1549"/>
      <c r="AH226" s="1556">
        <v>0</v>
      </c>
    </row>
    <row r="227" spans="1:34" s="1560" customFormat="1" ht="18.75" hidden="1" customHeight="1">
      <c r="A227" s="1705" t="s">
        <v>192</v>
      </c>
      <c r="B227" s="1705" t="s">
        <v>193</v>
      </c>
      <c r="C227" s="304"/>
      <c r="D227" s="2340"/>
      <c r="E227" s="2140"/>
      <c r="F227" s="2283" t="str">
        <f>INDEX(PT_DIFFERENTIATION_VTAR,MATCH(A227,PT_DIFFERENTIATION_VTAR_ID,0))</f>
        <v>Плата за услуги по поддержанию резервной тепловой мощности при отсутствии потребления тепловой энергии</v>
      </c>
      <c r="G227" s="2315" t="str">
        <f>INDEX(PT_DIFFERENTIATION_NTAR,MATCH(B227,PT_DIFFERENTIATION_NTAR_ID,0))</f>
        <v/>
      </c>
      <c r="H227" s="1786"/>
      <c r="I227" s="1664"/>
      <c r="J227" s="1698"/>
      <c r="K227" s="1703"/>
      <c r="L227" s="1786" t="s">
        <v>305</v>
      </c>
      <c r="M227" s="277"/>
      <c r="N227" s="270"/>
      <c r="O227" s="1549"/>
      <c r="P227" s="1549"/>
      <c r="AH227" s="1556">
        <v>0</v>
      </c>
    </row>
    <row r="228" spans="1:34" s="1560" customFormat="1" ht="18.75" hidden="1" customHeight="1">
      <c r="A228" s="1705"/>
      <c r="B228" s="1705"/>
      <c r="C228" s="304" t="s">
        <v>1147</v>
      </c>
      <c r="D228" s="2340"/>
      <c r="E228" s="2140"/>
      <c r="F228" s="2283"/>
      <c r="G228" s="2315"/>
      <c r="H228" s="1425"/>
      <c r="I228" s="586" t="s">
        <v>1146</v>
      </c>
      <c r="J228" s="506"/>
      <c r="K228" s="1425"/>
      <c r="L228" s="150"/>
      <c r="M228" s="277"/>
      <c r="N228" s="270"/>
      <c r="O228" s="1549"/>
      <c r="P228" s="1549"/>
      <c r="AH228" s="1556">
        <v>0</v>
      </c>
    </row>
    <row r="229" spans="1:34" s="1560" customFormat="1" ht="0.75" hidden="1" customHeight="1">
      <c r="A229" s="1705"/>
      <c r="B229" s="1705"/>
      <c r="C229" s="304" t="s">
        <v>1154</v>
      </c>
      <c r="D229" s="2340"/>
      <c r="E229" s="2140"/>
      <c r="F229" s="2283"/>
      <c r="G229" s="335"/>
      <c r="H229" s="1425"/>
      <c r="I229" s="586"/>
      <c r="J229" s="506"/>
      <c r="K229" s="1425"/>
      <c r="L229" s="150"/>
      <c r="M229" s="277"/>
      <c r="N229" s="270"/>
      <c r="O229" s="1549"/>
      <c r="P229" s="1549"/>
      <c r="AH229" s="1556">
        <v>0</v>
      </c>
    </row>
    <row r="230" spans="1:34" s="1560" customFormat="1" ht="18.75" hidden="1" customHeight="1">
      <c r="A230" s="1705" t="s">
        <v>198</v>
      </c>
      <c r="B230" s="1705" t="s">
        <v>199</v>
      </c>
      <c r="C230" s="304"/>
      <c r="D230" s="2340"/>
      <c r="E230" s="2140"/>
      <c r="F230" s="2283" t="str">
        <f>INDEX(PT_DIFFERENTIATION_VTAR,MATCH(A230,PT_DIFFERENTIATION_VTAR_ID,0))</f>
        <v>Плата за подключение (технологическое присоединение) к системе теплоснабжения</v>
      </c>
      <c r="G230" s="2315" t="str">
        <f>INDEX(PT_DIFFERENTIATION_NTAR,MATCH(B230,PT_DIFFERENTIATION_NTAR_ID,0))</f>
        <v/>
      </c>
      <c r="H230" s="1786"/>
      <c r="I230" s="1664"/>
      <c r="J230" s="1698"/>
      <c r="K230" s="1703"/>
      <c r="L230" s="1786" t="s">
        <v>305</v>
      </c>
      <c r="M230" s="277"/>
      <c r="N230" s="270"/>
      <c r="O230" s="1549"/>
      <c r="P230" s="1549"/>
      <c r="AH230" s="1556">
        <v>0</v>
      </c>
    </row>
    <row r="231" spans="1:34" s="1560" customFormat="1" ht="18.75" hidden="1" customHeight="1">
      <c r="A231" s="1705"/>
      <c r="B231" s="1705"/>
      <c r="C231" s="304" t="s">
        <v>1147</v>
      </c>
      <c r="D231" s="2340"/>
      <c r="E231" s="2140"/>
      <c r="F231" s="2283"/>
      <c r="G231" s="2315"/>
      <c r="H231" s="1425"/>
      <c r="I231" s="586" t="s">
        <v>1146</v>
      </c>
      <c r="J231" s="506"/>
      <c r="K231" s="1425"/>
      <c r="L231" s="150"/>
      <c r="M231" s="277"/>
      <c r="N231" s="270"/>
      <c r="O231" s="1549"/>
      <c r="P231" s="1549"/>
      <c r="AH231" s="1556">
        <v>0</v>
      </c>
    </row>
    <row r="232" spans="1:34" s="1560" customFormat="1" ht="0.75" hidden="1" customHeight="1">
      <c r="A232" s="1705"/>
      <c r="B232" s="1705"/>
      <c r="C232" s="304" t="s">
        <v>1154</v>
      </c>
      <c r="D232" s="2340"/>
      <c r="E232" s="2140"/>
      <c r="F232" s="2283"/>
      <c r="G232" s="335"/>
      <c r="H232" s="1425"/>
      <c r="I232" s="586"/>
      <c r="J232" s="506"/>
      <c r="K232" s="1425"/>
      <c r="L232" s="150"/>
      <c r="M232" s="277"/>
      <c r="N232" s="270"/>
      <c r="O232" s="1549"/>
      <c r="P232" s="1549"/>
      <c r="AH232" s="1556">
        <v>0</v>
      </c>
    </row>
    <row r="233" spans="1:34" s="1560" customFormat="1" ht="18.75" hidden="1" customHeight="1">
      <c r="A233" s="1705" t="s">
        <v>204</v>
      </c>
      <c r="B233" s="1705" t="s">
        <v>205</v>
      </c>
      <c r="C233" s="304"/>
      <c r="D233" s="2340"/>
      <c r="E233" s="2140"/>
      <c r="F233" s="2283" t="str">
        <f>INDEX(PT_DIFFERENTIATION_VTAR,MATCH(A233,PT_DIFFERENTIATION_VTAR_ID,0))</f>
        <v>Плата за подключение (технологическое присоединение) к системе теплоснабжения (индивидуальная)</v>
      </c>
      <c r="G233" s="2315" t="str">
        <f>INDEX(PT_DIFFERENTIATION_NTAR,MATCH(B233,PT_DIFFERENTIATION_NTAR_ID,0))</f>
        <v/>
      </c>
      <c r="H233" s="1910"/>
      <c r="I233" s="1664"/>
      <c r="J233" s="1698"/>
      <c r="K233" s="1703"/>
      <c r="L233" s="1910" t="s">
        <v>305</v>
      </c>
      <c r="M233" s="277"/>
      <c r="N233" s="270"/>
      <c r="O233" s="1549"/>
      <c r="P233" s="1549"/>
      <c r="AH233" s="1556">
        <v>0</v>
      </c>
    </row>
    <row r="234" spans="1:34" s="1560" customFormat="1" ht="18.75" hidden="1" customHeight="1">
      <c r="A234" s="1705"/>
      <c r="B234" s="1705"/>
      <c r="C234" s="304" t="s">
        <v>1147</v>
      </c>
      <c r="D234" s="2340"/>
      <c r="E234" s="2140"/>
      <c r="F234" s="2283"/>
      <c r="G234" s="2315"/>
      <c r="H234" s="1425"/>
      <c r="I234" s="586" t="s">
        <v>1146</v>
      </c>
      <c r="J234" s="506"/>
      <c r="K234" s="1425"/>
      <c r="L234" s="150"/>
      <c r="M234" s="277"/>
      <c r="N234" s="270"/>
      <c r="O234" s="1549"/>
      <c r="P234" s="1549"/>
      <c r="AH234" s="1556">
        <v>0</v>
      </c>
    </row>
    <row r="235" spans="1:34" s="1560" customFormat="1" ht="0.75" hidden="1" customHeight="1">
      <c r="A235" s="1705"/>
      <c r="B235" s="1705"/>
      <c r="C235" s="304" t="s">
        <v>1154</v>
      </c>
      <c r="D235" s="2340"/>
      <c r="E235" s="2140"/>
      <c r="F235" s="2283"/>
      <c r="G235" s="335"/>
      <c r="H235" s="1425"/>
      <c r="I235" s="586"/>
      <c r="J235" s="506"/>
      <c r="K235" s="1425"/>
      <c r="L235" s="150"/>
      <c r="M235" s="277"/>
      <c r="N235" s="270"/>
      <c r="O235" s="1549"/>
      <c r="P235" s="1549"/>
      <c r="AH235" s="1556">
        <v>0</v>
      </c>
    </row>
    <row r="236" spans="1:34" s="1560" customFormat="1" ht="18.75" hidden="1" customHeight="1">
      <c r="A236" s="1705" t="s">
        <v>224</v>
      </c>
      <c r="B236" s="1705" t="s">
        <v>225</v>
      </c>
      <c r="C236" s="304"/>
      <c r="D236" s="2340"/>
      <c r="E236" s="2140"/>
      <c r="F236" s="2283" t="str">
        <f>INDEX(PT_DIFFERENTIATION_VTAR,MATCH(A236,PT_DIFFERENTIATION_VTAR_ID,0))</f>
        <v>Тариф на питьевую воду (питьевое водоснабжение)</v>
      </c>
      <c r="G236" s="2315" t="str">
        <f>INDEX(PT_DIFFERENTIATION_NTAR,MATCH(B236,PT_DIFFERENTIATION_NTAR_ID,0))</f>
        <v/>
      </c>
      <c r="H236" s="1786"/>
      <c r="I236" s="1664"/>
      <c r="J236" s="1698"/>
      <c r="K236" s="1703"/>
      <c r="L236" s="1786" t="s">
        <v>305</v>
      </c>
      <c r="M236" s="277"/>
      <c r="N236" s="270"/>
      <c r="O236" s="1549"/>
      <c r="P236" s="1549"/>
      <c r="AH236" s="1556">
        <v>0</v>
      </c>
    </row>
    <row r="237" spans="1:34" s="1560" customFormat="1" ht="18.75" hidden="1" customHeight="1">
      <c r="A237" s="1705"/>
      <c r="B237" s="1705"/>
      <c r="C237" s="304" t="s">
        <v>1147</v>
      </c>
      <c r="D237" s="2340"/>
      <c r="E237" s="2140"/>
      <c r="F237" s="2283"/>
      <c r="G237" s="2315"/>
      <c r="H237" s="1425"/>
      <c r="I237" s="586" t="s">
        <v>1146</v>
      </c>
      <c r="J237" s="506"/>
      <c r="K237" s="1425"/>
      <c r="L237" s="150"/>
      <c r="M237" s="277"/>
      <c r="N237" s="270"/>
      <c r="O237" s="1549"/>
      <c r="P237" s="1549"/>
      <c r="AH237" s="1556">
        <v>0</v>
      </c>
    </row>
    <row r="238" spans="1:34" s="1560" customFormat="1" ht="0.75" hidden="1" customHeight="1">
      <c r="A238" s="1705"/>
      <c r="B238" s="1705"/>
      <c r="C238" s="304" t="s">
        <v>1154</v>
      </c>
      <c r="D238" s="2340"/>
      <c r="E238" s="2140"/>
      <c r="F238" s="2283"/>
      <c r="G238" s="335"/>
      <c r="H238" s="1425"/>
      <c r="I238" s="586"/>
      <c r="J238" s="506"/>
      <c r="K238" s="1425"/>
      <c r="L238" s="150"/>
      <c r="M238" s="277"/>
      <c r="N238" s="270"/>
      <c r="O238" s="1549"/>
      <c r="P238" s="1549"/>
      <c r="AH238" s="1556">
        <v>0</v>
      </c>
    </row>
    <row r="239" spans="1:34" s="1560" customFormat="1" ht="18.75" hidden="1" customHeight="1">
      <c r="A239" s="1705" t="s">
        <v>229</v>
      </c>
      <c r="B239" s="1705" t="s">
        <v>230</v>
      </c>
      <c r="C239" s="304"/>
      <c r="D239" s="2340"/>
      <c r="E239" s="2140"/>
      <c r="F239" s="2283" t="str">
        <f>INDEX(PT_DIFFERENTIATION_VTAR,MATCH(A239,PT_DIFFERENTIATION_VTAR_ID,0))</f>
        <v>Тариф на техническую воду</v>
      </c>
      <c r="G239" s="2315" t="str">
        <f>INDEX(PT_DIFFERENTIATION_NTAR,MATCH(B239,PT_DIFFERENTIATION_NTAR_ID,0))</f>
        <v/>
      </c>
      <c r="H239" s="1786"/>
      <c r="I239" s="1664"/>
      <c r="J239" s="1698"/>
      <c r="K239" s="1703"/>
      <c r="L239" s="1786" t="s">
        <v>305</v>
      </c>
      <c r="M239" s="277"/>
      <c r="N239" s="270"/>
      <c r="O239" s="1549"/>
      <c r="P239" s="1549"/>
      <c r="AH239" s="1556">
        <v>0</v>
      </c>
    </row>
    <row r="240" spans="1:34" s="1560" customFormat="1" ht="18.75" hidden="1" customHeight="1">
      <c r="A240" s="1705"/>
      <c r="B240" s="1705"/>
      <c r="C240" s="304" t="s">
        <v>1147</v>
      </c>
      <c r="D240" s="2340"/>
      <c r="E240" s="2140"/>
      <c r="F240" s="2283"/>
      <c r="G240" s="2315"/>
      <c r="H240" s="1425"/>
      <c r="I240" s="586" t="s">
        <v>1146</v>
      </c>
      <c r="J240" s="506"/>
      <c r="K240" s="1425"/>
      <c r="L240" s="150"/>
      <c r="M240" s="277"/>
      <c r="N240" s="270"/>
      <c r="O240" s="1549"/>
      <c r="P240" s="1549"/>
      <c r="AH240" s="1556">
        <v>0</v>
      </c>
    </row>
    <row r="241" spans="1:34" s="1560" customFormat="1" ht="0.75" hidden="1" customHeight="1">
      <c r="A241" s="1705"/>
      <c r="B241" s="1705"/>
      <c r="C241" s="304" t="s">
        <v>1154</v>
      </c>
      <c r="D241" s="2340"/>
      <c r="E241" s="2140"/>
      <c r="F241" s="2283"/>
      <c r="G241" s="335"/>
      <c r="H241" s="1425"/>
      <c r="I241" s="586"/>
      <c r="J241" s="506"/>
      <c r="K241" s="1425"/>
      <c r="L241" s="150"/>
      <c r="M241" s="277"/>
      <c r="N241" s="270"/>
      <c r="O241" s="1549"/>
      <c r="P241" s="1549"/>
      <c r="AH241" s="1556">
        <v>0</v>
      </c>
    </row>
    <row r="242" spans="1:34" s="1560" customFormat="1" ht="18.75" hidden="1" customHeight="1">
      <c r="A242" s="1705" t="s">
        <v>234</v>
      </c>
      <c r="B242" s="1705" t="s">
        <v>235</v>
      </c>
      <c r="C242" s="304"/>
      <c r="D242" s="2340"/>
      <c r="E242" s="2140"/>
      <c r="F242" s="2283" t="str">
        <f>INDEX(PT_DIFFERENTIATION_VTAR,MATCH(A242,PT_DIFFERENTIATION_VTAR_ID,0))</f>
        <v>Тариф на транспортировку воды</v>
      </c>
      <c r="G242" s="2315" t="str">
        <f>INDEX(PT_DIFFERENTIATION_NTAR,MATCH(B242,PT_DIFFERENTIATION_NTAR_ID,0))</f>
        <v/>
      </c>
      <c r="H242" s="1786"/>
      <c r="I242" s="1664"/>
      <c r="J242" s="1698"/>
      <c r="K242" s="1703"/>
      <c r="L242" s="1786" t="s">
        <v>305</v>
      </c>
      <c r="M242" s="277"/>
      <c r="N242" s="270"/>
      <c r="O242" s="1549"/>
      <c r="P242" s="1549"/>
      <c r="AH242" s="1556">
        <v>0</v>
      </c>
    </row>
    <row r="243" spans="1:34" s="1560" customFormat="1" ht="18.75" hidden="1" customHeight="1">
      <c r="A243" s="1705"/>
      <c r="B243" s="1705"/>
      <c r="C243" s="304" t="s">
        <v>1147</v>
      </c>
      <c r="D243" s="2340"/>
      <c r="E243" s="2140"/>
      <c r="F243" s="2283"/>
      <c r="G243" s="2315"/>
      <c r="H243" s="1425"/>
      <c r="I243" s="586" t="s">
        <v>1146</v>
      </c>
      <c r="J243" s="506"/>
      <c r="K243" s="1425"/>
      <c r="L243" s="150"/>
      <c r="M243" s="277"/>
      <c r="N243" s="270"/>
      <c r="O243" s="1549"/>
      <c r="P243" s="1549"/>
      <c r="AH243" s="1556">
        <v>0</v>
      </c>
    </row>
    <row r="244" spans="1:34" s="1560" customFormat="1" ht="0.75" hidden="1" customHeight="1">
      <c r="A244" s="1705"/>
      <c r="B244" s="1705"/>
      <c r="C244" s="304" t="s">
        <v>1154</v>
      </c>
      <c r="D244" s="2340"/>
      <c r="E244" s="2140"/>
      <c r="F244" s="2283"/>
      <c r="G244" s="335"/>
      <c r="H244" s="1425"/>
      <c r="I244" s="586"/>
      <c r="J244" s="506"/>
      <c r="K244" s="1425"/>
      <c r="L244" s="150"/>
      <c r="M244" s="277"/>
      <c r="N244" s="270"/>
      <c r="O244" s="1549"/>
      <c r="P244" s="1549"/>
      <c r="AH244" s="1556">
        <v>0</v>
      </c>
    </row>
    <row r="245" spans="1:34" s="1560" customFormat="1" ht="18.75" hidden="1" customHeight="1">
      <c r="A245" s="1705" t="s">
        <v>239</v>
      </c>
      <c r="B245" s="1705" t="s">
        <v>240</v>
      </c>
      <c r="C245" s="304"/>
      <c r="D245" s="2340"/>
      <c r="E245" s="2140"/>
      <c r="F245" s="2283" t="str">
        <f>INDEX(PT_DIFFERENTIATION_VTAR,MATCH(A245,PT_DIFFERENTIATION_VTAR_ID,0))</f>
        <v>Тариф на подвоз воды</v>
      </c>
      <c r="G245" s="2315" t="str">
        <f>INDEX(PT_DIFFERENTIATION_NTAR,MATCH(B245,PT_DIFFERENTIATION_NTAR_ID,0))</f>
        <v/>
      </c>
      <c r="H245" s="1786"/>
      <c r="I245" s="1664"/>
      <c r="J245" s="1698"/>
      <c r="K245" s="1703"/>
      <c r="L245" s="1786" t="s">
        <v>305</v>
      </c>
      <c r="M245" s="277"/>
      <c r="N245" s="270"/>
      <c r="O245" s="1549"/>
      <c r="P245" s="1549"/>
      <c r="AH245" s="1556">
        <v>0</v>
      </c>
    </row>
    <row r="246" spans="1:34" s="1560" customFormat="1" ht="18.75" hidden="1" customHeight="1">
      <c r="A246" s="1705"/>
      <c r="B246" s="1705"/>
      <c r="C246" s="304" t="s">
        <v>1147</v>
      </c>
      <c r="D246" s="2340"/>
      <c r="E246" s="2140"/>
      <c r="F246" s="2283"/>
      <c r="G246" s="2315"/>
      <c r="H246" s="1425"/>
      <c r="I246" s="586" t="s">
        <v>1146</v>
      </c>
      <c r="J246" s="506"/>
      <c r="K246" s="1425"/>
      <c r="L246" s="150"/>
      <c r="M246" s="277"/>
      <c r="N246" s="270"/>
      <c r="O246" s="1549"/>
      <c r="P246" s="1549"/>
      <c r="AH246" s="1556">
        <v>0</v>
      </c>
    </row>
    <row r="247" spans="1:34" s="1560" customFormat="1" ht="0.75" hidden="1" customHeight="1">
      <c r="A247" s="1705"/>
      <c r="B247" s="1705"/>
      <c r="C247" s="304" t="s">
        <v>1154</v>
      </c>
      <c r="D247" s="2340"/>
      <c r="E247" s="2140"/>
      <c r="F247" s="2283"/>
      <c r="G247" s="335"/>
      <c r="H247" s="1425"/>
      <c r="I247" s="586"/>
      <c r="J247" s="506"/>
      <c r="K247" s="1425"/>
      <c r="L247" s="150"/>
      <c r="M247" s="277"/>
      <c r="N247" s="270"/>
      <c r="O247" s="1549"/>
      <c r="P247" s="1549"/>
      <c r="AH247" s="1556">
        <v>0</v>
      </c>
    </row>
    <row r="248" spans="1:34" s="1560" customFormat="1" ht="18.75" hidden="1" customHeight="1">
      <c r="A248" s="1705" t="s">
        <v>244</v>
      </c>
      <c r="B248" s="1705" t="s">
        <v>245</v>
      </c>
      <c r="C248" s="304"/>
      <c r="D248" s="2340"/>
      <c r="E248" s="2140"/>
      <c r="F248" s="2283" t="str">
        <f>INDEX(PT_DIFFERENTIATION_VTAR,MATCH(A248,PT_DIFFERENTIATION_VTAR_ID,0))</f>
        <v>Тариф на подключение (технологическое присоединение) к централизованной системе холодного водоснабжения</v>
      </c>
      <c r="G248" s="2315" t="str">
        <f>INDEX(PT_DIFFERENTIATION_NTAR,MATCH(B248,PT_DIFFERENTIATION_NTAR_ID,0))</f>
        <v/>
      </c>
      <c r="H248" s="1786"/>
      <c r="I248" s="1664"/>
      <c r="J248" s="1698"/>
      <c r="K248" s="1703"/>
      <c r="L248" s="1786" t="s">
        <v>305</v>
      </c>
      <c r="M248" s="277"/>
      <c r="N248" s="270"/>
      <c r="O248" s="1549"/>
      <c r="P248" s="1549"/>
      <c r="AH248" s="1556">
        <v>0</v>
      </c>
    </row>
    <row r="249" spans="1:34" s="1560" customFormat="1" ht="18.75" hidden="1" customHeight="1">
      <c r="A249" s="1705"/>
      <c r="B249" s="1705"/>
      <c r="C249" s="304" t="s">
        <v>1147</v>
      </c>
      <c r="D249" s="2340"/>
      <c r="E249" s="2140"/>
      <c r="F249" s="2283"/>
      <c r="G249" s="2315"/>
      <c r="H249" s="1425"/>
      <c r="I249" s="586" t="s">
        <v>1146</v>
      </c>
      <c r="J249" s="506"/>
      <c r="K249" s="1425"/>
      <c r="L249" s="150"/>
      <c r="M249" s="277"/>
      <c r="N249" s="270"/>
      <c r="O249" s="1549"/>
      <c r="P249" s="1549"/>
      <c r="AH249" s="1556">
        <v>0</v>
      </c>
    </row>
    <row r="250" spans="1:34" s="1560" customFormat="1" ht="0.75" hidden="1" customHeight="1">
      <c r="A250" s="1705"/>
      <c r="B250" s="1705"/>
      <c r="C250" s="304" t="s">
        <v>1154</v>
      </c>
      <c r="D250" s="2340"/>
      <c r="E250" s="2140"/>
      <c r="F250" s="2283"/>
      <c r="G250" s="335"/>
      <c r="H250" s="1425"/>
      <c r="I250" s="586"/>
      <c r="J250" s="506"/>
      <c r="K250" s="1425"/>
      <c r="L250" s="150"/>
      <c r="M250" s="277"/>
      <c r="N250" s="270"/>
      <c r="O250" s="1549"/>
      <c r="P250" s="1549"/>
      <c r="AH250" s="1556">
        <v>0</v>
      </c>
    </row>
    <row r="251" spans="1:34" s="1560" customFormat="1" ht="18.75" hidden="1" customHeight="1">
      <c r="A251" s="1705" t="s">
        <v>249</v>
      </c>
      <c r="B251" s="1705" t="s">
        <v>250</v>
      </c>
      <c r="C251" s="304"/>
      <c r="D251" s="2340"/>
      <c r="E251" s="2140"/>
      <c r="F251" s="2283" t="str">
        <f>INDEX(PT_DIFFERENTIATION_VTAR,MATCH(A251,PT_DIFFERENTIATION_VTAR_ID,0))</f>
        <v>Тариф на горячую воду (горячее водоснабжение)</v>
      </c>
      <c r="G251" s="2315" t="str">
        <f>INDEX(PT_DIFFERENTIATION_NTAR,MATCH(B251,PT_DIFFERENTIATION_NTAR_ID,0))</f>
        <v/>
      </c>
      <c r="H251" s="1786"/>
      <c r="I251" s="1664"/>
      <c r="J251" s="1698"/>
      <c r="K251" s="1703"/>
      <c r="L251" s="1786" t="s">
        <v>305</v>
      </c>
      <c r="M251" s="277"/>
      <c r="N251" s="270"/>
      <c r="O251" s="1549"/>
      <c r="P251" s="1549"/>
      <c r="AH251" s="1556">
        <v>0</v>
      </c>
    </row>
    <row r="252" spans="1:34" s="1560" customFormat="1" ht="18.75" hidden="1" customHeight="1">
      <c r="A252" s="1705"/>
      <c r="B252" s="1705"/>
      <c r="C252" s="304" t="s">
        <v>1147</v>
      </c>
      <c r="D252" s="2340"/>
      <c r="E252" s="2140"/>
      <c r="F252" s="2283"/>
      <c r="G252" s="2315"/>
      <c r="H252" s="1425"/>
      <c r="I252" s="586" t="s">
        <v>1146</v>
      </c>
      <c r="J252" s="506"/>
      <c r="K252" s="1425"/>
      <c r="L252" s="150"/>
      <c r="M252" s="277"/>
      <c r="N252" s="270"/>
      <c r="O252" s="1549"/>
      <c r="P252" s="1549"/>
      <c r="AH252" s="1556">
        <v>0</v>
      </c>
    </row>
    <row r="253" spans="1:34" s="1560" customFormat="1" ht="0.75" hidden="1" customHeight="1">
      <c r="A253" s="1705"/>
      <c r="B253" s="1705"/>
      <c r="C253" s="304" t="s">
        <v>1154</v>
      </c>
      <c r="D253" s="2340"/>
      <c r="E253" s="2140"/>
      <c r="F253" s="2283"/>
      <c r="G253" s="335"/>
      <c r="H253" s="1425"/>
      <c r="I253" s="586"/>
      <c r="J253" s="506"/>
      <c r="K253" s="1425"/>
      <c r="L253" s="150"/>
      <c r="M253" s="277"/>
      <c r="N253" s="270"/>
      <c r="O253" s="1549"/>
      <c r="P253" s="1549"/>
      <c r="AH253" s="1556">
        <v>0</v>
      </c>
    </row>
    <row r="254" spans="1:34" s="1560" customFormat="1" ht="18.75" hidden="1" customHeight="1">
      <c r="A254" s="1705" t="s">
        <v>254</v>
      </c>
      <c r="B254" s="1705" t="s">
        <v>255</v>
      </c>
      <c r="C254" s="304"/>
      <c r="D254" s="2340"/>
      <c r="E254" s="2140"/>
      <c r="F254" s="2283" t="str">
        <f>INDEX(PT_DIFFERENTIATION_VTAR,MATCH(A254,PT_DIFFERENTIATION_VTAR_ID,0))</f>
        <v>Тариф на транспортировку горячей воды</v>
      </c>
      <c r="G254" s="2315" t="str">
        <f>INDEX(PT_DIFFERENTIATION_NTAR,MATCH(B254,PT_DIFFERENTIATION_NTAR_ID,0))</f>
        <v/>
      </c>
      <c r="H254" s="1786"/>
      <c r="I254" s="1664"/>
      <c r="J254" s="1698"/>
      <c r="K254" s="1703"/>
      <c r="L254" s="1786" t="s">
        <v>305</v>
      </c>
      <c r="M254" s="277"/>
      <c r="N254" s="270"/>
      <c r="O254" s="1549"/>
      <c r="P254" s="1549"/>
      <c r="AH254" s="1556">
        <v>0</v>
      </c>
    </row>
    <row r="255" spans="1:34" s="1560" customFormat="1" ht="18.75" hidden="1" customHeight="1">
      <c r="A255" s="1705"/>
      <c r="B255" s="1705"/>
      <c r="C255" s="304" t="s">
        <v>1147</v>
      </c>
      <c r="D255" s="2340"/>
      <c r="E255" s="2140"/>
      <c r="F255" s="2283"/>
      <c r="G255" s="2315"/>
      <c r="H255" s="1425"/>
      <c r="I255" s="586" t="s">
        <v>1146</v>
      </c>
      <c r="J255" s="506"/>
      <c r="K255" s="1425"/>
      <c r="L255" s="150"/>
      <c r="M255" s="277"/>
      <c r="N255" s="270"/>
      <c r="O255" s="1549"/>
      <c r="P255" s="1549"/>
      <c r="AH255" s="1556">
        <v>0</v>
      </c>
    </row>
    <row r="256" spans="1:34" s="1560" customFormat="1" ht="0.75" hidden="1" customHeight="1">
      <c r="A256" s="1705"/>
      <c r="B256" s="1705"/>
      <c r="C256" s="304" t="s">
        <v>1154</v>
      </c>
      <c r="D256" s="2340"/>
      <c r="E256" s="2140"/>
      <c r="F256" s="2283"/>
      <c r="G256" s="335"/>
      <c r="H256" s="1425"/>
      <c r="I256" s="586"/>
      <c r="J256" s="506"/>
      <c r="K256" s="1425"/>
      <c r="L256" s="150"/>
      <c r="M256" s="277"/>
      <c r="N256" s="270"/>
      <c r="O256" s="1549"/>
      <c r="P256" s="1549"/>
      <c r="AH256" s="1556">
        <v>0</v>
      </c>
    </row>
    <row r="257" spans="1:34" s="1560" customFormat="1" ht="18.75" hidden="1" customHeight="1">
      <c r="A257" s="1705" t="s">
        <v>259</v>
      </c>
      <c r="B257" s="1705" t="s">
        <v>260</v>
      </c>
      <c r="C257" s="304"/>
      <c r="D257" s="2340"/>
      <c r="E257" s="2140"/>
      <c r="F257" s="2283" t="str">
        <f>INDEX(PT_DIFFERENTIATION_VTAR,MATCH(A257,PT_DIFFERENTIATION_VTAR_ID,0))</f>
        <v>Тариф на подключение (технологическое присоединение) к централизованной системе горячего водоснабжения</v>
      </c>
      <c r="G257" s="2315" t="str">
        <f>INDEX(PT_DIFFERENTIATION_NTAR,MATCH(B257,PT_DIFFERENTIATION_NTAR_ID,0))</f>
        <v/>
      </c>
      <c r="H257" s="1786"/>
      <c r="I257" s="1664"/>
      <c r="J257" s="1698"/>
      <c r="K257" s="1703"/>
      <c r="L257" s="1786" t="s">
        <v>305</v>
      </c>
      <c r="M257" s="277"/>
      <c r="N257" s="270"/>
      <c r="O257" s="1549"/>
      <c r="P257" s="1549"/>
      <c r="AH257" s="1556">
        <v>0</v>
      </c>
    </row>
    <row r="258" spans="1:34" s="1560" customFormat="1" ht="18.75" hidden="1" customHeight="1">
      <c r="A258" s="1705"/>
      <c r="B258" s="1705"/>
      <c r="C258" s="304" t="s">
        <v>1147</v>
      </c>
      <c r="D258" s="2340"/>
      <c r="E258" s="2140"/>
      <c r="F258" s="2283"/>
      <c r="G258" s="2315"/>
      <c r="H258" s="1425"/>
      <c r="I258" s="586" t="s">
        <v>1146</v>
      </c>
      <c r="J258" s="506"/>
      <c r="K258" s="1425"/>
      <c r="L258" s="150"/>
      <c r="M258" s="277"/>
      <c r="N258" s="270"/>
      <c r="O258" s="1549"/>
      <c r="P258" s="1549"/>
      <c r="AH258" s="1556">
        <v>0</v>
      </c>
    </row>
    <row r="259" spans="1:34" s="1560" customFormat="1" ht="0.75" hidden="1" customHeight="1">
      <c r="A259" s="1705"/>
      <c r="B259" s="1705"/>
      <c r="C259" s="304" t="s">
        <v>1154</v>
      </c>
      <c r="D259" s="2340"/>
      <c r="E259" s="2140"/>
      <c r="F259" s="2283"/>
      <c r="G259" s="335"/>
      <c r="H259" s="1425"/>
      <c r="I259" s="586"/>
      <c r="J259" s="506"/>
      <c r="K259" s="1425"/>
      <c r="L259" s="150"/>
      <c r="M259" s="277"/>
      <c r="N259" s="270"/>
      <c r="O259" s="1549"/>
      <c r="P259" s="1549"/>
      <c r="AH259" s="1556">
        <v>0</v>
      </c>
    </row>
    <row r="260" spans="1:34" s="1560" customFormat="1" ht="18.75" hidden="1" customHeight="1">
      <c r="A260" s="1705" t="s">
        <v>264</v>
      </c>
      <c r="B260" s="1705" t="s">
        <v>265</v>
      </c>
      <c r="C260" s="304"/>
      <c r="D260" s="2340"/>
      <c r="E260" s="2140"/>
      <c r="F260" s="2283" t="str">
        <f>INDEX(PT_DIFFERENTIATION_VTAR,MATCH(A260,PT_DIFFERENTIATION_VTAR_ID,0))</f>
        <v>Тариф на водоотведение</v>
      </c>
      <c r="G260" s="2315" t="str">
        <f>INDEX(PT_DIFFERENTIATION_NTAR,MATCH(B260,PT_DIFFERENTIATION_NTAR_ID,0))</f>
        <v/>
      </c>
      <c r="H260" s="1786"/>
      <c r="I260" s="1664"/>
      <c r="J260" s="1698"/>
      <c r="K260" s="1703"/>
      <c r="L260" s="1786" t="s">
        <v>305</v>
      </c>
      <c r="M260" s="277"/>
      <c r="N260" s="270"/>
      <c r="O260" s="1549"/>
      <c r="P260" s="1549"/>
      <c r="AH260" s="1556">
        <v>0</v>
      </c>
    </row>
    <row r="261" spans="1:34" s="1560" customFormat="1" ht="18.75" hidden="1" customHeight="1">
      <c r="A261" s="1705"/>
      <c r="B261" s="1705"/>
      <c r="C261" s="304" t="s">
        <v>1147</v>
      </c>
      <c r="D261" s="2340"/>
      <c r="E261" s="2140"/>
      <c r="F261" s="2283"/>
      <c r="G261" s="2315"/>
      <c r="H261" s="1425"/>
      <c r="I261" s="586" t="s">
        <v>1146</v>
      </c>
      <c r="J261" s="506"/>
      <c r="K261" s="1425"/>
      <c r="L261" s="150"/>
      <c r="M261" s="277"/>
      <c r="N261" s="270"/>
      <c r="O261" s="1549"/>
      <c r="P261" s="1549"/>
      <c r="AH261" s="1556">
        <v>0</v>
      </c>
    </row>
    <row r="262" spans="1:34" s="1560" customFormat="1" ht="0.75" hidden="1" customHeight="1">
      <c r="A262" s="1705"/>
      <c r="B262" s="1705"/>
      <c r="C262" s="304" t="s">
        <v>1154</v>
      </c>
      <c r="D262" s="2340"/>
      <c r="E262" s="2140"/>
      <c r="F262" s="2283"/>
      <c r="G262" s="335"/>
      <c r="H262" s="1425"/>
      <c r="I262" s="586"/>
      <c r="J262" s="506"/>
      <c r="K262" s="1425"/>
      <c r="L262" s="150"/>
      <c r="M262" s="277"/>
      <c r="N262" s="270"/>
      <c r="O262" s="1549"/>
      <c r="P262" s="1549"/>
      <c r="AH262" s="1556">
        <v>0</v>
      </c>
    </row>
    <row r="263" spans="1:34" s="1560" customFormat="1" ht="18.75" hidden="1" customHeight="1">
      <c r="A263" s="1705" t="s">
        <v>269</v>
      </c>
      <c r="B263" s="1705" t="s">
        <v>270</v>
      </c>
      <c r="C263" s="304"/>
      <c r="D263" s="2340"/>
      <c r="E263" s="2140"/>
      <c r="F263" s="2283" t="str">
        <f>INDEX(PT_DIFFERENTIATION_VTAR,MATCH(A263,PT_DIFFERENTIATION_VTAR_ID,0))</f>
        <v>Тариф на транспортировку сточных вод</v>
      </c>
      <c r="G263" s="2315" t="str">
        <f>INDEX(PT_DIFFERENTIATION_NTAR,MATCH(B263,PT_DIFFERENTIATION_NTAR_ID,0))</f>
        <v/>
      </c>
      <c r="H263" s="1786"/>
      <c r="I263" s="1664"/>
      <c r="J263" s="1698"/>
      <c r="K263" s="1703"/>
      <c r="L263" s="1786" t="s">
        <v>305</v>
      </c>
      <c r="M263" s="277"/>
      <c r="N263" s="270"/>
      <c r="O263" s="1549"/>
      <c r="P263" s="1549"/>
      <c r="AH263" s="1556">
        <v>0</v>
      </c>
    </row>
    <row r="264" spans="1:34" s="1560" customFormat="1" ht="18.75" hidden="1" customHeight="1">
      <c r="A264" s="1705"/>
      <c r="B264" s="1705"/>
      <c r="C264" s="304" t="s">
        <v>1147</v>
      </c>
      <c r="D264" s="2340"/>
      <c r="E264" s="2140"/>
      <c r="F264" s="2283"/>
      <c r="G264" s="2315"/>
      <c r="H264" s="1425"/>
      <c r="I264" s="586" t="s">
        <v>1146</v>
      </c>
      <c r="J264" s="506"/>
      <c r="K264" s="1425"/>
      <c r="L264" s="150"/>
      <c r="M264" s="277"/>
      <c r="N264" s="270"/>
      <c r="O264" s="1549"/>
      <c r="P264" s="1549"/>
      <c r="AH264" s="1556">
        <v>0</v>
      </c>
    </row>
    <row r="265" spans="1:34" s="1560" customFormat="1" ht="0.75" hidden="1" customHeight="1">
      <c r="A265" s="1705"/>
      <c r="B265" s="1705"/>
      <c r="C265" s="304" t="s">
        <v>1154</v>
      </c>
      <c r="D265" s="2340"/>
      <c r="E265" s="2140"/>
      <c r="F265" s="2283"/>
      <c r="G265" s="335"/>
      <c r="H265" s="1425"/>
      <c r="I265" s="586"/>
      <c r="J265" s="506"/>
      <c r="K265" s="1425"/>
      <c r="L265" s="150"/>
      <c r="M265" s="277"/>
      <c r="N265" s="270"/>
      <c r="O265" s="1549"/>
      <c r="P265" s="1549"/>
      <c r="AH265" s="1556">
        <v>0</v>
      </c>
    </row>
    <row r="266" spans="1:34" s="1560" customFormat="1" ht="18.75" hidden="1" customHeight="1">
      <c r="A266" s="1705" t="s">
        <v>274</v>
      </c>
      <c r="B266" s="1705" t="s">
        <v>275</v>
      </c>
      <c r="C266" s="304"/>
      <c r="D266" s="2340"/>
      <c r="E266" s="2140"/>
      <c r="F266" s="2283" t="str">
        <f>INDEX(PT_DIFFERENTIATION_VTAR,MATCH(A266,PT_DIFFERENTIATION_VTAR_ID,0))</f>
        <v>Тариф на подключение (технологическое присоединение) к централизованной системе водоотведения</v>
      </c>
      <c r="G266" s="2315" t="str">
        <f>INDEX(PT_DIFFERENTIATION_NTAR,MATCH(B266,PT_DIFFERENTIATION_NTAR_ID,0))</f>
        <v/>
      </c>
      <c r="H266" s="1786"/>
      <c r="I266" s="1664"/>
      <c r="J266" s="1698"/>
      <c r="K266" s="1703"/>
      <c r="L266" s="1786" t="s">
        <v>305</v>
      </c>
      <c r="M266" s="277"/>
      <c r="N266" s="270"/>
      <c r="O266" s="1549"/>
      <c r="P266" s="1549"/>
      <c r="AH266" s="1556">
        <v>0</v>
      </c>
    </row>
    <row r="267" spans="1:34" s="1560" customFormat="1" ht="18.75" hidden="1" customHeight="1">
      <c r="A267" s="1705"/>
      <c r="B267" s="1705"/>
      <c r="C267" s="304" t="s">
        <v>1147</v>
      </c>
      <c r="D267" s="2340"/>
      <c r="E267" s="2140"/>
      <c r="F267" s="2283"/>
      <c r="G267" s="2315"/>
      <c r="H267" s="1425"/>
      <c r="I267" s="586" t="s">
        <v>1146</v>
      </c>
      <c r="J267" s="506"/>
      <c r="K267" s="1425"/>
      <c r="L267" s="150"/>
      <c r="M267" s="277"/>
      <c r="N267" s="270"/>
      <c r="O267" s="1549"/>
      <c r="P267" s="1549"/>
      <c r="AH267" s="1556">
        <v>0</v>
      </c>
    </row>
    <row r="268" spans="1:34" s="1560" customFormat="1" ht="1.1499999999999999" customHeight="1">
      <c r="A268" s="1705"/>
      <c r="B268" s="1705"/>
      <c r="C268" s="304" t="s">
        <v>1154</v>
      </c>
      <c r="D268" s="2340"/>
      <c r="E268" s="2140"/>
      <c r="F268" s="2283"/>
      <c r="G268" s="335"/>
      <c r="H268" s="1425"/>
      <c r="I268" s="586"/>
      <c r="J268" s="506"/>
      <c r="K268" s="1425"/>
      <c r="L268" s="150"/>
      <c r="M268" s="277"/>
      <c r="N268" s="270"/>
      <c r="O268" s="1549"/>
      <c r="P268" s="1549"/>
      <c r="AH268" s="1556">
        <v>1</v>
      </c>
    </row>
    <row r="269" spans="1:34" ht="27.4" customHeight="1">
      <c r="A269" s="1705"/>
      <c r="B269" s="1705"/>
      <c r="D269" s="311"/>
      <c r="E269" s="83" t="s">
        <v>92</v>
      </c>
      <c r="F269" s="2339" t="str">
        <f>"Размер экономически обоснованных расходов, не учтенных при установлении "&amp;IF(TEMPLATE_SPHERE="HEAT","регулируемых цен (тарифов)","тарифов")&amp;" в предыдущий период регулирования (при их наличии), "&amp;IF(TEMPLATE_SPHERE="HEAT","определенном в соответствии с законодательством в сфере теплоснабжения","определенных в соответствии с Основами ценообразования в сфере водоснабжения и водоотведения")</f>
        <v>Размер экономически обоснованных расходов, не учтенных при установлении регулируемых цен (тарифов) в предыдущий период регулирования (при их наличии), определенном в соответствии с законодательством в сфере теплоснабжения</v>
      </c>
      <c r="G269" s="2339"/>
      <c r="H269" s="2339"/>
      <c r="I269" s="2339"/>
      <c r="J269" s="2339"/>
      <c r="K269" s="2339"/>
      <c r="L269" s="2339"/>
      <c r="M269" s="233"/>
      <c r="N269" s="270"/>
      <c r="AH269" s="309">
        <v>26</v>
      </c>
    </row>
    <row r="270" spans="1:34" s="1560" customFormat="1" ht="60.75" hidden="1" customHeight="1">
      <c r="A270" s="1705" t="s">
        <v>156</v>
      </c>
      <c r="B270" s="1705" t="s">
        <v>157</v>
      </c>
      <c r="C270" s="304"/>
      <c r="D270" s="2340"/>
      <c r="E270" s="2140"/>
      <c r="F270" s="2283" t="str">
        <f>INDEX(PT_DIFFERENTIATION_VTAR,MATCH(A270,PT_DIFFERENTIATION_VTAR_ID,0))</f>
        <v>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v>
      </c>
      <c r="G270" s="2315" t="str">
        <f>INDEX(PT_DIFFERENTIATION_NTAR,MATCH(B270,PT_DIFFERENTIATION_NTAR_ID,0))</f>
        <v/>
      </c>
      <c r="H270" s="1786"/>
      <c r="I270" s="1664"/>
      <c r="J270" s="1698"/>
      <c r="K270" s="1703"/>
      <c r="L270" s="1786" t="s">
        <v>305</v>
      </c>
      <c r="M270" s="2108" t="str">
        <f>"Значение в колонке «Вид тарифа» выбирается из перечня видов тарифов в сфере "&amp;TEMPLATE_SPHERE_RUS&amp;", предусмотренных законодательством в сфере "&amp;IF(TEMPLATE_SPHERE="HEAT","теплоснабжения","водоснабжения и водоотведения")&amp;".
Даты начала и окончания срока действия тарифов указываются в виде «ДД.ММ.ГГГГ».
"&amp;"Величина экономически обоснованных расходов, не учтенных при регулировании тарифов в предыдущий период регулирования, указывается в колонке «Информация» в тыс. руб.
"&amp;"В случае отсутствия экономически обоснованных расходов, не учтенных при регулировании тарифов в предыдущий период регулирования, определенных в соответствии с законодательством в сфере водоснабжения и водоотведения, указывается значение «0».
"&amp;"В случае дифференциации экономически обоснованных расходов по видам тарифов и/или по срокам действия тарифов информация указывается в отдельных строках."</f>
        <v>Значение в колонке «Вид тарифа» выбирается из перечня видов тарифов в сфере теплоснабжения, предусмотренных законодательством в сфере теплоснабжения.
Даты начала и окончания срока действия тарифов указываются в виде «ДД.ММ.ГГГГ».
Величина экономически обоснованных расходов, не учтенных при регулировании тарифов в предыдущий период регулирования, указывается в колонке «Информация» в тыс. руб.
В случае отсутствия экономически обоснованных расходов, не учтенных при регулировании тарифов в предыдущий период регулирования, определенных в соответствии с законодательством в сфере водоснабжения и водоотведения, указывается значение «0».
В случае дифференциации экономически обоснованных расходов по видам тарифов и/или по срокам действия тарифов информация указывается в отдельных строках.</v>
      </c>
      <c r="N270" s="270"/>
      <c r="O270" s="1549"/>
      <c r="P270" s="1549"/>
      <c r="AH270" s="1556">
        <v>0</v>
      </c>
    </row>
    <row r="271" spans="1:34" s="1560" customFormat="1" ht="18.75" hidden="1" customHeight="1">
      <c r="A271" s="1705"/>
      <c r="B271" s="1705"/>
      <c r="C271" s="304" t="s">
        <v>1147</v>
      </c>
      <c r="D271" s="2340"/>
      <c r="E271" s="2140"/>
      <c r="F271" s="2283"/>
      <c r="G271" s="2315"/>
      <c r="H271" s="1425"/>
      <c r="I271" s="586" t="s">
        <v>1146</v>
      </c>
      <c r="J271" s="506"/>
      <c r="K271" s="1425"/>
      <c r="L271" s="150"/>
      <c r="M271" s="2109"/>
      <c r="N271" s="270"/>
      <c r="O271" s="1549"/>
      <c r="P271" s="1549"/>
      <c r="AH271" s="1556">
        <v>0</v>
      </c>
    </row>
    <row r="272" spans="1:34" s="1560" customFormat="1" ht="0.75" hidden="1" customHeight="1">
      <c r="A272" s="1705"/>
      <c r="B272" s="1705"/>
      <c r="C272" s="304" t="s">
        <v>1154</v>
      </c>
      <c r="D272" s="2340"/>
      <c r="E272" s="2140"/>
      <c r="F272" s="2283"/>
      <c r="G272" s="335"/>
      <c r="H272" s="1425"/>
      <c r="I272" s="586"/>
      <c r="J272" s="506"/>
      <c r="K272" s="1425"/>
      <c r="L272" s="150"/>
      <c r="M272" s="2109"/>
      <c r="N272" s="270"/>
      <c r="O272" s="1549"/>
      <c r="P272" s="1549"/>
      <c r="AH272" s="1556">
        <v>0</v>
      </c>
    </row>
    <row r="273" spans="1:34" s="1560" customFormat="1" ht="45" hidden="1" customHeight="1">
      <c r="A273" s="1705" t="s">
        <v>161</v>
      </c>
      <c r="B273" s="1705" t="s">
        <v>162</v>
      </c>
      <c r="C273" s="304"/>
      <c r="D273" s="2340"/>
      <c r="E273" s="2140"/>
      <c r="F273" s="2283" t="str">
        <f>INDEX(PT_DIFFERENTIATION_VTAR,MATCH(A273,PT_DIFFERENTIATION_VTAR_ID,0))</f>
        <v/>
      </c>
      <c r="G273" s="2315" t="str">
        <f>INDEX(PT_DIFFERENTIATION_NTAR,MATCH(B273,PT_DIFFERENTIATION_NTAR_ID,0))</f>
        <v/>
      </c>
      <c r="H273" s="1786"/>
      <c r="I273" s="1664"/>
      <c r="J273" s="1698"/>
      <c r="K273" s="1703"/>
      <c r="L273" s="1786" t="s">
        <v>305</v>
      </c>
      <c r="M273" s="2110"/>
      <c r="N273" s="270"/>
      <c r="O273" s="1549"/>
      <c r="P273" s="1549"/>
      <c r="AH273" s="1556">
        <v>0</v>
      </c>
    </row>
    <row r="274" spans="1:34" s="1560" customFormat="1" ht="18.75" hidden="1" customHeight="1">
      <c r="A274" s="1705"/>
      <c r="B274" s="1705"/>
      <c r="C274" s="304" t="s">
        <v>1147</v>
      </c>
      <c r="D274" s="2340"/>
      <c r="E274" s="2140"/>
      <c r="F274" s="2283"/>
      <c r="G274" s="2315"/>
      <c r="H274" s="1425"/>
      <c r="I274" s="586" t="s">
        <v>1146</v>
      </c>
      <c r="J274" s="506"/>
      <c r="K274" s="1425"/>
      <c r="L274" s="150"/>
      <c r="M274" s="1785"/>
      <c r="N274" s="270"/>
      <c r="O274" s="1549"/>
      <c r="P274" s="1549"/>
      <c r="AH274" s="1556">
        <v>0</v>
      </c>
    </row>
    <row r="275" spans="1:34" s="1560" customFormat="1" ht="0.75" hidden="1" customHeight="1">
      <c r="A275" s="1705"/>
      <c r="B275" s="1705"/>
      <c r="C275" s="304" t="s">
        <v>1154</v>
      </c>
      <c r="D275" s="2340"/>
      <c r="E275" s="2140"/>
      <c r="F275" s="2283"/>
      <c r="G275" s="335"/>
      <c r="H275" s="1425"/>
      <c r="I275" s="586"/>
      <c r="J275" s="506"/>
      <c r="K275" s="1425"/>
      <c r="L275" s="150"/>
      <c r="M275" s="277"/>
      <c r="N275" s="270"/>
      <c r="O275" s="1549"/>
      <c r="P275" s="1549"/>
      <c r="AH275" s="1556">
        <v>0</v>
      </c>
    </row>
    <row r="276" spans="1:34" s="1560" customFormat="1" ht="45" hidden="1" customHeight="1">
      <c r="A276" s="1705" t="s">
        <v>168</v>
      </c>
      <c r="B276" s="1705" t="s">
        <v>169</v>
      </c>
      <c r="C276" s="304"/>
      <c r="D276" s="2340"/>
      <c r="E276" s="2140"/>
      <c r="F276" s="2283" t="str">
        <f>INDEX(PT_DIFFERENTIATION_VTAR,MATCH(A276,PT_DIFFERENTIATION_VTAR_ID,0))</f>
        <v>Тарифы на теплоноситель, поставляемый теплоснабжающими организациями потребителям, другим теплоснабжающим организациям</v>
      </c>
      <c r="G276" s="2315" t="str">
        <f>INDEX(PT_DIFFERENTIATION_NTAR,MATCH(B276,PT_DIFFERENTIATION_NTAR_ID,0))</f>
        <v/>
      </c>
      <c r="H276" s="1786"/>
      <c r="I276" s="1664"/>
      <c r="J276" s="1698"/>
      <c r="K276" s="1703"/>
      <c r="L276" s="1786" t="s">
        <v>305</v>
      </c>
      <c r="M276" s="277"/>
      <c r="N276" s="270"/>
      <c r="O276" s="1549"/>
      <c r="P276" s="1549"/>
      <c r="AH276" s="1556">
        <v>0</v>
      </c>
    </row>
    <row r="277" spans="1:34" s="1560" customFormat="1" ht="18.75" hidden="1" customHeight="1">
      <c r="A277" s="1705"/>
      <c r="B277" s="1705"/>
      <c r="C277" s="304" t="s">
        <v>1147</v>
      </c>
      <c r="D277" s="2340"/>
      <c r="E277" s="2140"/>
      <c r="F277" s="2283"/>
      <c r="G277" s="2315"/>
      <c r="H277" s="1425"/>
      <c r="I277" s="586" t="s">
        <v>1146</v>
      </c>
      <c r="J277" s="506"/>
      <c r="K277" s="1425"/>
      <c r="L277" s="150"/>
      <c r="M277" s="277"/>
      <c r="N277" s="270"/>
      <c r="O277" s="1549"/>
      <c r="P277" s="1549"/>
      <c r="AH277" s="1556">
        <v>0</v>
      </c>
    </row>
    <row r="278" spans="1:34" s="1560" customFormat="1" ht="0.75" hidden="1" customHeight="1">
      <c r="A278" s="1705"/>
      <c r="B278" s="1705"/>
      <c r="C278" s="304" t="s">
        <v>1154</v>
      </c>
      <c r="D278" s="2340"/>
      <c r="E278" s="2140"/>
      <c r="F278" s="2283"/>
      <c r="G278" s="335"/>
      <c r="H278" s="1425"/>
      <c r="I278" s="586"/>
      <c r="J278" s="506"/>
      <c r="K278" s="1425"/>
      <c r="L278" s="150"/>
      <c r="M278" s="277"/>
      <c r="N278" s="270"/>
      <c r="O278" s="1549"/>
      <c r="P278" s="1549"/>
      <c r="AH278" s="1556">
        <v>0</v>
      </c>
    </row>
    <row r="279" spans="1:34" s="1560" customFormat="1" ht="45" hidden="1" customHeight="1">
      <c r="A279" s="1705" t="s">
        <v>174</v>
      </c>
      <c r="B279" s="1705" t="s">
        <v>175</v>
      </c>
      <c r="C279" s="304"/>
      <c r="D279" s="2340"/>
      <c r="E279" s="2140"/>
      <c r="F279" s="2283" t="str">
        <f>INDEX(PT_DIFFERENTIATION_VTAR,MATCH(A279,PT_DIFFERENTIATION_VTAR_ID,0))</f>
        <v>Тарифы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v>
      </c>
      <c r="G279" s="2315" t="str">
        <f>INDEX(PT_DIFFERENTIATION_NTAR,MATCH(B279,PT_DIFFERENTIATION_NTAR_ID,0))</f>
        <v/>
      </c>
      <c r="H279" s="1786"/>
      <c r="I279" s="1664"/>
      <c r="J279" s="1698"/>
      <c r="K279" s="1703"/>
      <c r="L279" s="1786" t="s">
        <v>305</v>
      </c>
      <c r="M279" s="277"/>
      <c r="N279" s="270"/>
      <c r="O279" s="1549"/>
      <c r="P279" s="1549"/>
      <c r="AH279" s="1556">
        <v>0</v>
      </c>
    </row>
    <row r="280" spans="1:34" s="1560" customFormat="1" ht="18.75" hidden="1" customHeight="1">
      <c r="A280" s="1705"/>
      <c r="B280" s="1705"/>
      <c r="C280" s="304" t="s">
        <v>1147</v>
      </c>
      <c r="D280" s="2340"/>
      <c r="E280" s="2140"/>
      <c r="F280" s="2283"/>
      <c r="G280" s="2315"/>
      <c r="H280" s="1425"/>
      <c r="I280" s="586" t="s">
        <v>1146</v>
      </c>
      <c r="J280" s="506"/>
      <c r="K280" s="1425"/>
      <c r="L280" s="150"/>
      <c r="M280" s="277"/>
      <c r="N280" s="270"/>
      <c r="O280" s="1549"/>
      <c r="P280" s="1549"/>
      <c r="AH280" s="1556">
        <v>0</v>
      </c>
    </row>
    <row r="281" spans="1:34" s="1560" customFormat="1" ht="0.75" hidden="1" customHeight="1">
      <c r="A281" s="1705"/>
      <c r="B281" s="1705"/>
      <c r="C281" s="304" t="s">
        <v>1154</v>
      </c>
      <c r="D281" s="2340"/>
      <c r="E281" s="2140"/>
      <c r="F281" s="2283"/>
      <c r="G281" s="335"/>
      <c r="H281" s="1425"/>
      <c r="I281" s="586"/>
      <c r="J281" s="506"/>
      <c r="K281" s="1425"/>
      <c r="L281" s="150"/>
      <c r="M281" s="277"/>
      <c r="N281" s="270"/>
      <c r="O281" s="1549"/>
      <c r="P281" s="1549"/>
      <c r="AH281" s="1556">
        <v>0</v>
      </c>
    </row>
    <row r="282" spans="1:34" s="1560" customFormat="1" ht="18.75" hidden="1" customHeight="1">
      <c r="A282" s="1705" t="s">
        <v>180</v>
      </c>
      <c r="B282" s="1705" t="s">
        <v>181</v>
      </c>
      <c r="C282" s="304"/>
      <c r="D282" s="2340"/>
      <c r="E282" s="2140"/>
      <c r="F282" s="2283" t="str">
        <f>INDEX(PT_DIFFERENTIATION_VTAR,MATCH(A282,PT_DIFFERENTIATION_VTAR_ID,0))</f>
        <v>Тарифы на услуги по передаче тепловой энергии</v>
      </c>
      <c r="G282" s="2315" t="str">
        <f>INDEX(PT_DIFFERENTIATION_NTAR,MATCH(B282,PT_DIFFERENTIATION_NTAR_ID,0))</f>
        <v/>
      </c>
      <c r="H282" s="1786"/>
      <c r="I282" s="1664"/>
      <c r="J282" s="1698"/>
      <c r="K282" s="1703"/>
      <c r="L282" s="1786" t="s">
        <v>305</v>
      </c>
      <c r="M282" s="277"/>
      <c r="N282" s="270"/>
      <c r="O282" s="1549"/>
      <c r="P282" s="1549"/>
      <c r="AH282" s="1556">
        <v>0</v>
      </c>
    </row>
    <row r="283" spans="1:34" s="1560" customFormat="1" ht="18.75" hidden="1" customHeight="1">
      <c r="A283" s="1705"/>
      <c r="B283" s="1705"/>
      <c r="C283" s="304" t="s">
        <v>1147</v>
      </c>
      <c r="D283" s="2340"/>
      <c r="E283" s="2140"/>
      <c r="F283" s="2283"/>
      <c r="G283" s="2315"/>
      <c r="H283" s="1425"/>
      <c r="I283" s="586" t="s">
        <v>1146</v>
      </c>
      <c r="J283" s="506"/>
      <c r="K283" s="1425"/>
      <c r="L283" s="150"/>
      <c r="M283" s="277"/>
      <c r="N283" s="270"/>
      <c r="O283" s="1549"/>
      <c r="P283" s="1549"/>
      <c r="AH283" s="1556">
        <v>0</v>
      </c>
    </row>
    <row r="284" spans="1:34" s="1560" customFormat="1" ht="0.75" hidden="1" customHeight="1">
      <c r="A284" s="1705"/>
      <c r="B284" s="1705"/>
      <c r="C284" s="304" t="s">
        <v>1154</v>
      </c>
      <c r="D284" s="2340"/>
      <c r="E284" s="2140"/>
      <c r="F284" s="2283"/>
      <c r="G284" s="335"/>
      <c r="H284" s="1425"/>
      <c r="I284" s="586"/>
      <c r="J284" s="506"/>
      <c r="K284" s="1425"/>
      <c r="L284" s="150"/>
      <c r="M284" s="277"/>
      <c r="N284" s="270"/>
      <c r="O284" s="1549"/>
      <c r="P284" s="1549"/>
      <c r="AH284" s="1556">
        <v>0</v>
      </c>
    </row>
    <row r="285" spans="1:34" s="1560" customFormat="1" ht="18.75" hidden="1" customHeight="1">
      <c r="A285" s="1705" t="s">
        <v>186</v>
      </c>
      <c r="B285" s="1705" t="s">
        <v>187</v>
      </c>
      <c r="C285" s="304"/>
      <c r="D285" s="2340"/>
      <c r="E285" s="2140"/>
      <c r="F285" s="2283" t="str">
        <f>INDEX(PT_DIFFERENTIATION_VTAR,MATCH(A285,PT_DIFFERENTIATION_VTAR_ID,0))</f>
        <v>Тарифы на услуги по передаче теплоносителя</v>
      </c>
      <c r="G285" s="2315" t="str">
        <f>INDEX(PT_DIFFERENTIATION_NTAR,MATCH(B285,PT_DIFFERENTIATION_NTAR_ID,0))</f>
        <v/>
      </c>
      <c r="H285" s="1786"/>
      <c r="I285" s="1664"/>
      <c r="J285" s="1698"/>
      <c r="K285" s="1703"/>
      <c r="L285" s="1786" t="s">
        <v>305</v>
      </c>
      <c r="M285" s="277"/>
      <c r="N285" s="270"/>
      <c r="O285" s="1549"/>
      <c r="P285" s="1549"/>
      <c r="AH285" s="1556">
        <v>0</v>
      </c>
    </row>
    <row r="286" spans="1:34" s="1560" customFormat="1" ht="18.75" hidden="1" customHeight="1">
      <c r="A286" s="1705"/>
      <c r="B286" s="1705"/>
      <c r="C286" s="304" t="s">
        <v>1147</v>
      </c>
      <c r="D286" s="2340"/>
      <c r="E286" s="2140"/>
      <c r="F286" s="2283"/>
      <c r="G286" s="2315"/>
      <c r="H286" s="1425"/>
      <c r="I286" s="586" t="s">
        <v>1146</v>
      </c>
      <c r="J286" s="506"/>
      <c r="K286" s="1425"/>
      <c r="L286" s="150"/>
      <c r="M286" s="277"/>
      <c r="N286" s="270"/>
      <c r="O286" s="1549"/>
      <c r="P286" s="1549"/>
      <c r="AH286" s="1556">
        <v>0</v>
      </c>
    </row>
    <row r="287" spans="1:34" s="1560" customFormat="1" ht="0.75" hidden="1" customHeight="1">
      <c r="A287" s="1705"/>
      <c r="B287" s="1705"/>
      <c r="C287" s="304" t="s">
        <v>1154</v>
      </c>
      <c r="D287" s="2340"/>
      <c r="E287" s="2140"/>
      <c r="F287" s="2283"/>
      <c r="G287" s="335"/>
      <c r="H287" s="1425"/>
      <c r="I287" s="586"/>
      <c r="J287" s="506"/>
      <c r="K287" s="1425"/>
      <c r="L287" s="150"/>
      <c r="M287" s="277"/>
      <c r="N287" s="270"/>
      <c r="O287" s="1549"/>
      <c r="P287" s="1549"/>
      <c r="AH287" s="1556">
        <v>0</v>
      </c>
    </row>
    <row r="288" spans="1:34" s="1560" customFormat="1" ht="18.75" hidden="1" customHeight="1">
      <c r="A288" s="1705" t="s">
        <v>192</v>
      </c>
      <c r="B288" s="1705" t="s">
        <v>193</v>
      </c>
      <c r="C288" s="304"/>
      <c r="D288" s="2340"/>
      <c r="E288" s="2140"/>
      <c r="F288" s="2283" t="str">
        <f>INDEX(PT_DIFFERENTIATION_VTAR,MATCH(A288,PT_DIFFERENTIATION_VTAR_ID,0))</f>
        <v>Плата за услуги по поддержанию резервной тепловой мощности при отсутствии потребления тепловой энергии</v>
      </c>
      <c r="G288" s="2315" t="str">
        <f>INDEX(PT_DIFFERENTIATION_NTAR,MATCH(B288,PT_DIFFERENTIATION_NTAR_ID,0))</f>
        <v/>
      </c>
      <c r="H288" s="1786"/>
      <c r="I288" s="1664"/>
      <c r="J288" s="1698"/>
      <c r="K288" s="1703"/>
      <c r="L288" s="1786" t="s">
        <v>305</v>
      </c>
      <c r="M288" s="277"/>
      <c r="N288" s="270"/>
      <c r="O288" s="1549"/>
      <c r="P288" s="1549"/>
      <c r="AH288" s="1556">
        <v>0</v>
      </c>
    </row>
    <row r="289" spans="1:34" s="1560" customFormat="1" ht="18.75" hidden="1" customHeight="1">
      <c r="A289" s="1705"/>
      <c r="B289" s="1705"/>
      <c r="C289" s="304" t="s">
        <v>1147</v>
      </c>
      <c r="D289" s="2340"/>
      <c r="E289" s="2140"/>
      <c r="F289" s="2283"/>
      <c r="G289" s="2315"/>
      <c r="H289" s="1425"/>
      <c r="I289" s="586" t="s">
        <v>1146</v>
      </c>
      <c r="J289" s="506"/>
      <c r="K289" s="1425"/>
      <c r="L289" s="150"/>
      <c r="M289" s="277"/>
      <c r="N289" s="270"/>
      <c r="O289" s="1549"/>
      <c r="P289" s="1549"/>
      <c r="AH289" s="1556">
        <v>0</v>
      </c>
    </row>
    <row r="290" spans="1:34" s="1560" customFormat="1" ht="0.75" hidden="1" customHeight="1">
      <c r="A290" s="1705"/>
      <c r="B290" s="1705"/>
      <c r="C290" s="304" t="s">
        <v>1154</v>
      </c>
      <c r="D290" s="2340"/>
      <c r="E290" s="2140"/>
      <c r="F290" s="2283"/>
      <c r="G290" s="335"/>
      <c r="H290" s="1425"/>
      <c r="I290" s="586"/>
      <c r="J290" s="506"/>
      <c r="K290" s="1425"/>
      <c r="L290" s="150"/>
      <c r="M290" s="277"/>
      <c r="N290" s="270"/>
      <c r="O290" s="1549"/>
      <c r="P290" s="1549"/>
      <c r="AH290" s="1556">
        <v>0</v>
      </c>
    </row>
    <row r="291" spans="1:34" s="1560" customFormat="1" ht="18.75" hidden="1" customHeight="1">
      <c r="A291" s="1705" t="s">
        <v>198</v>
      </c>
      <c r="B291" s="1705" t="s">
        <v>199</v>
      </c>
      <c r="C291" s="304"/>
      <c r="D291" s="2340"/>
      <c r="E291" s="2140"/>
      <c r="F291" s="2283" t="str">
        <f>INDEX(PT_DIFFERENTIATION_VTAR,MATCH(A291,PT_DIFFERENTIATION_VTAR_ID,0))</f>
        <v>Плата за подключение (технологическое присоединение) к системе теплоснабжения</v>
      </c>
      <c r="G291" s="2315" t="str">
        <f>INDEX(PT_DIFFERENTIATION_NTAR,MATCH(B291,PT_DIFFERENTIATION_NTAR_ID,0))</f>
        <v/>
      </c>
      <c r="H291" s="1786"/>
      <c r="I291" s="1664"/>
      <c r="J291" s="1698"/>
      <c r="K291" s="1703"/>
      <c r="L291" s="1786" t="s">
        <v>305</v>
      </c>
      <c r="M291" s="277"/>
      <c r="N291" s="270"/>
      <c r="O291" s="1549"/>
      <c r="P291" s="1549"/>
      <c r="AH291" s="1556">
        <v>0</v>
      </c>
    </row>
    <row r="292" spans="1:34" s="1560" customFormat="1" ht="18.75" hidden="1" customHeight="1">
      <c r="A292" s="1705"/>
      <c r="B292" s="1705"/>
      <c r="C292" s="304" t="s">
        <v>1147</v>
      </c>
      <c r="D292" s="2340"/>
      <c r="E292" s="2140"/>
      <c r="F292" s="2283"/>
      <c r="G292" s="2315"/>
      <c r="H292" s="1425"/>
      <c r="I292" s="586" t="s">
        <v>1146</v>
      </c>
      <c r="J292" s="506"/>
      <c r="K292" s="1425"/>
      <c r="L292" s="150"/>
      <c r="M292" s="277"/>
      <c r="N292" s="270"/>
      <c r="O292" s="1549"/>
      <c r="P292" s="1549"/>
      <c r="AH292" s="1556">
        <v>0</v>
      </c>
    </row>
    <row r="293" spans="1:34" s="1560" customFormat="1" ht="0.75" hidden="1" customHeight="1">
      <c r="A293" s="1705"/>
      <c r="B293" s="1705"/>
      <c r="C293" s="304" t="s">
        <v>1154</v>
      </c>
      <c r="D293" s="2340"/>
      <c r="E293" s="2140"/>
      <c r="F293" s="2283"/>
      <c r="G293" s="335"/>
      <c r="H293" s="1425"/>
      <c r="I293" s="586"/>
      <c r="J293" s="506"/>
      <c r="K293" s="1425"/>
      <c r="L293" s="150"/>
      <c r="M293" s="277"/>
      <c r="N293" s="270"/>
      <c r="O293" s="1549"/>
      <c r="P293" s="1549"/>
      <c r="AH293" s="1556">
        <v>0</v>
      </c>
    </row>
    <row r="294" spans="1:34" s="1560" customFormat="1" ht="18.75" hidden="1" customHeight="1">
      <c r="A294" s="1705" t="s">
        <v>204</v>
      </c>
      <c r="B294" s="1705" t="s">
        <v>205</v>
      </c>
      <c r="C294" s="304"/>
      <c r="D294" s="2340"/>
      <c r="E294" s="2140"/>
      <c r="F294" s="2283" t="str">
        <f>INDEX(PT_DIFFERENTIATION_VTAR,MATCH(A294,PT_DIFFERENTIATION_VTAR_ID,0))</f>
        <v>Плата за подключение (технологическое присоединение) к системе теплоснабжения (индивидуальная)</v>
      </c>
      <c r="G294" s="2315" t="str">
        <f>INDEX(PT_DIFFERENTIATION_NTAR,MATCH(B294,PT_DIFFERENTIATION_NTAR_ID,0))</f>
        <v/>
      </c>
      <c r="H294" s="1910"/>
      <c r="I294" s="1664"/>
      <c r="J294" s="1698"/>
      <c r="K294" s="1703"/>
      <c r="L294" s="1910" t="s">
        <v>305</v>
      </c>
      <c r="M294" s="277"/>
      <c r="N294" s="270"/>
      <c r="O294" s="1549"/>
      <c r="P294" s="1549"/>
      <c r="AH294" s="1556">
        <v>0</v>
      </c>
    </row>
    <row r="295" spans="1:34" s="1560" customFormat="1" ht="18.75" hidden="1" customHeight="1">
      <c r="A295" s="1705"/>
      <c r="B295" s="1705"/>
      <c r="C295" s="304" t="s">
        <v>1147</v>
      </c>
      <c r="D295" s="2340"/>
      <c r="E295" s="2140"/>
      <c r="F295" s="2283"/>
      <c r="G295" s="2315"/>
      <c r="H295" s="1425"/>
      <c r="I295" s="586" t="s">
        <v>1146</v>
      </c>
      <c r="J295" s="506"/>
      <c r="K295" s="1425"/>
      <c r="L295" s="150"/>
      <c r="M295" s="277"/>
      <c r="N295" s="270"/>
      <c r="O295" s="1549"/>
      <c r="P295" s="1549"/>
      <c r="AH295" s="1556">
        <v>0</v>
      </c>
    </row>
    <row r="296" spans="1:34" s="1560" customFormat="1" ht="0.75" hidden="1" customHeight="1">
      <c r="A296" s="1705"/>
      <c r="B296" s="1705"/>
      <c r="C296" s="304" t="s">
        <v>1154</v>
      </c>
      <c r="D296" s="2340"/>
      <c r="E296" s="2140"/>
      <c r="F296" s="2283"/>
      <c r="G296" s="335"/>
      <c r="H296" s="1425"/>
      <c r="I296" s="586"/>
      <c r="J296" s="506"/>
      <c r="K296" s="1425"/>
      <c r="L296" s="150"/>
      <c r="M296" s="277"/>
      <c r="N296" s="270"/>
      <c r="O296" s="1549"/>
      <c r="P296" s="1549"/>
      <c r="AH296" s="1556">
        <v>0</v>
      </c>
    </row>
    <row r="297" spans="1:34" s="1560" customFormat="1" ht="18.75" hidden="1" customHeight="1">
      <c r="A297" s="1705" t="s">
        <v>224</v>
      </c>
      <c r="B297" s="1705" t="s">
        <v>225</v>
      </c>
      <c r="C297" s="304"/>
      <c r="D297" s="2340"/>
      <c r="E297" s="2140"/>
      <c r="F297" s="2283" t="str">
        <f>INDEX(PT_DIFFERENTIATION_VTAR,MATCH(A297,PT_DIFFERENTIATION_VTAR_ID,0))</f>
        <v>Тариф на питьевую воду (питьевое водоснабжение)</v>
      </c>
      <c r="G297" s="2315" t="str">
        <f>INDEX(PT_DIFFERENTIATION_NTAR,MATCH(B297,PT_DIFFERENTIATION_NTAR_ID,0))</f>
        <v/>
      </c>
      <c r="H297" s="1786"/>
      <c r="I297" s="1664"/>
      <c r="J297" s="1698"/>
      <c r="K297" s="1703"/>
      <c r="L297" s="1786" t="s">
        <v>305</v>
      </c>
      <c r="M297" s="277"/>
      <c r="N297" s="270"/>
      <c r="O297" s="1549"/>
      <c r="P297" s="1549"/>
      <c r="AH297" s="1556">
        <v>0</v>
      </c>
    </row>
    <row r="298" spans="1:34" s="1560" customFormat="1" ht="18.75" hidden="1" customHeight="1">
      <c r="A298" s="1705"/>
      <c r="B298" s="1705"/>
      <c r="C298" s="304" t="s">
        <v>1147</v>
      </c>
      <c r="D298" s="2340"/>
      <c r="E298" s="2140"/>
      <c r="F298" s="2283"/>
      <c r="G298" s="2315"/>
      <c r="H298" s="1425"/>
      <c r="I298" s="586" t="s">
        <v>1146</v>
      </c>
      <c r="J298" s="506"/>
      <c r="K298" s="1425"/>
      <c r="L298" s="150"/>
      <c r="M298" s="277"/>
      <c r="N298" s="270"/>
      <c r="O298" s="1549"/>
      <c r="P298" s="1549"/>
      <c r="AH298" s="1556">
        <v>0</v>
      </c>
    </row>
    <row r="299" spans="1:34" s="1560" customFormat="1" ht="0.75" hidden="1" customHeight="1">
      <c r="A299" s="1705"/>
      <c r="B299" s="1705"/>
      <c r="C299" s="304" t="s">
        <v>1154</v>
      </c>
      <c r="D299" s="2340"/>
      <c r="E299" s="2140"/>
      <c r="F299" s="2283"/>
      <c r="G299" s="335"/>
      <c r="H299" s="1425"/>
      <c r="I299" s="586"/>
      <c r="J299" s="506"/>
      <c r="K299" s="1425"/>
      <c r="L299" s="150"/>
      <c r="M299" s="277"/>
      <c r="N299" s="270"/>
      <c r="O299" s="1549"/>
      <c r="P299" s="1549"/>
      <c r="AH299" s="1556">
        <v>0</v>
      </c>
    </row>
    <row r="300" spans="1:34" s="1560" customFormat="1" ht="18.75" hidden="1" customHeight="1">
      <c r="A300" s="1705" t="s">
        <v>229</v>
      </c>
      <c r="B300" s="1705" t="s">
        <v>230</v>
      </c>
      <c r="C300" s="304"/>
      <c r="D300" s="2340"/>
      <c r="E300" s="2140"/>
      <c r="F300" s="2283" t="str">
        <f>INDEX(PT_DIFFERENTIATION_VTAR,MATCH(A300,PT_DIFFERENTIATION_VTAR_ID,0))</f>
        <v>Тариф на техническую воду</v>
      </c>
      <c r="G300" s="2315" t="str">
        <f>INDEX(PT_DIFFERENTIATION_NTAR,MATCH(B300,PT_DIFFERENTIATION_NTAR_ID,0))</f>
        <v/>
      </c>
      <c r="H300" s="1786"/>
      <c r="I300" s="1664"/>
      <c r="J300" s="1698"/>
      <c r="K300" s="1703"/>
      <c r="L300" s="1786" t="s">
        <v>305</v>
      </c>
      <c r="M300" s="277"/>
      <c r="N300" s="270"/>
      <c r="O300" s="1549"/>
      <c r="P300" s="1549"/>
      <c r="AH300" s="1556">
        <v>0</v>
      </c>
    </row>
    <row r="301" spans="1:34" s="1560" customFormat="1" ht="18.75" hidden="1" customHeight="1">
      <c r="A301" s="1705"/>
      <c r="B301" s="1705"/>
      <c r="C301" s="304" t="s">
        <v>1147</v>
      </c>
      <c r="D301" s="2340"/>
      <c r="E301" s="2140"/>
      <c r="F301" s="2283"/>
      <c r="G301" s="2315"/>
      <c r="H301" s="1425"/>
      <c r="I301" s="586" t="s">
        <v>1146</v>
      </c>
      <c r="J301" s="506"/>
      <c r="K301" s="1425"/>
      <c r="L301" s="150"/>
      <c r="M301" s="277"/>
      <c r="N301" s="270"/>
      <c r="O301" s="1549"/>
      <c r="P301" s="1549"/>
      <c r="AH301" s="1556">
        <v>0</v>
      </c>
    </row>
    <row r="302" spans="1:34" s="1560" customFormat="1" ht="0.75" hidden="1" customHeight="1">
      <c r="A302" s="1705"/>
      <c r="B302" s="1705"/>
      <c r="C302" s="304" t="s">
        <v>1154</v>
      </c>
      <c r="D302" s="2340"/>
      <c r="E302" s="2140"/>
      <c r="F302" s="2283"/>
      <c r="G302" s="335"/>
      <c r="H302" s="1425"/>
      <c r="I302" s="586"/>
      <c r="J302" s="506"/>
      <c r="K302" s="1425"/>
      <c r="L302" s="150"/>
      <c r="M302" s="277"/>
      <c r="N302" s="270"/>
      <c r="O302" s="1549"/>
      <c r="P302" s="1549"/>
      <c r="AH302" s="1556">
        <v>0</v>
      </c>
    </row>
    <row r="303" spans="1:34" s="1560" customFormat="1" ht="18.75" hidden="1" customHeight="1">
      <c r="A303" s="1705" t="s">
        <v>234</v>
      </c>
      <c r="B303" s="1705" t="s">
        <v>235</v>
      </c>
      <c r="C303" s="304"/>
      <c r="D303" s="2340"/>
      <c r="E303" s="2140"/>
      <c r="F303" s="2283" t="str">
        <f>INDEX(PT_DIFFERENTIATION_VTAR,MATCH(A303,PT_DIFFERENTIATION_VTAR_ID,0))</f>
        <v>Тариф на транспортировку воды</v>
      </c>
      <c r="G303" s="2315" t="str">
        <f>INDEX(PT_DIFFERENTIATION_NTAR,MATCH(B303,PT_DIFFERENTIATION_NTAR_ID,0))</f>
        <v/>
      </c>
      <c r="H303" s="1786"/>
      <c r="I303" s="1664"/>
      <c r="J303" s="1698"/>
      <c r="K303" s="1703"/>
      <c r="L303" s="1786" t="s">
        <v>305</v>
      </c>
      <c r="M303" s="277"/>
      <c r="N303" s="270"/>
      <c r="O303" s="1549"/>
      <c r="P303" s="1549"/>
      <c r="AH303" s="1556">
        <v>0</v>
      </c>
    </row>
    <row r="304" spans="1:34" s="1560" customFormat="1" ht="18.75" hidden="1" customHeight="1">
      <c r="A304" s="1705"/>
      <c r="B304" s="1705"/>
      <c r="C304" s="304" t="s">
        <v>1147</v>
      </c>
      <c r="D304" s="2340"/>
      <c r="E304" s="2140"/>
      <c r="F304" s="2283"/>
      <c r="G304" s="2315"/>
      <c r="H304" s="1425"/>
      <c r="I304" s="586" t="s">
        <v>1146</v>
      </c>
      <c r="J304" s="506"/>
      <c r="K304" s="1425"/>
      <c r="L304" s="150"/>
      <c r="M304" s="277"/>
      <c r="N304" s="270"/>
      <c r="O304" s="1549"/>
      <c r="P304" s="1549"/>
      <c r="AH304" s="1556">
        <v>0</v>
      </c>
    </row>
    <row r="305" spans="1:34" s="1560" customFormat="1" ht="0.75" hidden="1" customHeight="1">
      <c r="A305" s="1705"/>
      <c r="B305" s="1705"/>
      <c r="C305" s="304" t="s">
        <v>1154</v>
      </c>
      <c r="D305" s="2340"/>
      <c r="E305" s="2140"/>
      <c r="F305" s="2283"/>
      <c r="G305" s="335"/>
      <c r="H305" s="1425"/>
      <c r="I305" s="586"/>
      <c r="J305" s="506"/>
      <c r="K305" s="1425"/>
      <c r="L305" s="150"/>
      <c r="M305" s="277"/>
      <c r="N305" s="270"/>
      <c r="O305" s="1549"/>
      <c r="P305" s="1549"/>
      <c r="AH305" s="1556">
        <v>0</v>
      </c>
    </row>
    <row r="306" spans="1:34" s="1560" customFormat="1" ht="18.75" hidden="1" customHeight="1">
      <c r="A306" s="1705" t="s">
        <v>239</v>
      </c>
      <c r="B306" s="1705" t="s">
        <v>240</v>
      </c>
      <c r="C306" s="304"/>
      <c r="D306" s="2340"/>
      <c r="E306" s="2140"/>
      <c r="F306" s="2283" t="str">
        <f>INDEX(PT_DIFFERENTIATION_VTAR,MATCH(A306,PT_DIFFERENTIATION_VTAR_ID,0))</f>
        <v>Тариф на подвоз воды</v>
      </c>
      <c r="G306" s="2315" t="str">
        <f>INDEX(PT_DIFFERENTIATION_NTAR,MATCH(B306,PT_DIFFERENTIATION_NTAR_ID,0))</f>
        <v/>
      </c>
      <c r="H306" s="1786"/>
      <c r="I306" s="1664"/>
      <c r="J306" s="1698"/>
      <c r="K306" s="1703"/>
      <c r="L306" s="1786" t="s">
        <v>305</v>
      </c>
      <c r="M306" s="277"/>
      <c r="N306" s="270"/>
      <c r="O306" s="1549"/>
      <c r="P306" s="1549"/>
      <c r="AH306" s="1556">
        <v>0</v>
      </c>
    </row>
    <row r="307" spans="1:34" s="1560" customFormat="1" ht="18.75" hidden="1" customHeight="1">
      <c r="A307" s="1705"/>
      <c r="B307" s="1705"/>
      <c r="C307" s="304" t="s">
        <v>1147</v>
      </c>
      <c r="D307" s="2340"/>
      <c r="E307" s="2140"/>
      <c r="F307" s="2283"/>
      <c r="G307" s="2315"/>
      <c r="H307" s="1425"/>
      <c r="I307" s="586" t="s">
        <v>1146</v>
      </c>
      <c r="J307" s="506"/>
      <c r="K307" s="1425"/>
      <c r="L307" s="150"/>
      <c r="M307" s="277"/>
      <c r="N307" s="270"/>
      <c r="O307" s="1549"/>
      <c r="P307" s="1549"/>
      <c r="AH307" s="1556">
        <v>0</v>
      </c>
    </row>
    <row r="308" spans="1:34" s="1560" customFormat="1" ht="0.75" hidden="1" customHeight="1">
      <c r="A308" s="1705"/>
      <c r="B308" s="1705"/>
      <c r="C308" s="304" t="s">
        <v>1154</v>
      </c>
      <c r="D308" s="2340"/>
      <c r="E308" s="2140"/>
      <c r="F308" s="2283"/>
      <c r="G308" s="335"/>
      <c r="H308" s="1425"/>
      <c r="I308" s="586"/>
      <c r="J308" s="506"/>
      <c r="K308" s="1425"/>
      <c r="L308" s="150"/>
      <c r="M308" s="277"/>
      <c r="N308" s="270"/>
      <c r="O308" s="1549"/>
      <c r="P308" s="1549"/>
      <c r="AH308" s="1556">
        <v>0</v>
      </c>
    </row>
    <row r="309" spans="1:34" s="1560" customFormat="1" ht="18.75" hidden="1" customHeight="1">
      <c r="A309" s="1705" t="s">
        <v>244</v>
      </c>
      <c r="B309" s="1705" t="s">
        <v>245</v>
      </c>
      <c r="C309" s="304"/>
      <c r="D309" s="2340"/>
      <c r="E309" s="2140"/>
      <c r="F309" s="2283" t="str">
        <f>INDEX(PT_DIFFERENTIATION_VTAR,MATCH(A309,PT_DIFFERENTIATION_VTAR_ID,0))</f>
        <v>Тариф на подключение (технологическое присоединение) к централизованной системе холодного водоснабжения</v>
      </c>
      <c r="G309" s="2315" t="str">
        <f>INDEX(PT_DIFFERENTIATION_NTAR,MATCH(B309,PT_DIFFERENTIATION_NTAR_ID,0))</f>
        <v/>
      </c>
      <c r="H309" s="1786"/>
      <c r="I309" s="1664"/>
      <c r="J309" s="1698"/>
      <c r="K309" s="1703"/>
      <c r="L309" s="1786" t="s">
        <v>305</v>
      </c>
      <c r="M309" s="277"/>
      <c r="N309" s="270"/>
      <c r="O309" s="1549"/>
      <c r="P309" s="1549"/>
      <c r="AH309" s="1556">
        <v>0</v>
      </c>
    </row>
    <row r="310" spans="1:34" s="1560" customFormat="1" ht="18.75" hidden="1" customHeight="1">
      <c r="A310" s="1705"/>
      <c r="B310" s="1705"/>
      <c r="C310" s="304" t="s">
        <v>1147</v>
      </c>
      <c r="D310" s="2340"/>
      <c r="E310" s="2140"/>
      <c r="F310" s="2283"/>
      <c r="G310" s="2315"/>
      <c r="H310" s="1425"/>
      <c r="I310" s="586" t="s">
        <v>1146</v>
      </c>
      <c r="J310" s="506"/>
      <c r="K310" s="1425"/>
      <c r="L310" s="150"/>
      <c r="M310" s="277"/>
      <c r="N310" s="270"/>
      <c r="O310" s="1549"/>
      <c r="P310" s="1549"/>
      <c r="AH310" s="1556">
        <v>0</v>
      </c>
    </row>
    <row r="311" spans="1:34" s="1560" customFormat="1" ht="0.75" hidden="1" customHeight="1">
      <c r="A311" s="1705"/>
      <c r="B311" s="1705"/>
      <c r="C311" s="304" t="s">
        <v>1154</v>
      </c>
      <c r="D311" s="2340"/>
      <c r="E311" s="2140"/>
      <c r="F311" s="2283"/>
      <c r="G311" s="335"/>
      <c r="H311" s="1425"/>
      <c r="I311" s="586"/>
      <c r="J311" s="506"/>
      <c r="K311" s="1425"/>
      <c r="L311" s="150"/>
      <c r="M311" s="277"/>
      <c r="N311" s="270"/>
      <c r="O311" s="1549"/>
      <c r="P311" s="1549"/>
      <c r="AH311" s="1556">
        <v>0</v>
      </c>
    </row>
    <row r="312" spans="1:34" s="1560" customFormat="1" ht="18.75" hidden="1" customHeight="1">
      <c r="A312" s="1705" t="s">
        <v>249</v>
      </c>
      <c r="B312" s="1705" t="s">
        <v>250</v>
      </c>
      <c r="C312" s="304"/>
      <c r="D312" s="2340"/>
      <c r="E312" s="2140"/>
      <c r="F312" s="2283" t="str">
        <f>INDEX(PT_DIFFERENTIATION_VTAR,MATCH(A312,PT_DIFFERENTIATION_VTAR_ID,0))</f>
        <v>Тариф на горячую воду (горячее водоснабжение)</v>
      </c>
      <c r="G312" s="2315" t="str">
        <f>INDEX(PT_DIFFERENTIATION_NTAR,MATCH(B312,PT_DIFFERENTIATION_NTAR_ID,0))</f>
        <v/>
      </c>
      <c r="H312" s="1786"/>
      <c r="I312" s="1664"/>
      <c r="J312" s="1698"/>
      <c r="K312" s="1703"/>
      <c r="L312" s="1786" t="s">
        <v>305</v>
      </c>
      <c r="M312" s="277"/>
      <c r="N312" s="270"/>
      <c r="O312" s="1549"/>
      <c r="P312" s="1549"/>
      <c r="AH312" s="1556">
        <v>0</v>
      </c>
    </row>
    <row r="313" spans="1:34" s="1560" customFormat="1" ht="18.75" hidden="1" customHeight="1">
      <c r="A313" s="1705"/>
      <c r="B313" s="1705"/>
      <c r="C313" s="304" t="s">
        <v>1147</v>
      </c>
      <c r="D313" s="2340"/>
      <c r="E313" s="2140"/>
      <c r="F313" s="2283"/>
      <c r="G313" s="2315"/>
      <c r="H313" s="1425"/>
      <c r="I313" s="586" t="s">
        <v>1146</v>
      </c>
      <c r="J313" s="506"/>
      <c r="K313" s="1425"/>
      <c r="L313" s="150"/>
      <c r="M313" s="277"/>
      <c r="N313" s="270"/>
      <c r="O313" s="1549"/>
      <c r="P313" s="1549"/>
      <c r="AH313" s="1556">
        <v>0</v>
      </c>
    </row>
    <row r="314" spans="1:34" s="1560" customFormat="1" ht="0.75" hidden="1" customHeight="1">
      <c r="A314" s="1705"/>
      <c r="B314" s="1705"/>
      <c r="C314" s="304" t="s">
        <v>1154</v>
      </c>
      <c r="D314" s="2340"/>
      <c r="E314" s="2140"/>
      <c r="F314" s="2283"/>
      <c r="G314" s="335"/>
      <c r="H314" s="1425"/>
      <c r="I314" s="586"/>
      <c r="J314" s="506"/>
      <c r="K314" s="1425"/>
      <c r="L314" s="150"/>
      <c r="M314" s="277"/>
      <c r="N314" s="270"/>
      <c r="O314" s="1549"/>
      <c r="P314" s="1549"/>
      <c r="AH314" s="1556">
        <v>0</v>
      </c>
    </row>
    <row r="315" spans="1:34" s="1560" customFormat="1" ht="18.75" hidden="1" customHeight="1">
      <c r="A315" s="1705" t="s">
        <v>254</v>
      </c>
      <c r="B315" s="1705" t="s">
        <v>255</v>
      </c>
      <c r="C315" s="304"/>
      <c r="D315" s="2340"/>
      <c r="E315" s="2140"/>
      <c r="F315" s="2283" t="str">
        <f>INDEX(PT_DIFFERENTIATION_VTAR,MATCH(A315,PT_DIFFERENTIATION_VTAR_ID,0))</f>
        <v>Тариф на транспортировку горячей воды</v>
      </c>
      <c r="G315" s="2315" t="str">
        <f>INDEX(PT_DIFFERENTIATION_NTAR,MATCH(B315,PT_DIFFERENTIATION_NTAR_ID,0))</f>
        <v/>
      </c>
      <c r="H315" s="1786"/>
      <c r="I315" s="1664"/>
      <c r="J315" s="1698"/>
      <c r="K315" s="1703"/>
      <c r="L315" s="1786" t="s">
        <v>305</v>
      </c>
      <c r="M315" s="277"/>
      <c r="N315" s="270"/>
      <c r="O315" s="1549"/>
      <c r="P315" s="1549"/>
      <c r="AH315" s="1556">
        <v>0</v>
      </c>
    </row>
    <row r="316" spans="1:34" s="1560" customFormat="1" ht="18.75" hidden="1" customHeight="1">
      <c r="A316" s="1705"/>
      <c r="B316" s="1705"/>
      <c r="C316" s="304" t="s">
        <v>1147</v>
      </c>
      <c r="D316" s="2340"/>
      <c r="E316" s="2140"/>
      <c r="F316" s="2283"/>
      <c r="G316" s="2315"/>
      <c r="H316" s="1425"/>
      <c r="I316" s="586" t="s">
        <v>1146</v>
      </c>
      <c r="J316" s="506"/>
      <c r="K316" s="1425"/>
      <c r="L316" s="150"/>
      <c r="M316" s="277"/>
      <c r="N316" s="270"/>
      <c r="O316" s="1549"/>
      <c r="P316" s="1549"/>
      <c r="AH316" s="1556">
        <v>0</v>
      </c>
    </row>
    <row r="317" spans="1:34" s="1560" customFormat="1" ht="0.75" hidden="1" customHeight="1">
      <c r="A317" s="1705"/>
      <c r="B317" s="1705"/>
      <c r="C317" s="304" t="s">
        <v>1154</v>
      </c>
      <c r="D317" s="2340"/>
      <c r="E317" s="2140"/>
      <c r="F317" s="2283"/>
      <c r="G317" s="335"/>
      <c r="H317" s="1425"/>
      <c r="I317" s="586"/>
      <c r="J317" s="506"/>
      <c r="K317" s="1425"/>
      <c r="L317" s="150"/>
      <c r="M317" s="277"/>
      <c r="N317" s="270"/>
      <c r="O317" s="1549"/>
      <c r="P317" s="1549"/>
      <c r="AH317" s="1556">
        <v>0</v>
      </c>
    </row>
    <row r="318" spans="1:34" s="1560" customFormat="1" ht="18.75" hidden="1" customHeight="1">
      <c r="A318" s="1705" t="s">
        <v>259</v>
      </c>
      <c r="B318" s="1705" t="s">
        <v>260</v>
      </c>
      <c r="C318" s="304"/>
      <c r="D318" s="2340"/>
      <c r="E318" s="2140"/>
      <c r="F318" s="2283" t="str">
        <f>INDEX(PT_DIFFERENTIATION_VTAR,MATCH(A318,PT_DIFFERENTIATION_VTAR_ID,0))</f>
        <v>Тариф на подключение (технологическое присоединение) к централизованной системе горячего водоснабжения</v>
      </c>
      <c r="G318" s="2315" t="str">
        <f>INDEX(PT_DIFFERENTIATION_NTAR,MATCH(B318,PT_DIFFERENTIATION_NTAR_ID,0))</f>
        <v/>
      </c>
      <c r="H318" s="1786"/>
      <c r="I318" s="1664"/>
      <c r="J318" s="1698"/>
      <c r="K318" s="1703"/>
      <c r="L318" s="1786" t="s">
        <v>305</v>
      </c>
      <c r="M318" s="277"/>
      <c r="N318" s="270"/>
      <c r="O318" s="1549"/>
      <c r="P318" s="1549"/>
      <c r="AH318" s="1556">
        <v>0</v>
      </c>
    </row>
    <row r="319" spans="1:34" s="1560" customFormat="1" ht="18.75" hidden="1" customHeight="1">
      <c r="A319" s="1705"/>
      <c r="B319" s="1705"/>
      <c r="C319" s="304" t="s">
        <v>1147</v>
      </c>
      <c r="D319" s="2340"/>
      <c r="E319" s="2140"/>
      <c r="F319" s="2283"/>
      <c r="G319" s="2315"/>
      <c r="H319" s="1425"/>
      <c r="I319" s="586" t="s">
        <v>1146</v>
      </c>
      <c r="J319" s="506"/>
      <c r="K319" s="1425"/>
      <c r="L319" s="150"/>
      <c r="M319" s="277"/>
      <c r="N319" s="270"/>
      <c r="O319" s="1549"/>
      <c r="P319" s="1549"/>
      <c r="AH319" s="1556">
        <v>0</v>
      </c>
    </row>
    <row r="320" spans="1:34" s="1560" customFormat="1" ht="0.75" hidden="1" customHeight="1">
      <c r="A320" s="1705"/>
      <c r="B320" s="1705"/>
      <c r="C320" s="304" t="s">
        <v>1154</v>
      </c>
      <c r="D320" s="2340"/>
      <c r="E320" s="2140"/>
      <c r="F320" s="2283"/>
      <c r="G320" s="335"/>
      <c r="H320" s="1425"/>
      <c r="I320" s="586"/>
      <c r="J320" s="506"/>
      <c r="K320" s="1425"/>
      <c r="L320" s="150"/>
      <c r="M320" s="277"/>
      <c r="N320" s="270"/>
      <c r="O320" s="1549"/>
      <c r="P320" s="1549"/>
      <c r="AH320" s="1556">
        <v>0</v>
      </c>
    </row>
    <row r="321" spans="1:34" s="1560" customFormat="1" ht="18.75" hidden="1" customHeight="1">
      <c r="A321" s="1705" t="s">
        <v>264</v>
      </c>
      <c r="B321" s="1705" t="s">
        <v>265</v>
      </c>
      <c r="C321" s="304"/>
      <c r="D321" s="2340"/>
      <c r="E321" s="2140"/>
      <c r="F321" s="2283" t="str">
        <f>INDEX(PT_DIFFERENTIATION_VTAR,MATCH(A321,PT_DIFFERENTIATION_VTAR_ID,0))</f>
        <v>Тариф на водоотведение</v>
      </c>
      <c r="G321" s="2315" t="str">
        <f>INDEX(PT_DIFFERENTIATION_NTAR,MATCH(B321,PT_DIFFERENTIATION_NTAR_ID,0))</f>
        <v/>
      </c>
      <c r="H321" s="1786"/>
      <c r="I321" s="1664"/>
      <c r="J321" s="1698"/>
      <c r="K321" s="1703"/>
      <c r="L321" s="1786" t="s">
        <v>305</v>
      </c>
      <c r="M321" s="277"/>
      <c r="N321" s="270"/>
      <c r="O321" s="1549"/>
      <c r="P321" s="1549"/>
      <c r="AH321" s="1556">
        <v>0</v>
      </c>
    </row>
    <row r="322" spans="1:34" s="1560" customFormat="1" ht="18.75" hidden="1" customHeight="1">
      <c r="A322" s="1705"/>
      <c r="B322" s="1705"/>
      <c r="C322" s="304" t="s">
        <v>1147</v>
      </c>
      <c r="D322" s="2340"/>
      <c r="E322" s="2140"/>
      <c r="F322" s="2283"/>
      <c r="G322" s="2315"/>
      <c r="H322" s="1425"/>
      <c r="I322" s="586" t="s">
        <v>1146</v>
      </c>
      <c r="J322" s="506"/>
      <c r="K322" s="1425"/>
      <c r="L322" s="150"/>
      <c r="M322" s="277"/>
      <c r="N322" s="270"/>
      <c r="O322" s="1549"/>
      <c r="P322" s="1549"/>
      <c r="AH322" s="1556">
        <v>0</v>
      </c>
    </row>
    <row r="323" spans="1:34" s="1560" customFormat="1" ht="0.75" hidden="1" customHeight="1">
      <c r="A323" s="1705"/>
      <c r="B323" s="1705"/>
      <c r="C323" s="304" t="s">
        <v>1154</v>
      </c>
      <c r="D323" s="2340"/>
      <c r="E323" s="2140"/>
      <c r="F323" s="2283"/>
      <c r="G323" s="335"/>
      <c r="H323" s="1425"/>
      <c r="I323" s="586"/>
      <c r="J323" s="506"/>
      <c r="K323" s="1425"/>
      <c r="L323" s="150"/>
      <c r="M323" s="277"/>
      <c r="N323" s="270"/>
      <c r="O323" s="1549"/>
      <c r="P323" s="1549"/>
      <c r="AH323" s="1556">
        <v>0</v>
      </c>
    </row>
    <row r="324" spans="1:34" s="1560" customFormat="1" ht="18.75" hidden="1" customHeight="1">
      <c r="A324" s="1705" t="s">
        <v>269</v>
      </c>
      <c r="B324" s="1705" t="s">
        <v>270</v>
      </c>
      <c r="C324" s="304"/>
      <c r="D324" s="2340"/>
      <c r="E324" s="2140"/>
      <c r="F324" s="2283" t="str">
        <f>INDEX(PT_DIFFERENTIATION_VTAR,MATCH(A324,PT_DIFFERENTIATION_VTAR_ID,0))</f>
        <v>Тариф на транспортировку сточных вод</v>
      </c>
      <c r="G324" s="2315" t="str">
        <f>INDEX(PT_DIFFERENTIATION_NTAR,MATCH(B324,PT_DIFFERENTIATION_NTAR_ID,0))</f>
        <v/>
      </c>
      <c r="H324" s="1786"/>
      <c r="I324" s="1664"/>
      <c r="J324" s="1698"/>
      <c r="K324" s="1703"/>
      <c r="L324" s="1786" t="s">
        <v>305</v>
      </c>
      <c r="M324" s="277"/>
      <c r="N324" s="270"/>
      <c r="O324" s="1549"/>
      <c r="P324" s="1549"/>
      <c r="AH324" s="1556">
        <v>0</v>
      </c>
    </row>
    <row r="325" spans="1:34" s="1560" customFormat="1" ht="18.75" hidden="1" customHeight="1">
      <c r="A325" s="1705"/>
      <c r="B325" s="1705"/>
      <c r="C325" s="304" t="s">
        <v>1147</v>
      </c>
      <c r="D325" s="2340"/>
      <c r="E325" s="2140"/>
      <c r="F325" s="2283"/>
      <c r="G325" s="2315"/>
      <c r="H325" s="1425"/>
      <c r="I325" s="586" t="s">
        <v>1146</v>
      </c>
      <c r="J325" s="506"/>
      <c r="K325" s="1425"/>
      <c r="L325" s="150"/>
      <c r="M325" s="277"/>
      <c r="N325" s="270"/>
      <c r="O325" s="1549"/>
      <c r="P325" s="1549"/>
      <c r="AH325" s="1556">
        <v>0</v>
      </c>
    </row>
    <row r="326" spans="1:34" s="1560" customFormat="1" ht="0.75" hidden="1" customHeight="1">
      <c r="A326" s="1705"/>
      <c r="B326" s="1705"/>
      <c r="C326" s="304" t="s">
        <v>1154</v>
      </c>
      <c r="D326" s="2340"/>
      <c r="E326" s="2140"/>
      <c r="F326" s="2283"/>
      <c r="G326" s="335"/>
      <c r="H326" s="1425"/>
      <c r="I326" s="586"/>
      <c r="J326" s="506"/>
      <c r="K326" s="1425"/>
      <c r="L326" s="150"/>
      <c r="M326" s="277"/>
      <c r="N326" s="270"/>
      <c r="O326" s="1549"/>
      <c r="P326" s="1549"/>
      <c r="AH326" s="1556">
        <v>0</v>
      </c>
    </row>
    <row r="327" spans="1:34" s="1560" customFormat="1" ht="18.75" hidden="1" customHeight="1">
      <c r="A327" s="1705" t="s">
        <v>274</v>
      </c>
      <c r="B327" s="1705" t="s">
        <v>275</v>
      </c>
      <c r="C327" s="304"/>
      <c r="D327" s="2340"/>
      <c r="E327" s="2140"/>
      <c r="F327" s="2283" t="str">
        <f>INDEX(PT_DIFFERENTIATION_VTAR,MATCH(A327,PT_DIFFERENTIATION_VTAR_ID,0))</f>
        <v>Тариф на подключение (технологическое присоединение) к централизованной системе водоотведения</v>
      </c>
      <c r="G327" s="2315" t="str">
        <f>INDEX(PT_DIFFERENTIATION_NTAR,MATCH(B327,PT_DIFFERENTIATION_NTAR_ID,0))</f>
        <v/>
      </c>
      <c r="H327" s="1786"/>
      <c r="I327" s="1664"/>
      <c r="J327" s="1698"/>
      <c r="K327" s="1703"/>
      <c r="L327" s="1786" t="s">
        <v>305</v>
      </c>
      <c r="M327" s="277"/>
      <c r="N327" s="270"/>
      <c r="O327" s="1549"/>
      <c r="P327" s="1549"/>
      <c r="AH327" s="1556">
        <v>0</v>
      </c>
    </row>
    <row r="328" spans="1:34" s="1560" customFormat="1" ht="18.75" hidden="1" customHeight="1">
      <c r="A328" s="1705"/>
      <c r="B328" s="1705"/>
      <c r="C328" s="304" t="s">
        <v>1147</v>
      </c>
      <c r="D328" s="2340"/>
      <c r="E328" s="2140"/>
      <c r="F328" s="2283"/>
      <c r="G328" s="2315"/>
      <c r="H328" s="1425"/>
      <c r="I328" s="586" t="s">
        <v>1146</v>
      </c>
      <c r="J328" s="506"/>
      <c r="K328" s="1425"/>
      <c r="L328" s="150"/>
      <c r="M328" s="277"/>
      <c r="N328" s="270"/>
      <c r="O328" s="1549"/>
      <c r="P328" s="1549"/>
      <c r="AH328" s="1556">
        <v>0</v>
      </c>
    </row>
    <row r="329" spans="1:34" s="1560" customFormat="1" ht="1.1499999999999999" customHeight="1">
      <c r="A329" s="1705"/>
      <c r="B329" s="1705"/>
      <c r="C329" s="304" t="s">
        <v>1154</v>
      </c>
      <c r="D329" s="2340"/>
      <c r="E329" s="2140"/>
      <c r="F329" s="2283"/>
      <c r="G329" s="335"/>
      <c r="H329" s="1425"/>
      <c r="I329" s="586"/>
      <c r="J329" s="506"/>
      <c r="K329" s="1425"/>
      <c r="L329" s="150"/>
      <c r="M329" s="277"/>
      <c r="N329" s="270"/>
      <c r="O329" s="1549"/>
      <c r="P329" s="1549"/>
      <c r="AH329" s="1556">
        <v>1</v>
      </c>
    </row>
    <row r="330" spans="1:34" s="1747" customFormat="1" ht="3" customHeight="1">
      <c r="A330" s="1705"/>
      <c r="B330" s="1705"/>
      <c r="C330" s="1706"/>
      <c r="E330" s="337"/>
      <c r="F330" s="337"/>
      <c r="G330" s="337"/>
      <c r="H330" s="337"/>
      <c r="I330" s="337"/>
      <c r="J330" s="337"/>
      <c r="K330" s="337"/>
      <c r="L330" s="337"/>
      <c r="M330" s="337"/>
      <c r="O330" s="132"/>
      <c r="P330" s="132"/>
      <c r="AH330" s="77">
        <v>3</v>
      </c>
    </row>
    <row r="331" spans="1:34" ht="26.25" customHeight="1">
      <c r="E331" s="138"/>
      <c r="F331" s="2206"/>
      <c r="G331" s="2206"/>
      <c r="H331" s="2206"/>
      <c r="I331" s="2206"/>
      <c r="J331" s="2206"/>
      <c r="K331" s="2206"/>
      <c r="L331" s="2206"/>
      <c r="M331" s="2206"/>
      <c r="AH331" s="309">
        <v>25</v>
      </c>
    </row>
    <row r="332" spans="1:34" ht="14.25" hidden="1" customHeight="1">
      <c r="A332" s="1704" t="s">
        <v>82</v>
      </c>
      <c r="B332" s="1704">
        <v>0</v>
      </c>
      <c r="C332" s="304">
        <v>0</v>
      </c>
      <c r="D332" s="280">
        <v>3</v>
      </c>
      <c r="E332" s="309">
        <v>6</v>
      </c>
      <c r="F332" s="309">
        <v>46</v>
      </c>
      <c r="G332" s="309">
        <v>35</v>
      </c>
      <c r="H332" s="309">
        <v>3</v>
      </c>
      <c r="I332" s="309">
        <v>11</v>
      </c>
      <c r="J332" s="309">
        <v>11</v>
      </c>
      <c r="K332" s="309">
        <v>35</v>
      </c>
      <c r="L332" s="309">
        <v>35</v>
      </c>
      <c r="M332" s="309">
        <v>84</v>
      </c>
      <c r="N332" s="309">
        <v>10</v>
      </c>
      <c r="O332" s="285">
        <v>10</v>
      </c>
      <c r="P332" s="285">
        <v>10</v>
      </c>
      <c r="Q332" s="309">
        <v>10</v>
      </c>
      <c r="R332" s="309">
        <v>10</v>
      </c>
      <c r="S332" s="309">
        <v>10</v>
      </c>
      <c r="T332" s="309">
        <v>10</v>
      </c>
      <c r="U332" s="309">
        <v>10</v>
      </c>
      <c r="V332" s="309">
        <v>10</v>
      </c>
      <c r="W332" s="309">
        <v>10</v>
      </c>
      <c r="X332" s="309">
        <v>10</v>
      </c>
      <c r="Y332" s="309">
        <v>10</v>
      </c>
      <c r="Z332" s="309">
        <v>10</v>
      </c>
      <c r="AA332" s="309">
        <v>10</v>
      </c>
      <c r="AB332" s="309">
        <v>10</v>
      </c>
      <c r="AC332" s="309">
        <v>10</v>
      </c>
      <c r="AD332" s="309">
        <v>10</v>
      </c>
      <c r="AE332" s="309">
        <v>10</v>
      </c>
      <c r="AF332" s="309">
        <v>10</v>
      </c>
      <c r="AG332" s="309">
        <v>10</v>
      </c>
      <c r="AH332" s="309">
        <v>14</v>
      </c>
    </row>
  </sheetData>
  <sheetProtection formatColumns="0" formatRows="0" insertRows="0" deleteColumns="0" deleteRows="0" sort="0" autoFilter="0"/>
  <mergeCells count="428">
    <mergeCell ref="G48:G49"/>
    <mergeCell ref="D111:D113"/>
    <mergeCell ref="E111:E113"/>
    <mergeCell ref="F111:F113"/>
    <mergeCell ref="G111:G112"/>
    <mergeCell ref="D172:D174"/>
    <mergeCell ref="E172:E174"/>
    <mergeCell ref="F172:F174"/>
    <mergeCell ref="G172:G173"/>
    <mergeCell ref="D69:D71"/>
    <mergeCell ref="E69:E71"/>
    <mergeCell ref="F69:F71"/>
    <mergeCell ref="D90:D92"/>
    <mergeCell ref="E90:E92"/>
    <mergeCell ref="D72:D74"/>
    <mergeCell ref="E72:E74"/>
    <mergeCell ref="F72:F74"/>
    <mergeCell ref="G157:G158"/>
    <mergeCell ref="G160:G161"/>
    <mergeCell ref="E48:E50"/>
    <mergeCell ref="F48:F50"/>
    <mergeCell ref="G96:G97"/>
    <mergeCell ref="G99:G100"/>
    <mergeCell ref="D75:D77"/>
    <mergeCell ref="F39:F41"/>
    <mergeCell ref="G2:G3"/>
    <mergeCell ref="G5:G6"/>
    <mergeCell ref="E14:L14"/>
    <mergeCell ref="G16:L16"/>
    <mergeCell ref="G17:L17"/>
    <mergeCell ref="E19:L19"/>
    <mergeCell ref="D24:D26"/>
    <mergeCell ref="M19:M21"/>
    <mergeCell ref="E20:E21"/>
    <mergeCell ref="F20:F21"/>
    <mergeCell ref="G20:G21"/>
    <mergeCell ref="H20:J20"/>
    <mergeCell ref="K20:K21"/>
    <mergeCell ref="L20:L21"/>
    <mergeCell ref="H21:I21"/>
    <mergeCell ref="H22:I22"/>
    <mergeCell ref="F23:L23"/>
    <mergeCell ref="G24:G25"/>
    <mergeCell ref="F24:F26"/>
    <mergeCell ref="E24:E26"/>
    <mergeCell ref="F306:F308"/>
    <mergeCell ref="G303:G304"/>
    <mergeCell ref="D42:D44"/>
    <mergeCell ref="E42:E44"/>
    <mergeCell ref="F42:F44"/>
    <mergeCell ref="D27:D29"/>
    <mergeCell ref="E27:E29"/>
    <mergeCell ref="F27:F29"/>
    <mergeCell ref="D30:D32"/>
    <mergeCell ref="E30:E32"/>
    <mergeCell ref="F30:F32"/>
    <mergeCell ref="D33:D35"/>
    <mergeCell ref="E33:E35"/>
    <mergeCell ref="F33:F35"/>
    <mergeCell ref="G27:G28"/>
    <mergeCell ref="G30:G31"/>
    <mergeCell ref="G33:G34"/>
    <mergeCell ref="G36:G37"/>
    <mergeCell ref="G39:G40"/>
    <mergeCell ref="D36:D38"/>
    <mergeCell ref="E36:E38"/>
    <mergeCell ref="F36:F38"/>
    <mergeCell ref="D39:D41"/>
    <mergeCell ref="E39:E41"/>
    <mergeCell ref="F331:M331"/>
    <mergeCell ref="F269:L269"/>
    <mergeCell ref="D270:D272"/>
    <mergeCell ref="E270:E272"/>
    <mergeCell ref="F270:F272"/>
    <mergeCell ref="D273:D275"/>
    <mergeCell ref="E273:E275"/>
    <mergeCell ref="F273:F275"/>
    <mergeCell ref="D276:D278"/>
    <mergeCell ref="D282:D284"/>
    <mergeCell ref="E282:E284"/>
    <mergeCell ref="F282:F284"/>
    <mergeCell ref="D285:D287"/>
    <mergeCell ref="E285:E287"/>
    <mergeCell ref="F285:F287"/>
    <mergeCell ref="E276:E278"/>
    <mergeCell ref="F276:F278"/>
    <mergeCell ref="D279:D281"/>
    <mergeCell ref="E279:E281"/>
    <mergeCell ref="F303:F305"/>
    <mergeCell ref="D306:D308"/>
    <mergeCell ref="E306:E308"/>
    <mergeCell ref="D327:D329"/>
    <mergeCell ref="E327:E329"/>
    <mergeCell ref="G45:G46"/>
    <mergeCell ref="G51:G52"/>
    <mergeCell ref="G54:G55"/>
    <mergeCell ref="G57:G58"/>
    <mergeCell ref="M209:M212"/>
    <mergeCell ref="M87:M90"/>
    <mergeCell ref="F147:L147"/>
    <mergeCell ref="M148:M151"/>
    <mergeCell ref="F208:L208"/>
    <mergeCell ref="F51:F53"/>
    <mergeCell ref="F54:F56"/>
    <mergeCell ref="F75:F77"/>
    <mergeCell ref="F78:F80"/>
    <mergeCell ref="F90:F92"/>
    <mergeCell ref="F93:F95"/>
    <mergeCell ref="M24:M83"/>
    <mergeCell ref="G42:G43"/>
    <mergeCell ref="G129:G130"/>
    <mergeCell ref="G132:G133"/>
    <mergeCell ref="G135:G136"/>
    <mergeCell ref="G138:G139"/>
    <mergeCell ref="G154:G155"/>
    <mergeCell ref="G90:G91"/>
    <mergeCell ref="G93:G94"/>
    <mergeCell ref="D45:D47"/>
    <mergeCell ref="E45:E47"/>
    <mergeCell ref="F45:F47"/>
    <mergeCell ref="D63:D65"/>
    <mergeCell ref="E63:E65"/>
    <mergeCell ref="F63:F65"/>
    <mergeCell ref="D66:D68"/>
    <mergeCell ref="E66:E68"/>
    <mergeCell ref="F66:F68"/>
    <mergeCell ref="D57:D59"/>
    <mergeCell ref="E57:E59"/>
    <mergeCell ref="F57:F59"/>
    <mergeCell ref="D60:D62"/>
    <mergeCell ref="E60:E62"/>
    <mergeCell ref="F60:F62"/>
    <mergeCell ref="D51:D53"/>
    <mergeCell ref="E51:E53"/>
    <mergeCell ref="D54:D56"/>
    <mergeCell ref="E54:E56"/>
    <mergeCell ref="D48:D50"/>
    <mergeCell ref="E75:E77"/>
    <mergeCell ref="D78:D80"/>
    <mergeCell ref="E78:E80"/>
    <mergeCell ref="D93:D95"/>
    <mergeCell ref="E93:E95"/>
    <mergeCell ref="D108:D110"/>
    <mergeCell ref="E108:E110"/>
    <mergeCell ref="F108:F110"/>
    <mergeCell ref="F96:F98"/>
    <mergeCell ref="D99:D101"/>
    <mergeCell ref="E99:E101"/>
    <mergeCell ref="F99:F101"/>
    <mergeCell ref="D81:D83"/>
    <mergeCell ref="E81:E83"/>
    <mergeCell ref="F81:F83"/>
    <mergeCell ref="D87:D89"/>
    <mergeCell ref="E87:E89"/>
    <mergeCell ref="F87:F89"/>
    <mergeCell ref="D96:D98"/>
    <mergeCell ref="E96:E98"/>
    <mergeCell ref="F84:L84"/>
    <mergeCell ref="H85:I85"/>
    <mergeCell ref="F86:L86"/>
    <mergeCell ref="G102:G103"/>
    <mergeCell ref="D114:D116"/>
    <mergeCell ref="E114:E116"/>
    <mergeCell ref="F114:F116"/>
    <mergeCell ref="D102:D104"/>
    <mergeCell ref="E102:E104"/>
    <mergeCell ref="F102:F104"/>
    <mergeCell ref="D105:D107"/>
    <mergeCell ref="E105:E107"/>
    <mergeCell ref="F105:F107"/>
    <mergeCell ref="D117:D119"/>
    <mergeCell ref="E117:E119"/>
    <mergeCell ref="F117:F119"/>
    <mergeCell ref="D120:D122"/>
    <mergeCell ref="E120:E122"/>
    <mergeCell ref="F120:F122"/>
    <mergeCell ref="G120:G121"/>
    <mergeCell ref="G123:G124"/>
    <mergeCell ref="G126:G127"/>
    <mergeCell ref="D123:D125"/>
    <mergeCell ref="E123:E125"/>
    <mergeCell ref="F123:F125"/>
    <mergeCell ref="D126:D128"/>
    <mergeCell ref="E126:E128"/>
    <mergeCell ref="F126:F128"/>
    <mergeCell ref="D135:D137"/>
    <mergeCell ref="E135:E137"/>
    <mergeCell ref="F135:F137"/>
    <mergeCell ref="D138:D140"/>
    <mergeCell ref="E138:E140"/>
    <mergeCell ref="F138:F140"/>
    <mergeCell ref="D129:D131"/>
    <mergeCell ref="E129:E131"/>
    <mergeCell ref="F129:F131"/>
    <mergeCell ref="D132:D134"/>
    <mergeCell ref="E132:E134"/>
    <mergeCell ref="F132:F134"/>
    <mergeCell ref="G141:G142"/>
    <mergeCell ref="G144:G145"/>
    <mergeCell ref="G148:G149"/>
    <mergeCell ref="G151:G152"/>
    <mergeCell ref="D160:D162"/>
    <mergeCell ref="E160:E162"/>
    <mergeCell ref="F160:F162"/>
    <mergeCell ref="D163:D165"/>
    <mergeCell ref="E163:E165"/>
    <mergeCell ref="F163:F165"/>
    <mergeCell ref="D154:D156"/>
    <mergeCell ref="D151:D153"/>
    <mergeCell ref="E151:E153"/>
    <mergeCell ref="F151:F153"/>
    <mergeCell ref="D141:D143"/>
    <mergeCell ref="E141:E143"/>
    <mergeCell ref="F141:F143"/>
    <mergeCell ref="D144:D146"/>
    <mergeCell ref="E144:E146"/>
    <mergeCell ref="F144:F146"/>
    <mergeCell ref="D148:D150"/>
    <mergeCell ref="E148:E150"/>
    <mergeCell ref="F148:F150"/>
    <mergeCell ref="E154:E156"/>
    <mergeCell ref="F154:F156"/>
    <mergeCell ref="D157:D159"/>
    <mergeCell ref="E157:E159"/>
    <mergeCell ref="F157:F159"/>
    <mergeCell ref="D166:D168"/>
    <mergeCell ref="E166:E168"/>
    <mergeCell ref="F166:F168"/>
    <mergeCell ref="D169:D171"/>
    <mergeCell ref="E169:E171"/>
    <mergeCell ref="F169:F171"/>
    <mergeCell ref="D190:D192"/>
    <mergeCell ref="E190:E192"/>
    <mergeCell ref="F190:F192"/>
    <mergeCell ref="D181:D183"/>
    <mergeCell ref="E181:E183"/>
    <mergeCell ref="F181:F183"/>
    <mergeCell ref="D184:D186"/>
    <mergeCell ref="E184:E186"/>
    <mergeCell ref="F184:F186"/>
    <mergeCell ref="D175:D177"/>
    <mergeCell ref="E175:E177"/>
    <mergeCell ref="F175:F177"/>
    <mergeCell ref="D178:D180"/>
    <mergeCell ref="E178:E180"/>
    <mergeCell ref="F178:F180"/>
    <mergeCell ref="G178:G179"/>
    <mergeCell ref="D187:D189"/>
    <mergeCell ref="E187:E189"/>
    <mergeCell ref="F187:F189"/>
    <mergeCell ref="D193:D195"/>
    <mergeCell ref="E193:E195"/>
    <mergeCell ref="F193:F195"/>
    <mergeCell ref="D196:D198"/>
    <mergeCell ref="E196:E198"/>
    <mergeCell ref="F196:F198"/>
    <mergeCell ref="G193:G194"/>
    <mergeCell ref="G196:G197"/>
    <mergeCell ref="D215:D217"/>
    <mergeCell ref="E215:E217"/>
    <mergeCell ref="F215:F217"/>
    <mergeCell ref="D205:D207"/>
    <mergeCell ref="E205:E207"/>
    <mergeCell ref="F205:F207"/>
    <mergeCell ref="D209:D211"/>
    <mergeCell ref="E209:E211"/>
    <mergeCell ref="F209:F211"/>
    <mergeCell ref="D199:D201"/>
    <mergeCell ref="E199:E201"/>
    <mergeCell ref="F199:F201"/>
    <mergeCell ref="D202:D204"/>
    <mergeCell ref="E202:E204"/>
    <mergeCell ref="F202:F204"/>
    <mergeCell ref="G202:G203"/>
    <mergeCell ref="D224:D226"/>
    <mergeCell ref="E224:E226"/>
    <mergeCell ref="F224:F226"/>
    <mergeCell ref="D227:D229"/>
    <mergeCell ref="E227:E229"/>
    <mergeCell ref="F227:F229"/>
    <mergeCell ref="G227:G228"/>
    <mergeCell ref="D212:D214"/>
    <mergeCell ref="E212:E214"/>
    <mergeCell ref="F212:F214"/>
    <mergeCell ref="D218:D220"/>
    <mergeCell ref="E218:E220"/>
    <mergeCell ref="F218:F220"/>
    <mergeCell ref="D221:D223"/>
    <mergeCell ref="E221:E223"/>
    <mergeCell ref="F221:F223"/>
    <mergeCell ref="D239:D241"/>
    <mergeCell ref="E239:E241"/>
    <mergeCell ref="F239:F241"/>
    <mergeCell ref="G233:G234"/>
    <mergeCell ref="D245:D247"/>
    <mergeCell ref="E245:E247"/>
    <mergeCell ref="F245:F247"/>
    <mergeCell ref="D242:D244"/>
    <mergeCell ref="E242:E244"/>
    <mergeCell ref="F242:F244"/>
    <mergeCell ref="D230:D232"/>
    <mergeCell ref="E230:E232"/>
    <mergeCell ref="F230:F232"/>
    <mergeCell ref="D236:D238"/>
    <mergeCell ref="E236:E238"/>
    <mergeCell ref="F236:F238"/>
    <mergeCell ref="D233:D235"/>
    <mergeCell ref="E233:E235"/>
    <mergeCell ref="F233:F235"/>
    <mergeCell ref="D248:D250"/>
    <mergeCell ref="E248:E250"/>
    <mergeCell ref="F248:F250"/>
    <mergeCell ref="G245:G246"/>
    <mergeCell ref="G248:G249"/>
    <mergeCell ref="G251:G252"/>
    <mergeCell ref="D266:D268"/>
    <mergeCell ref="E266:E268"/>
    <mergeCell ref="F266:F268"/>
    <mergeCell ref="D257:D259"/>
    <mergeCell ref="E257:E259"/>
    <mergeCell ref="F257:F259"/>
    <mergeCell ref="D260:D262"/>
    <mergeCell ref="E260:E262"/>
    <mergeCell ref="F260:F262"/>
    <mergeCell ref="D251:D253"/>
    <mergeCell ref="E251:E253"/>
    <mergeCell ref="F251:F253"/>
    <mergeCell ref="D254:D256"/>
    <mergeCell ref="E254:E256"/>
    <mergeCell ref="F254:F256"/>
    <mergeCell ref="G254:G255"/>
    <mergeCell ref="D263:D265"/>
    <mergeCell ref="E263:E265"/>
    <mergeCell ref="F263:F265"/>
    <mergeCell ref="F279:F281"/>
    <mergeCell ref="D297:D299"/>
    <mergeCell ref="E297:E299"/>
    <mergeCell ref="F297:F299"/>
    <mergeCell ref="D300:D302"/>
    <mergeCell ref="E300:E302"/>
    <mergeCell ref="F300:F302"/>
    <mergeCell ref="D288:D290"/>
    <mergeCell ref="E288:E290"/>
    <mergeCell ref="F288:F290"/>
    <mergeCell ref="D291:D293"/>
    <mergeCell ref="E291:E293"/>
    <mergeCell ref="F291:F293"/>
    <mergeCell ref="D294:D296"/>
    <mergeCell ref="E294:E296"/>
    <mergeCell ref="F294:F296"/>
    <mergeCell ref="F327:F329"/>
    <mergeCell ref="M270:M273"/>
    <mergeCell ref="D321:D323"/>
    <mergeCell ref="E321:E323"/>
    <mergeCell ref="F321:F323"/>
    <mergeCell ref="D324:D326"/>
    <mergeCell ref="E324:E326"/>
    <mergeCell ref="F324:F326"/>
    <mergeCell ref="D315:D317"/>
    <mergeCell ref="E315:E317"/>
    <mergeCell ref="F315:F317"/>
    <mergeCell ref="D318:D320"/>
    <mergeCell ref="E318:E320"/>
    <mergeCell ref="F318:F320"/>
    <mergeCell ref="D309:D311"/>
    <mergeCell ref="E309:E311"/>
    <mergeCell ref="F309:F311"/>
    <mergeCell ref="D312:D314"/>
    <mergeCell ref="E312:E314"/>
    <mergeCell ref="F312:F314"/>
    <mergeCell ref="D303:D305"/>
    <mergeCell ref="E303:E305"/>
    <mergeCell ref="G327:G328"/>
    <mergeCell ref="G273:G274"/>
    <mergeCell ref="G60:G61"/>
    <mergeCell ref="G63:G64"/>
    <mergeCell ref="G66:G67"/>
    <mergeCell ref="G69:G70"/>
    <mergeCell ref="G72:G73"/>
    <mergeCell ref="G75:G76"/>
    <mergeCell ref="G78:G79"/>
    <mergeCell ref="G81:G82"/>
    <mergeCell ref="G87:G88"/>
    <mergeCell ref="G315:G316"/>
    <mergeCell ref="G318:G319"/>
    <mergeCell ref="G321:G322"/>
    <mergeCell ref="G324:G325"/>
    <mergeCell ref="G306:G307"/>
    <mergeCell ref="G309:G310"/>
    <mergeCell ref="G312:G313"/>
    <mergeCell ref="G300:G301"/>
    <mergeCell ref="G257:G258"/>
    <mergeCell ref="G260:G261"/>
    <mergeCell ref="G263:G264"/>
    <mergeCell ref="G266:G267"/>
    <mergeCell ref="G270:G271"/>
    <mergeCell ref="G276:G277"/>
    <mergeCell ref="G279:G280"/>
    <mergeCell ref="G282:G283"/>
    <mergeCell ref="G285:G286"/>
    <mergeCell ref="G288:G289"/>
    <mergeCell ref="G291:G292"/>
    <mergeCell ref="G297:G298"/>
    <mergeCell ref="G294:G295"/>
    <mergeCell ref="G105:G106"/>
    <mergeCell ref="G108:G109"/>
    <mergeCell ref="G114:G115"/>
    <mergeCell ref="G117:G118"/>
    <mergeCell ref="G230:G231"/>
    <mergeCell ref="G236:G237"/>
    <mergeCell ref="G239:G240"/>
    <mergeCell ref="G242:G243"/>
    <mergeCell ref="G199:G200"/>
    <mergeCell ref="G205:G206"/>
    <mergeCell ref="G209:G210"/>
    <mergeCell ref="G212:G213"/>
    <mergeCell ref="G215:G216"/>
    <mergeCell ref="G166:G167"/>
    <mergeCell ref="G169:G170"/>
    <mergeCell ref="G175:G176"/>
    <mergeCell ref="G218:G219"/>
    <mergeCell ref="G221:G222"/>
    <mergeCell ref="G224:G225"/>
    <mergeCell ref="G181:G182"/>
    <mergeCell ref="G184:G185"/>
    <mergeCell ref="G187:G188"/>
    <mergeCell ref="G190:G191"/>
    <mergeCell ref="G163:G164"/>
  </mergeCells>
  <dataValidations count="4">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I10:J10 I39:J39 I24:J24 I27:J27 I30:J30 I33:J33 I36:J36 I42:J42 I45:J45 I51:J51 I54:J54 I57:J57 I60:J60 I63:J63 I66:J66 I69:J69 I72:J72 I75:J75 I78:J78 I209:J209 I212:J212 I215:J215 I218:J218 I221:J221 I224:J224 I227:J227 I230:J230 I236:J236 I239:J239 I242:J242 I245:J245 I248:J248 I251:J251 I254:J254 I257:J257 I260:J260 I8:J8 I81:J81 I144:J144 I90:J90 I93:J93 I96:J96 I99:J99 I102:J102 I105:J105 I108:J108 I114:J114 I117:J117 I120:J120 I123:J123 I126:J126 I129:J129 I132:J132 I135:J135 I138:J138 I141:J141 I148:J148 I87:J87 I151:J151 I154:J154 I157:J157 I160:J160 I163:J163 I166:J166 I169:J169 I175:J175 I178:J178 I181:J181 I184:J184 I187:J187 I193:J193 I196:J196 I199:J199 I202:J202 I205:J205 I190:J190 I263:J263 I266:J266 I270:J270 I273:J273 I276:J276 I279:J279 I282:J282 I285:J285 I288:J288 I291:J291 I297:J297 I300:J300 I303:J303 I306:J306 I309:J309 I312:J312 I315:J315 I318:J318 I321:J321 I324:J324 I327:J327 I2:J2 I5:J5 I48:J48 I111:J111 I172:J172 I233:J233 I294:J294"/>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L85">
      <formula1>900</formula1>
    </dataValidation>
    <dataValidation type="textLength" operator="lessThanOrEqual" allowBlank="1" showInputMessage="1" showErrorMessage="1" errorTitle="Ошибка" error="Допускается ввод не более 900 символов!" sqref="M148:M149 M209:M210 M23 M87:M88 M270:M271">
      <formula1>900</formula1>
    </dataValidation>
    <dataValidation type="decimal" allowBlank="1" showErrorMessage="1" errorTitle="Ошибка" error="Допускается ввод только действительных чисел!" sqref="K209 K212 K215 K218 K221 K224 K227 K230 K236 K239 K242 K245 K248 K251 K254 K257 K260 K263 K10 K87 K141 K138 K135 K132 K129 K126 K123 K120 K117 K114 K108 K105 K102 K99 K96 K93 K90 K148 K144 K151 K154 K157 K160 K163 K166 K169 K175 K178 K181 K184 K187 K193 K196 K199 K202 K205 K190 K266 K270 K273 K276 K279 K282 K285 K288 K291 K297 K300 K303 K306 K309 K312 K315 K318 K321 K324 K327 K5 K111 K172 K233 K294">
      <formula1>-9.99999999999999E+23</formula1>
      <formula2>9.99999999999999E+23</formula2>
    </dataValidation>
  </dataValidations>
  <pageMargins left="0.7" right="0.7" top="0.75" bottom="0.75" header="0.3" footer="0.3"/>
  <pageSetup paperSize="9" orientation="portrait"/>
  <headerFooter>
    <oddHeader>&amp;L&amp;C&amp;R</oddHeader>
    <oddFooter>&amp;L&amp;C&amp;R</oddFooter>
    <evenHeader>&amp;L&amp;C&amp;R</evenHeader>
    <evenFooter>&amp;L&amp;C&amp;R</evenFooter>
  </headerFooter>
  <drawing r:id="rId1"/>
</worksheet>
</file>

<file path=xl/worksheets/sheet4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6" tint="0.39997558519241921"/>
  </sheetPr>
  <dimension ref="A1:R17"/>
  <sheetViews>
    <sheetView showGridLines="0" zoomScale="90" workbookViewId="0">
      <pane xSplit="5" ySplit="9" topLeftCell="F10" activePane="bottomRight" state="frozen"/>
      <selection pane="topRight" activeCell="F1" sqref="F1"/>
      <selection pane="bottomLeft" activeCell="A10" sqref="A10"/>
      <selection pane="bottomRight"/>
    </sheetView>
  </sheetViews>
  <sheetFormatPr defaultColWidth="10.5703125" defaultRowHeight="14.25" customHeight="1"/>
  <cols>
    <col min="1" max="1" width="9.140625" style="2000" hidden="1" customWidth="1"/>
    <col min="2" max="2" width="9.140625" style="1291" hidden="1" customWidth="1"/>
    <col min="3" max="3" width="3" style="280" customWidth="1"/>
    <col min="4" max="4" width="6" style="1560" customWidth="1"/>
    <col min="5" max="5" width="53" style="1560" customWidth="1"/>
    <col min="6" max="7" width="35" style="1560" customWidth="1"/>
    <col min="8" max="8" width="89" style="1560" customWidth="1"/>
    <col min="9" max="9" width="10" style="1560" customWidth="1"/>
    <col min="10" max="11" width="10" style="1549" customWidth="1"/>
    <col min="12" max="17" width="10" style="1560" customWidth="1"/>
    <col min="18" max="18" width="10.5703125" style="1560" hidden="1"/>
  </cols>
  <sheetData>
    <row r="1" spans="1:18" ht="22.5" hidden="1" customHeight="1">
      <c r="N1" s="191"/>
      <c r="O1" s="191"/>
      <c r="Q1" s="191"/>
      <c r="R1" s="309" t="s">
        <v>14</v>
      </c>
    </row>
    <row r="2" spans="1:18" s="1560" customFormat="1" ht="18.75" hidden="1" customHeight="1">
      <c r="A2" s="40"/>
      <c r="B2" s="1085"/>
      <c r="C2" s="1655" t="s">
        <v>688</v>
      </c>
      <c r="D2" s="1598"/>
      <c r="E2" s="1607"/>
      <c r="F2" s="193"/>
      <c r="G2" s="1086"/>
      <c r="H2" s="309"/>
      <c r="I2" s="1549"/>
      <c r="J2" s="1549"/>
      <c r="R2" s="1556">
        <v>0</v>
      </c>
    </row>
    <row r="3" spans="1:18" ht="14.25" hidden="1" customHeight="1">
      <c r="R3" s="309">
        <v>0</v>
      </c>
    </row>
    <row r="4" spans="1:18" ht="6.4" customHeight="1">
      <c r="C4" s="311"/>
      <c r="D4" s="298"/>
      <c r="E4" s="298"/>
      <c r="F4" s="298"/>
      <c r="G4" s="23"/>
      <c r="H4" s="23"/>
      <c r="R4" s="309">
        <v>6</v>
      </c>
    </row>
    <row r="5" spans="1:18" ht="34.5" customHeight="1">
      <c r="C5" s="311"/>
      <c r="D5" s="2096" t="str">
        <f>PURCH_NAME_FORM</f>
        <v>Форма 17. Информация о способах приобретения, стоимости и об объемах товаров, необходимых регулируемой организации для производства товаров (оказания услуг) в сфере теплоснабжения, цены (тарифы) на которые подлежат регулированию, о способах приобретения, стоимости и об объемах товаров, необходимых для производства товаров и (или) оказания услуг единой теплоснабжающей организацией в ценовых зонах теплоснабжения, о способах приобретения, стоимости и об объемах товаров, необходимых для производства товаров и (или) оказания услуг теплоснабжающей организацией в ценовых зонах теплоснабжения и теплосетевой организацией в ценовых зонах теплоснабжения</v>
      </c>
      <c r="E5" s="2097"/>
      <c r="F5" s="2097"/>
      <c r="G5" s="2098"/>
      <c r="H5" s="202"/>
      <c r="R5" s="309">
        <v>33</v>
      </c>
    </row>
    <row r="6" spans="1:18" s="1560" customFormat="1" ht="18" customHeight="1">
      <c r="A6" s="1594"/>
      <c r="B6" s="1085"/>
      <c r="C6" s="311"/>
      <c r="D6" s="2150" t="str">
        <f>IF(org=0,"Не определено",org)</f>
        <v>ООО "ЗЕНИТ ЭНЕРГО"</v>
      </c>
      <c r="E6" s="2151"/>
      <c r="F6" s="2151"/>
      <c r="G6" s="2152"/>
      <c r="H6" s="202"/>
      <c r="J6" s="1549"/>
      <c r="K6" s="1549"/>
      <c r="R6" s="1556">
        <v>17</v>
      </c>
    </row>
    <row r="7" spans="1:18" ht="14.65" customHeight="1">
      <c r="C7" s="311"/>
      <c r="D7" s="298"/>
      <c r="E7" s="324"/>
      <c r="F7" s="324"/>
      <c r="G7" s="687"/>
      <c r="H7" s="129"/>
      <c r="R7" s="309">
        <v>14</v>
      </c>
    </row>
    <row r="8" spans="1:18" ht="14.65" customHeight="1">
      <c r="C8" s="311"/>
      <c r="D8" s="2145" t="s">
        <v>299</v>
      </c>
      <c r="E8" s="2145"/>
      <c r="F8" s="2145"/>
      <c r="G8" s="2145"/>
      <c r="H8" s="2288" t="s">
        <v>300</v>
      </c>
      <c r="R8" s="309">
        <v>14</v>
      </c>
    </row>
    <row r="9" spans="1:18" ht="24" customHeight="1">
      <c r="C9" s="311"/>
      <c r="D9" s="321" t="s">
        <v>88</v>
      </c>
      <c r="E9" s="46" t="s">
        <v>301</v>
      </c>
      <c r="F9" s="46" t="s">
        <v>302</v>
      </c>
      <c r="G9" s="46" t="s">
        <v>389</v>
      </c>
      <c r="H9" s="2288"/>
      <c r="R9" s="309">
        <v>23</v>
      </c>
    </row>
    <row r="10" spans="1:18" ht="14.65" customHeight="1">
      <c r="A10" s="279"/>
      <c r="C10" s="311"/>
      <c r="D10" s="83" t="s">
        <v>109</v>
      </c>
      <c r="E10" s="1810" t="str">
        <f>"Сведения о правовых актах, регламентирующих правила закупки (положение о закупках) в "&amp;IF(TEMPLATE_SPHERE="TKO","организации",IF(TEMPLATE_SPHERE="HEAT","регулируемой организации, единой теплоснабжающей организации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теплоснабжения","организации "&amp;TEMPLATE_SPHERE_RUS))</f>
        <v>Сведения о правовых актах, регламентирующих правила закупки (положение о закупках) в регулируемой организации, единой теплоснабжающей организации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v>
      </c>
      <c r="F10" s="193"/>
      <c r="G10" s="149"/>
      <c r="H10" s="2108" t="s">
        <v>1155</v>
      </c>
      <c r="R10" s="309">
        <v>14</v>
      </c>
    </row>
    <row r="11" spans="1:18" ht="14.65" customHeight="1">
      <c r="A11" s="279"/>
      <c r="C11" s="311"/>
      <c r="D11" s="83" t="s">
        <v>110</v>
      </c>
      <c r="E11" s="1810" t="str">
        <f>"Сведения о месте размещения "&amp;IF(TEMPLATE_SPHERE="TKO","положения о закупках в организации",IF(TEMPLATE_SPHERE="HEAT","положения о закупке регулируемой организации, единой теплоснабжающей организации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теплоснабжения","правовых актов, регламентирующих правила закупки (положение о закупках) в организации "&amp;TEMPLATE_SPHERE_RUS))</f>
        <v>Сведения о месте размещения положения о закупке регулируемой организации, единой теплоснабжающей организации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v>
      </c>
      <c r="F11" s="193"/>
      <c r="G11" s="149"/>
      <c r="H11" s="2109"/>
      <c r="R11" s="309">
        <v>14</v>
      </c>
    </row>
    <row r="12" spans="1:18" ht="14.65" customHeight="1">
      <c r="A12" s="40"/>
      <c r="C12" s="322"/>
      <c r="D12" s="83" t="s">
        <v>90</v>
      </c>
      <c r="E12" s="323" t="str">
        <f>"Сведения о планировании закупочных процедур"&amp;IF(TEMPLATE_SPHERE="TKO"," &lt;1&gt;","")</f>
        <v>Сведения о планировании закупочных процедур</v>
      </c>
      <c r="F12" s="193"/>
      <c r="G12" s="149"/>
      <c r="H12" s="2109" t="str">
        <f>"В случае наличия дополнительных сведений о способах приобретения, стоимости и объемах товаров, необходимых для производства "&amp;IF(OR(TEMPLATE_SPHERE="HEAT",TEMPLATE_SPHERE="TKO"),"","регулируемых ")&amp;"товаров и (или) оказания "&amp;IF(OR(TEMPLATE_SPHERE="HEAT",TEMPLATE_SPHERE="TKO"),"услуг организацией","регулируемых услуг регулируемой организацией")&amp;", информация по ним указывается в отдельных строках."</f>
        <v>В случае наличия дополнительных сведений о способах приобретения, стоимости и объемах товаров, необходимых для производства товаров и (или) оказания услуг организацией, информация по ним указывается в отдельных строках.</v>
      </c>
      <c r="I12" s="285"/>
      <c r="K12" s="309"/>
      <c r="R12" s="309">
        <v>14</v>
      </c>
    </row>
    <row r="13" spans="1:18" ht="14.65" customHeight="1">
      <c r="A13" s="40"/>
      <c r="C13" s="322"/>
      <c r="D13" s="83" t="s">
        <v>91</v>
      </c>
      <c r="E13" s="323" t="str">
        <f>"Сведения о результатах проведения закупочных процедур"&amp;IF(TEMPLATE_SPHERE="TKO"," &lt;1&gt;","")</f>
        <v>Сведения о результатах проведения закупочных процедур</v>
      </c>
      <c r="F13" s="193"/>
      <c r="G13" s="149"/>
      <c r="H13" s="2109"/>
      <c r="I13" s="285"/>
      <c r="K13" s="309"/>
      <c r="R13" s="309">
        <v>14</v>
      </c>
    </row>
    <row r="14" spans="1:18" ht="14.65" customHeight="1">
      <c r="A14" s="279"/>
      <c r="C14" s="311"/>
      <c r="D14" s="283"/>
      <c r="E14" s="330" t="s">
        <v>321</v>
      </c>
      <c r="F14" s="284"/>
      <c r="G14" s="137"/>
      <c r="H14" s="2110"/>
      <c r="R14" s="309">
        <v>14</v>
      </c>
    </row>
    <row r="15" spans="1:18" s="1560" customFormat="1" ht="14.65" customHeight="1">
      <c r="A15" s="279"/>
      <c r="B15" s="1085"/>
      <c r="C15" s="311"/>
      <c r="D15" s="331"/>
      <c r="E15" s="1602"/>
      <c r="F15" s="1603"/>
      <c r="G15" s="1604"/>
      <c r="H15" s="1605"/>
      <c r="J15" s="1549"/>
      <c r="K15" s="1549"/>
      <c r="R15" s="1556">
        <v>14</v>
      </c>
    </row>
    <row r="16" spans="1:18" ht="14.65" customHeight="1">
      <c r="D16" s="1606"/>
      <c r="E16" s="2206"/>
      <c r="F16" s="2206"/>
      <c r="G16" s="2206"/>
      <c r="H16" s="2206"/>
      <c r="R16" s="309">
        <v>14</v>
      </c>
    </row>
    <row r="17" spans="1:18" ht="22.5" hidden="1" customHeight="1">
      <c r="A17" s="299" t="s">
        <v>82</v>
      </c>
      <c r="B17" s="82">
        <v>0</v>
      </c>
      <c r="C17" s="280">
        <v>3</v>
      </c>
      <c r="D17" s="309">
        <v>6</v>
      </c>
      <c r="E17" s="309">
        <v>53</v>
      </c>
      <c r="F17" s="309">
        <v>35</v>
      </c>
      <c r="G17" s="309">
        <v>35</v>
      </c>
      <c r="H17" s="309">
        <v>89</v>
      </c>
      <c r="I17" s="309">
        <v>10</v>
      </c>
      <c r="J17" s="285">
        <v>10</v>
      </c>
      <c r="K17" s="285">
        <v>10</v>
      </c>
      <c r="L17" s="309">
        <v>10</v>
      </c>
      <c r="M17" s="309">
        <v>10</v>
      </c>
      <c r="N17" s="309">
        <v>10</v>
      </c>
      <c r="O17" s="309">
        <v>10</v>
      </c>
      <c r="P17" s="309">
        <v>10</v>
      </c>
      <c r="Q17" s="309">
        <v>10</v>
      </c>
      <c r="R17" s="309">
        <v>23</v>
      </c>
    </row>
  </sheetData>
  <sheetProtection formatColumns="0" formatRows="0" insertRows="0" deleteColumns="0" deleteRows="0" sort="0" autoFilter="0"/>
  <mergeCells count="7">
    <mergeCell ref="E16:H16"/>
    <mergeCell ref="H10:H11"/>
    <mergeCell ref="H12:H14"/>
    <mergeCell ref="D5:G5"/>
    <mergeCell ref="D8:G8"/>
    <mergeCell ref="H8:H9"/>
    <mergeCell ref="D6:G6"/>
  </mergeCells>
  <dataValidations count="2">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либо ссылку на официальный сайт в сети «Интернет», на котором размещена информация" sqref="G2 G10:G13">
      <formula1>900</formula1>
    </dataValidation>
    <dataValidation type="textLength" operator="lessThanOrEqual" allowBlank="1" showInputMessage="1" showErrorMessage="1" errorTitle="Ошибка" error="Допускается ввод не более 900 символов!" sqref="H10 E13 E2:F2 F10:F13">
      <formula1>900</formula1>
    </dataValidation>
  </dataValidations>
  <pageMargins left="0.7" right="0.7" top="0.75" bottom="0.75" header="0.3" footer="0.3"/>
  <pageSetup paperSize="9" orientation="portrait"/>
  <headerFooter>
    <oddHeader>&amp;L&amp;C&amp;R</oddHeader>
    <oddFooter>&amp;L&amp;C&amp;R</oddFooter>
    <evenHeader>&amp;L&amp;C&amp;R</evenHeader>
    <evenFooter>&amp;L&amp;C&amp;R</evenFooter>
  </headerFooter>
  <drawing r:id="rId1"/>
</worksheet>
</file>

<file path=xl/worksheets/sheet5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2" tint="-9.9978637043366805E-2"/>
  </sheetPr>
  <dimension ref="A1:V30"/>
  <sheetViews>
    <sheetView showGridLines="0" zoomScale="90" workbookViewId="0">
      <pane xSplit="8" ySplit="18" topLeftCell="I19" activePane="bottomRight" state="frozen"/>
      <selection pane="topRight" activeCell="I1" sqref="I1"/>
      <selection pane="bottomLeft" activeCell="A19" sqref="A19"/>
      <selection pane="bottomRight"/>
    </sheetView>
  </sheetViews>
  <sheetFormatPr defaultColWidth="10.5703125" defaultRowHeight="15" customHeight="1"/>
  <cols>
    <col min="1" max="1" width="9.140625" style="1557" hidden="1" customWidth="1"/>
    <col min="2" max="2" width="9.140625" style="1560" hidden="1" customWidth="1"/>
    <col min="3" max="3" width="4" style="618" customWidth="1"/>
    <col min="4" max="4" width="6" style="1560" customWidth="1"/>
    <col min="5" max="5" width="47" style="1560" customWidth="1"/>
    <col min="6" max="6" width="9" style="1560" customWidth="1"/>
    <col min="7" max="7" width="25.7109375" style="1560" hidden="1" customWidth="1"/>
    <col min="8" max="8" width="34" style="1560" hidden="1" customWidth="1"/>
    <col min="9" max="9" width="25.7109375" style="1560" customWidth="1"/>
    <col min="10" max="10" width="33" style="1560" customWidth="1"/>
    <col min="11" max="11" width="50" style="1291" customWidth="1"/>
    <col min="12" max="20" width="10" style="1560" customWidth="1"/>
    <col min="21" max="21" width="10" style="610" customWidth="1"/>
    <col min="22" max="22" width="10.5703125" style="1560" hidden="1"/>
  </cols>
  <sheetData>
    <row r="1" spans="1:22" s="1291" customFormat="1" ht="22.5" hidden="1" customHeight="1">
      <c r="C1" s="607"/>
      <c r="G1" s="352">
        <v>4</v>
      </c>
      <c r="I1" s="352">
        <v>4</v>
      </c>
      <c r="U1" s="355"/>
      <c r="V1" s="352" t="s">
        <v>14</v>
      </c>
    </row>
    <row r="2" spans="1:22" s="1560" customFormat="1" ht="15" hidden="1" customHeight="1">
      <c r="A2" s="297"/>
      <c r="C2" s="112"/>
      <c r="D2" s="282"/>
      <c r="E2" s="608"/>
      <c r="F2" s="457"/>
      <c r="G2" s="551"/>
      <c r="H2" s="551"/>
      <c r="I2" s="551"/>
      <c r="J2" s="551"/>
      <c r="U2" s="609"/>
      <c r="V2" s="444">
        <v>0</v>
      </c>
    </row>
    <row r="3" spans="1:22" s="1291" customFormat="1" ht="15" hidden="1" customHeight="1">
      <c r="C3" s="607"/>
      <c r="U3" s="355"/>
      <c r="V3" s="352">
        <v>0</v>
      </c>
    </row>
    <row r="4" spans="1:22" ht="15.75" customHeight="1">
      <c r="C4" s="112"/>
      <c r="D4" s="444"/>
      <c r="E4" s="444"/>
      <c r="F4" s="444"/>
      <c r="G4" s="444"/>
      <c r="H4" s="444"/>
      <c r="I4" s="444"/>
      <c r="J4" s="444"/>
      <c r="V4" s="440">
        <v>15</v>
      </c>
    </row>
    <row r="5" spans="1:22" ht="66" customHeight="1">
      <c r="C5" s="112"/>
      <c r="D5" s="2170" t="s">
        <v>1156</v>
      </c>
      <c r="E5" s="2170"/>
      <c r="F5" s="2170"/>
      <c r="G5" s="2170"/>
      <c r="H5" s="2170"/>
      <c r="I5" s="2170"/>
      <c r="J5" s="2170"/>
      <c r="V5" s="440">
        <v>63</v>
      </c>
    </row>
    <row r="6" spans="1:22" ht="15.75" customHeight="1">
      <c r="C6" s="112"/>
      <c r="D6" s="2115" t="str">
        <f>IF(org=0,"Не определено",org)</f>
        <v>ООО "ЗЕНИТ ЭНЕРГО"</v>
      </c>
      <c r="E6" s="2115"/>
      <c r="F6" s="2115"/>
      <c r="G6" s="2115"/>
      <c r="H6" s="2115"/>
      <c r="I6" s="2115"/>
      <c r="J6" s="2115"/>
      <c r="K6" s="472"/>
      <c r="V6" s="440">
        <v>15</v>
      </c>
    </row>
    <row r="7" spans="1:22" ht="15.75" customHeight="1">
      <c r="C7" s="112"/>
      <c r="D7" s="687"/>
      <c r="E7" s="444"/>
      <c r="F7" s="444"/>
      <c r="G7" s="472">
        <v>22</v>
      </c>
      <c r="I7" s="472">
        <v>1</v>
      </c>
      <c r="J7" s="687"/>
      <c r="V7" s="440">
        <v>15</v>
      </c>
    </row>
    <row r="8" spans="1:22" s="1560" customFormat="1" ht="1.1499999999999999" customHeight="1">
      <c r="A8" s="692"/>
      <c r="C8" s="112"/>
      <c r="D8" s="444"/>
      <c r="E8" s="444"/>
      <c r="F8" s="444"/>
      <c r="G8" s="472"/>
      <c r="H8" s="687"/>
      <c r="I8" s="472" t="s">
        <v>117</v>
      </c>
      <c r="J8" s="687"/>
      <c r="K8" s="352"/>
      <c r="U8" s="610"/>
      <c r="V8" s="691">
        <v>1</v>
      </c>
    </row>
    <row r="9" spans="1:22" ht="15.75" customHeight="1">
      <c r="C9" s="112"/>
      <c r="D9" s="646"/>
      <c r="E9" s="2269" t="s">
        <v>105</v>
      </c>
      <c r="F9" s="2270"/>
      <c r="G9" s="2294" t="str">
        <f>IF(G8="","",INDEX(DIFFERENTIATION_UNMERGE_VD,MATCH(G8,DIFFERENTIATION_ID_DIFF,0)))</f>
        <v/>
      </c>
      <c r="H9" s="2295"/>
      <c r="I9" s="2294" t="str">
        <f>IF(I8="","",INDEX(DIFFERENTIATION_UNMERGE_VD,MATCH(I8,DIFFERENTIATION_ID_DIFF,0)))</f>
        <v>Производство тепловой энергии. Некомбинированная выработка; Передача. Тепловая энергия; Сбыт. Тепловая энергия</v>
      </c>
      <c r="J9" s="2295"/>
      <c r="K9" s="2114" t="s">
        <v>300</v>
      </c>
      <c r="V9" s="440">
        <v>15</v>
      </c>
    </row>
    <row r="10" spans="1:22" s="1560" customFormat="1" ht="15.75" customHeight="1">
      <c r="A10" s="692"/>
      <c r="C10" s="112"/>
      <c r="D10" s="646"/>
      <c r="E10" s="2269" t="s">
        <v>563</v>
      </c>
      <c r="F10" s="2270"/>
      <c r="G10" s="2294" t="str">
        <f>IF(G8="","",INDEX(DIFFERENTIATION_UNMERGE_AREA,MATCH(G8,DIFFERENTIATION_ID_DIFF,0)))</f>
        <v/>
      </c>
      <c r="H10" s="2295"/>
      <c r="I10" s="2294" t="str">
        <f>IF(I8="","",INDEX(DIFFERENTIATION_UNMERGE_AREA,MATCH(I8,DIFFERENTIATION_ID_DIFF,0)))</f>
        <v>Территория 1</v>
      </c>
      <c r="J10" s="2295"/>
      <c r="K10" s="2135"/>
      <c r="U10" s="610"/>
      <c r="V10" s="691">
        <v>15</v>
      </c>
    </row>
    <row r="11" spans="1:22" s="1560" customFormat="1" ht="15.75" customHeight="1">
      <c r="A11" s="692"/>
      <c r="C11" s="112"/>
      <c r="D11" s="646"/>
      <c r="E11" s="2269" t="s">
        <v>564</v>
      </c>
      <c r="F11" s="2270"/>
      <c r="G11" s="2294" t="str">
        <f>IF(G8="","",INDEX(DIFFERENTIATION_UNMERGE_SYSTEM,MATCH(G8,DIFFERENTIATION_ID_DIFF,0)))</f>
        <v/>
      </c>
      <c r="H11" s="2295"/>
      <c r="I11" s="2294" t="str">
        <f>IF(I8="","",INDEX(DIFFERENTIATION_UNMERGE_SYSTEM,MATCH(I8,DIFFERENTIATION_ID_DIFF,0)))</f>
        <v>без дифференциации</v>
      </c>
      <c r="J11" s="2295"/>
      <c r="K11" s="2135"/>
      <c r="U11" s="610"/>
      <c r="V11" s="691">
        <v>15</v>
      </c>
    </row>
    <row r="12" spans="1:22" s="1560" customFormat="1" ht="15.75" customHeight="1">
      <c r="A12" s="692"/>
      <c r="C12" s="112"/>
      <c r="D12" s="2271" t="s">
        <v>299</v>
      </c>
      <c r="E12" s="2272"/>
      <c r="F12" s="2272"/>
      <c r="G12" s="815"/>
      <c r="H12" s="815"/>
      <c r="I12" s="815"/>
      <c r="J12" s="815"/>
      <c r="K12" s="2135"/>
      <c r="U12" s="610"/>
      <c r="V12" s="691">
        <v>15</v>
      </c>
    </row>
    <row r="13" spans="1:22" ht="35.65" customHeight="1">
      <c r="C13" s="112"/>
      <c r="D13" s="734" t="s">
        <v>88</v>
      </c>
      <c r="E13" s="736" t="s">
        <v>301</v>
      </c>
      <c r="F13" s="736" t="s">
        <v>565</v>
      </c>
      <c r="G13" s="737" t="s">
        <v>302</v>
      </c>
      <c r="H13" s="736" t="s">
        <v>389</v>
      </c>
      <c r="I13" s="737" t="s">
        <v>302</v>
      </c>
      <c r="J13" s="736" t="s">
        <v>389</v>
      </c>
      <c r="K13" s="2165"/>
      <c r="V13" s="440">
        <v>34</v>
      </c>
    </row>
    <row r="14" spans="1:22" ht="15" hidden="1" customHeight="1">
      <c r="C14" s="112"/>
      <c r="D14" s="528" t="s">
        <v>109</v>
      </c>
      <c r="E14" s="528" t="s">
        <v>110</v>
      </c>
      <c r="F14" s="528" t="s">
        <v>90</v>
      </c>
      <c r="G14" s="594" t="str">
        <f>G1&amp;".1"</f>
        <v>4.1</v>
      </c>
      <c r="H14" s="594"/>
      <c r="I14" s="594" t="str">
        <f>I1&amp;".1"</f>
        <v>4.1</v>
      </c>
      <c r="J14" s="594"/>
      <c r="K14" s="225"/>
      <c r="V14" s="440">
        <v>0</v>
      </c>
    </row>
    <row r="15" spans="1:22" ht="22.5" hidden="1" customHeight="1">
      <c r="A15" s="440"/>
      <c r="C15" s="461"/>
      <c r="D15" s="456">
        <v>1</v>
      </c>
      <c r="E15" s="612" t="s">
        <v>808</v>
      </c>
      <c r="F15" s="456" t="s">
        <v>809</v>
      </c>
      <c r="G15" s="613"/>
      <c r="H15" s="613"/>
      <c r="I15" s="613"/>
      <c r="J15" s="613"/>
      <c r="K15" s="225" t="s">
        <v>810</v>
      </c>
      <c r="V15" s="440">
        <v>0</v>
      </c>
    </row>
    <row r="16" spans="1:22" ht="22.5" hidden="1" customHeight="1">
      <c r="A16" s="440"/>
      <c r="C16" s="461"/>
      <c r="D16" s="456">
        <v>2</v>
      </c>
      <c r="E16" s="215" t="s">
        <v>811</v>
      </c>
      <c r="F16" s="456" t="s">
        <v>812</v>
      </c>
      <c r="G16" s="613"/>
      <c r="H16" s="613"/>
      <c r="I16" s="613"/>
      <c r="J16" s="613"/>
      <c r="K16" s="225" t="s">
        <v>813</v>
      </c>
      <c r="V16" s="440">
        <v>0</v>
      </c>
    </row>
    <row r="17" spans="1:22" ht="123.75" hidden="1" customHeight="1">
      <c r="A17" s="440"/>
      <c r="C17" s="461"/>
      <c r="D17" s="456">
        <v>3</v>
      </c>
      <c r="E17" s="215" t="s">
        <v>1157</v>
      </c>
      <c r="F17" s="456" t="s">
        <v>305</v>
      </c>
      <c r="G17" s="613"/>
      <c r="H17" s="613"/>
      <c r="I17" s="613"/>
      <c r="J17" s="613"/>
      <c r="K17" s="225" t="s">
        <v>1158</v>
      </c>
      <c r="V17" s="440">
        <v>0</v>
      </c>
    </row>
    <row r="18" spans="1:22" ht="48.2" customHeight="1">
      <c r="A18" s="440"/>
      <c r="C18" s="461"/>
      <c r="D18" s="456">
        <v>3</v>
      </c>
      <c r="E18" s="215" t="s">
        <v>814</v>
      </c>
      <c r="F18" s="456" t="s">
        <v>305</v>
      </c>
      <c r="G18" s="738" t="s">
        <v>305</v>
      </c>
      <c r="H18" s="739" t="s">
        <v>305</v>
      </c>
      <c r="I18" s="456" t="s">
        <v>305</v>
      </c>
      <c r="J18" s="513" t="s">
        <v>305</v>
      </c>
      <c r="K18" s="225" t="s">
        <v>1159</v>
      </c>
      <c r="V18" s="440">
        <v>46</v>
      </c>
    </row>
    <row r="19" spans="1:22" ht="35.65" customHeight="1">
      <c r="A19" s="440"/>
      <c r="C19" s="461"/>
      <c r="D19" s="474" t="s">
        <v>323</v>
      </c>
      <c r="E19" s="494" t="s">
        <v>816</v>
      </c>
      <c r="F19" s="456" t="s">
        <v>817</v>
      </c>
      <c r="G19" s="746"/>
      <c r="H19" s="44"/>
      <c r="I19" s="746"/>
      <c r="J19" s="747"/>
      <c r="K19" s="614"/>
      <c r="V19" s="440">
        <v>34</v>
      </c>
    </row>
    <row r="20" spans="1:22" ht="35.65" customHeight="1">
      <c r="A20" s="440"/>
      <c r="C20" s="461"/>
      <c r="D20" s="1814" t="s">
        <v>331</v>
      </c>
      <c r="E20" s="494" t="s">
        <v>818</v>
      </c>
      <c r="F20" s="456" t="s">
        <v>819</v>
      </c>
      <c r="G20" s="746"/>
      <c r="H20" s="44"/>
      <c r="I20" s="746"/>
      <c r="J20" s="44"/>
      <c r="K20" s="614"/>
      <c r="V20" s="440">
        <v>34</v>
      </c>
    </row>
    <row r="21" spans="1:22" ht="48.2" customHeight="1">
      <c r="A21" s="440"/>
      <c r="C21" s="461"/>
      <c r="D21" s="1814" t="s">
        <v>333</v>
      </c>
      <c r="E21" s="494" t="s">
        <v>820</v>
      </c>
      <c r="F21" s="456" t="s">
        <v>570</v>
      </c>
      <c r="G21" s="615"/>
      <c r="H21" s="44"/>
      <c r="I21" s="615"/>
      <c r="J21" s="44"/>
      <c r="K21" s="614"/>
      <c r="V21" s="440">
        <v>46</v>
      </c>
    </row>
    <row r="22" spans="1:22" ht="67.5" hidden="1" customHeight="1">
      <c r="A22" s="440"/>
      <c r="C22" s="461"/>
      <c r="D22" s="456">
        <v>5</v>
      </c>
      <c r="E22" s="215" t="s">
        <v>1160</v>
      </c>
      <c r="F22" s="456" t="s">
        <v>557</v>
      </c>
      <c r="G22" s="616"/>
      <c r="H22" s="617"/>
      <c r="I22" s="616"/>
      <c r="J22" s="617"/>
      <c r="K22" s="225" t="s">
        <v>1161</v>
      </c>
      <c r="V22" s="440">
        <v>0</v>
      </c>
    </row>
    <row r="23" spans="1:22" ht="33.75" hidden="1" customHeight="1">
      <c r="C23" s="386"/>
      <c r="D23" s="456">
        <v>6</v>
      </c>
      <c r="E23" s="215" t="s">
        <v>1162</v>
      </c>
      <c r="F23" s="456" t="s">
        <v>1163</v>
      </c>
      <c r="G23" s="616"/>
      <c r="H23" s="616"/>
      <c r="I23" s="616"/>
      <c r="J23" s="616"/>
      <c r="K23" s="225" t="s">
        <v>1164</v>
      </c>
      <c r="V23" s="440">
        <v>0</v>
      </c>
    </row>
    <row r="24" spans="1:22" ht="15.75" customHeight="1">
      <c r="V24" s="440">
        <v>15</v>
      </c>
    </row>
    <row r="25" spans="1:22" ht="15.75" customHeight="1">
      <c r="V25" s="440">
        <v>15</v>
      </c>
    </row>
    <row r="26" spans="1:22" ht="15.75" customHeight="1">
      <c r="V26" s="440">
        <v>15</v>
      </c>
    </row>
    <row r="27" spans="1:22" ht="15.75" customHeight="1">
      <c r="V27" s="440">
        <v>15</v>
      </c>
    </row>
    <row r="28" spans="1:22" ht="15.75" customHeight="1">
      <c r="V28" s="440">
        <v>15</v>
      </c>
    </row>
    <row r="29" spans="1:22" ht="15.75" customHeight="1">
      <c r="J29" s="748"/>
      <c r="V29" s="440">
        <v>15</v>
      </c>
    </row>
    <row r="30" spans="1:22" ht="22.5" hidden="1" customHeight="1">
      <c r="A30" s="384" t="s">
        <v>82</v>
      </c>
      <c r="B30" s="440">
        <v>0</v>
      </c>
      <c r="C30" s="618">
        <v>4</v>
      </c>
      <c r="D30" s="440">
        <v>6</v>
      </c>
      <c r="E30" s="440">
        <v>47</v>
      </c>
      <c r="F30" s="440">
        <v>9</v>
      </c>
      <c r="G30" s="691">
        <v>0</v>
      </c>
      <c r="H30" s="691">
        <v>0</v>
      </c>
      <c r="I30" s="440">
        <v>25</v>
      </c>
      <c r="J30" s="440">
        <v>33</v>
      </c>
      <c r="K30" s="352">
        <v>50</v>
      </c>
      <c r="L30" s="440">
        <v>10</v>
      </c>
      <c r="M30" s="440">
        <v>10</v>
      </c>
      <c r="N30" s="440">
        <v>10</v>
      </c>
      <c r="O30" s="440">
        <v>10</v>
      </c>
      <c r="P30" s="440">
        <v>10</v>
      </c>
      <c r="Q30" s="440">
        <v>10</v>
      </c>
      <c r="R30" s="440">
        <v>10</v>
      </c>
      <c r="S30" s="440">
        <v>10</v>
      </c>
      <c r="T30" s="440">
        <v>10</v>
      </c>
      <c r="U30" s="610">
        <v>10</v>
      </c>
      <c r="V30" s="440">
        <v>23</v>
      </c>
    </row>
  </sheetData>
  <sheetProtection formatColumns="0" formatRows="0" insertRows="0" deleteColumns="0" deleteRows="0" sort="0" autoFilter="0"/>
  <mergeCells count="13">
    <mergeCell ref="D5:J5"/>
    <mergeCell ref="D6:J6"/>
    <mergeCell ref="K9:K13"/>
    <mergeCell ref="I9:J9"/>
    <mergeCell ref="E9:F9"/>
    <mergeCell ref="E10:F10"/>
    <mergeCell ref="E11:F11"/>
    <mergeCell ref="I10:J10"/>
    <mergeCell ref="I11:J11"/>
    <mergeCell ref="G9:H9"/>
    <mergeCell ref="G10:H10"/>
    <mergeCell ref="G11:H11"/>
    <mergeCell ref="D12:F12"/>
  </mergeCells>
  <dataValidations count="4">
    <dataValidation type="textLength" operator="lessThanOrEqual" allowBlank="1" showInputMessage="1" showErrorMessage="1" errorTitle="Ошибка" error="Допускается ввод не более 900 символов!" sqref="H19:H21 J19:J21">
      <formula1>900</formula1>
    </dataValidation>
    <dataValidation type="whole" allowBlank="1" showErrorMessage="1" errorTitle="Ошибка" error="Допускается ввод только неотрицательных целых чисел!" sqref="G19:G20 I19:I20">
      <formula1>0</formula1>
      <formula2>9.99999999999999E+23</formula2>
    </dataValidation>
    <dataValidation allowBlank="1" showInputMessage="1" showErrorMessage="1" prompt="Количество поданных заявок на подключение (технологическое присоединение) к системе теплоснабжения в течение квартала, шт." sqref="E15 E13"/>
    <dataValidation type="decimal" allowBlank="1" showErrorMessage="1" errorTitle="Ошибка" error="Допускается ввод только неотрицательных чисел!" sqref="G21 I21">
      <formula1>0</formula1>
      <formula2>9.99999999999999E+23</formula2>
    </dataValidation>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5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tabColor rgb="FFFFCC99"/>
  </sheetPr>
  <dimension ref="A1:CD118"/>
  <sheetViews>
    <sheetView showGridLines="0" workbookViewId="0"/>
  </sheetViews>
  <sheetFormatPr defaultColWidth="9.140625" defaultRowHeight="11.25" customHeight="1"/>
  <cols>
    <col min="1" max="1" width="32.5703125" style="1127" customWidth="1"/>
    <col min="2" max="2" width="11" style="1774" customWidth="1"/>
    <col min="3" max="3" width="9.140625" style="1774"/>
    <col min="4" max="4" width="26.5703125" style="1774" customWidth="1"/>
    <col min="5" max="5" width="36.85546875" style="1747" customWidth="1"/>
    <col min="6" max="6" width="23.5703125" style="1747" customWidth="1"/>
    <col min="7" max="7" width="31.42578125" style="1747" customWidth="1"/>
    <col min="8" max="8" width="40.85546875" style="1747" customWidth="1"/>
    <col min="9" max="9" width="14.5703125" style="1747" customWidth="1"/>
    <col min="10" max="10" width="26.85546875" style="1747" customWidth="1"/>
    <col min="11" max="11" width="50" style="1747" customWidth="1"/>
    <col min="12" max="12" width="52.42578125" style="1747" customWidth="1"/>
    <col min="13" max="13" width="10.7109375" style="1747" customWidth="1"/>
    <col min="14" max="14" width="55.140625" style="1747" customWidth="1"/>
    <col min="15" max="15" width="31.85546875" style="1747" customWidth="1"/>
    <col min="16" max="16" width="23.85546875" style="1747" customWidth="1"/>
    <col min="17" max="17" width="46.5703125" style="1747" customWidth="1"/>
    <col min="18" max="18" width="24" style="1747" customWidth="1"/>
    <col min="19" max="19" width="20.5703125" style="1747" customWidth="1"/>
    <col min="20" max="20" width="22" style="1747" customWidth="1"/>
    <col min="21" max="22" width="26.42578125" style="1747" customWidth="1"/>
    <col min="23" max="23" width="8.28515625" style="1747" hidden="1" customWidth="1"/>
    <col min="24" max="24" width="59.7109375" style="1747" customWidth="1"/>
    <col min="25" max="25" width="49.140625" style="1747" customWidth="1"/>
    <col min="26" max="26" width="11.140625" style="1747" customWidth="1"/>
    <col min="27" max="30" width="29" style="1747" customWidth="1"/>
    <col min="31" max="31" width="9.140625" style="1747"/>
    <col min="32" max="32" width="34.7109375" style="1747" customWidth="1"/>
    <col min="33" max="33" width="9.140625" style="1747"/>
    <col min="34" max="35" width="34.42578125" style="1747" customWidth="1"/>
    <col min="36" max="36" width="9.140625" style="1747"/>
    <col min="37" max="37" width="24.5703125" style="1747" customWidth="1"/>
    <col min="38" max="38" width="9.140625" style="1747"/>
    <col min="39" max="39" width="26.140625" style="1747" customWidth="1"/>
    <col min="40" max="40" width="1.7109375" style="1747" customWidth="1"/>
    <col min="41" max="41" width="9.140625" style="1747"/>
    <col min="42" max="43" width="47.85546875" style="1747" customWidth="1"/>
    <col min="44" max="44" width="1.7109375" style="1747" customWidth="1"/>
    <col min="45" max="45" width="21.42578125" style="1747" customWidth="1"/>
    <col min="46" max="46" width="1.7109375" style="1747" customWidth="1"/>
    <col min="47" max="47" width="31.28515625" style="1747" customWidth="1"/>
    <col min="48" max="48" width="1.7109375" style="1747" customWidth="1"/>
    <col min="49" max="50" width="9.140625" style="1747"/>
    <col min="51" max="51" width="3.7109375" style="1747" customWidth="1"/>
    <col min="52" max="52" width="60.85546875" style="1747" customWidth="1"/>
    <col min="53" max="53" width="49.28515625" style="1747" customWidth="1"/>
    <col min="54" max="54" width="35.140625" style="1747" customWidth="1"/>
    <col min="55" max="55" width="9.140625" style="1747"/>
    <col min="56" max="56" width="1.7109375" style="1747" customWidth="1"/>
    <col min="57" max="57" width="12.5703125" style="994" customWidth="1"/>
    <col min="58" max="58" width="14.28515625" style="994" customWidth="1"/>
    <col min="59" max="59" width="30.7109375" style="1747" customWidth="1"/>
    <col min="60" max="60" width="40.7109375" style="1764" customWidth="1"/>
    <col min="61" max="61" width="15" style="1764" customWidth="1"/>
    <col min="62" max="62" width="40.7109375" style="1764" customWidth="1"/>
    <col min="63" max="63" width="2.7109375" style="1764" customWidth="1"/>
    <col min="64" max="64" width="44.7109375" style="1764" customWidth="1"/>
    <col min="65" max="65" width="2.7109375" style="1764" customWidth="1"/>
    <col min="66" max="66" width="40.7109375" style="1764" customWidth="1"/>
    <col min="67" max="68" width="9.140625" style="1747"/>
    <col min="69" max="69" width="18.140625" style="1747" customWidth="1"/>
    <col min="70" max="70" width="57.85546875" style="1747" customWidth="1"/>
    <col min="71" max="71" width="1.7109375" style="1747" customWidth="1"/>
    <col min="72" max="72" width="22.5703125" style="1747" customWidth="1"/>
    <col min="73" max="73" width="57.85546875" style="1747" customWidth="1"/>
    <col min="74" max="74" width="1.7109375" style="1747" customWidth="1"/>
    <col min="75" max="75" width="22.5703125" style="1747" customWidth="1"/>
    <col min="76" max="76" width="57.85546875" style="1747" customWidth="1"/>
    <col min="77" max="77" width="1.7109375" style="1747" customWidth="1"/>
    <col min="78" max="78" width="22.5703125" style="1747" customWidth="1"/>
    <col min="79" max="79" width="57.85546875" style="1747" customWidth="1"/>
    <col min="80" max="81" width="9.140625" style="1747"/>
    <col min="82" max="82" width="49.5703125" style="1747" customWidth="1"/>
  </cols>
  <sheetData>
    <row r="1" spans="1:79" s="1352" customFormat="1" ht="11.25" customHeight="1">
      <c r="A1" s="995" t="s">
        <v>1165</v>
      </c>
      <c r="B1" s="995" t="s">
        <v>1166</v>
      </c>
      <c r="C1" s="995" t="s">
        <v>1167</v>
      </c>
      <c r="D1" s="995" t="s">
        <v>1168</v>
      </c>
      <c r="E1" s="995" t="s">
        <v>1169</v>
      </c>
      <c r="F1" s="995" t="s">
        <v>1170</v>
      </c>
      <c r="G1" s="995" t="s">
        <v>1171</v>
      </c>
      <c r="H1" s="995" t="s">
        <v>1172</v>
      </c>
      <c r="I1" s="995" t="s">
        <v>1173</v>
      </c>
      <c r="J1" s="995" t="s">
        <v>1174</v>
      </c>
      <c r="K1" s="995" t="s">
        <v>1175</v>
      </c>
      <c r="L1" s="995" t="s">
        <v>1176</v>
      </c>
      <c r="M1" s="995"/>
      <c r="N1" s="995" t="s">
        <v>1177</v>
      </c>
      <c r="O1" s="995" t="s">
        <v>1178</v>
      </c>
      <c r="P1" s="995" t="s">
        <v>1179</v>
      </c>
      <c r="Q1" s="995" t="s">
        <v>1180</v>
      </c>
      <c r="R1" s="995" t="s">
        <v>1181</v>
      </c>
      <c r="S1" s="995" t="s">
        <v>1182</v>
      </c>
      <c r="T1" s="995" t="s">
        <v>1183</v>
      </c>
      <c r="U1" s="995" t="s">
        <v>1184</v>
      </c>
      <c r="V1" s="995"/>
      <c r="W1" s="726" t="s">
        <v>1185</v>
      </c>
      <c r="X1" s="995" t="s">
        <v>1186</v>
      </c>
      <c r="Y1" s="995" t="s">
        <v>1187</v>
      </c>
      <c r="Z1" s="995"/>
      <c r="AA1" s="995" t="s">
        <v>1188</v>
      </c>
      <c r="AB1" s="995"/>
      <c r="AC1" s="995" t="s">
        <v>1189</v>
      </c>
      <c r="AD1" s="995"/>
      <c r="AF1" s="995" t="s">
        <v>1190</v>
      </c>
      <c r="AH1" s="995" t="s">
        <v>1191</v>
      </c>
      <c r="AI1" s="995" t="s">
        <v>1192</v>
      </c>
      <c r="AK1" s="995" t="s">
        <v>1193</v>
      </c>
      <c r="AM1" s="995" t="s">
        <v>1194</v>
      </c>
      <c r="AP1" s="995" t="s">
        <v>1195</v>
      </c>
      <c r="AQ1" s="995" t="s">
        <v>1196</v>
      </c>
      <c r="AS1" s="995" t="s">
        <v>1197</v>
      </c>
      <c r="AU1" s="995" t="s">
        <v>1198</v>
      </c>
      <c r="AW1" s="995" t="s">
        <v>1199</v>
      </c>
      <c r="AX1" s="995" t="s">
        <v>1200</v>
      </c>
      <c r="AZ1" s="1077" t="s">
        <v>1201</v>
      </c>
      <c r="BB1" s="995" t="s">
        <v>1202</v>
      </c>
      <c r="BC1" s="995"/>
      <c r="BE1" s="995" t="s">
        <v>1203</v>
      </c>
      <c r="BF1" s="995" t="s">
        <v>1204</v>
      </c>
      <c r="BH1" s="997" t="s">
        <v>807</v>
      </c>
      <c r="BI1" s="998"/>
      <c r="BJ1" s="999" t="s">
        <v>1205</v>
      </c>
      <c r="BK1" s="998"/>
      <c r="BL1" s="1000" t="s">
        <v>906</v>
      </c>
      <c r="BM1" s="998"/>
      <c r="BN1" s="1001" t="s">
        <v>1206</v>
      </c>
    </row>
    <row r="2" spans="1:79" ht="11.25" customHeight="1">
      <c r="A2" s="1002" t="s">
        <v>1207</v>
      </c>
      <c r="B2" s="1003">
        <v>2000</v>
      </c>
      <c r="C2" s="1003">
        <v>2022</v>
      </c>
      <c r="D2" s="1003" t="s">
        <v>66</v>
      </c>
      <c r="E2" s="1004" t="s">
        <v>1208</v>
      </c>
      <c r="F2" s="1004" t="s">
        <v>1209</v>
      </c>
      <c r="G2" s="1004" t="s">
        <v>1210</v>
      </c>
      <c r="H2" s="1005" t="s">
        <v>55</v>
      </c>
      <c r="I2" s="1004" t="s">
        <v>109</v>
      </c>
      <c r="J2" s="1004" t="s">
        <v>1211</v>
      </c>
      <c r="K2" s="1006" t="s">
        <v>1212</v>
      </c>
      <c r="L2" s="1007"/>
      <c r="M2" s="1006">
        <v>1</v>
      </c>
      <c r="N2" s="1087" t="s">
        <v>1213</v>
      </c>
      <c r="O2" s="1005" t="s">
        <v>1214</v>
      </c>
      <c r="P2" s="1008" t="s">
        <v>38</v>
      </c>
      <c r="Q2" s="1009" t="s">
        <v>1215</v>
      </c>
      <c r="R2" s="80" t="s">
        <v>1216</v>
      </c>
      <c r="S2" s="80" t="s">
        <v>1217</v>
      </c>
      <c r="T2" s="1010" t="s">
        <v>1218</v>
      </c>
      <c r="U2" s="1007" t="s">
        <v>1219</v>
      </c>
      <c r="V2" s="1011">
        <v>1</v>
      </c>
      <c r="W2" s="1012"/>
      <c r="X2" s="1012" t="s">
        <v>1220</v>
      </c>
      <c r="Y2" s="1003" t="s">
        <v>1221</v>
      </c>
      <c r="Z2" s="1013"/>
      <c r="AA2" s="1003" t="s">
        <v>1222</v>
      </c>
      <c r="AB2" s="1014" t="s">
        <v>1222</v>
      </c>
      <c r="AC2" s="1003" t="s">
        <v>1223</v>
      </c>
      <c r="AD2" s="1014" t="s">
        <v>1223</v>
      </c>
      <c r="AF2" s="1005" t="s">
        <v>1219</v>
      </c>
      <c r="AH2" s="1004" t="s">
        <v>1224</v>
      </c>
      <c r="AI2" s="1004" t="s">
        <v>1224</v>
      </c>
      <c r="AK2" s="1004" t="s">
        <v>1225</v>
      </c>
      <c r="AM2" s="1004" t="s">
        <v>1226</v>
      </c>
      <c r="AP2" s="1015" t="s">
        <v>1220</v>
      </c>
      <c r="AQ2" s="1016" t="s">
        <v>1220</v>
      </c>
      <c r="AS2" s="1003" t="s">
        <v>1227</v>
      </c>
      <c r="AU2" s="1045" t="s">
        <v>1228</v>
      </c>
      <c r="AW2" s="1045" t="s">
        <v>1229</v>
      </c>
      <c r="AX2" s="1045" t="s">
        <v>1229</v>
      </c>
      <c r="AZ2" s="1045" t="s">
        <v>53</v>
      </c>
      <c r="BB2" s="1045" t="s">
        <v>1230</v>
      </c>
      <c r="BC2" s="1045" t="s">
        <v>1231</v>
      </c>
      <c r="BE2" s="1045">
        <v>2000</v>
      </c>
      <c r="BF2" s="1045" t="s">
        <v>1232</v>
      </c>
    </row>
    <row r="3" spans="1:79" ht="11.25" customHeight="1">
      <c r="A3" s="1002" t="s">
        <v>1233</v>
      </c>
      <c r="B3" s="1003">
        <v>2001</v>
      </c>
      <c r="C3" s="1003">
        <v>2023</v>
      </c>
      <c r="D3" s="1003" t="s">
        <v>19</v>
      </c>
      <c r="E3" s="1004" t="s">
        <v>1234</v>
      </c>
      <c r="F3" s="1004" t="s">
        <v>35</v>
      </c>
      <c r="G3" s="1004" t="s">
        <v>1235</v>
      </c>
      <c r="H3" s="1005" t="s">
        <v>1236</v>
      </c>
      <c r="I3" s="1004" t="s">
        <v>110</v>
      </c>
      <c r="J3" s="1004" t="s">
        <v>555</v>
      </c>
      <c r="K3" s="1006" t="s">
        <v>1237</v>
      </c>
      <c r="L3" s="1007">
        <f>IFERROR(MATCH(K3,OFFER_METHOD,0),0)</f>
        <v>0</v>
      </c>
      <c r="M3" s="1006">
        <v>2</v>
      </c>
      <c r="N3" s="1087" t="s">
        <v>1238</v>
      </c>
      <c r="O3" s="1005" t="s">
        <v>1239</v>
      </c>
      <c r="P3" s="1008" t="s">
        <v>1240</v>
      </c>
      <c r="Q3" s="1009" t="s">
        <v>1241</v>
      </c>
      <c r="R3" s="80" t="s">
        <v>1242</v>
      </c>
      <c r="S3" s="80" t="s">
        <v>1243</v>
      </c>
      <c r="T3" s="1010" t="s">
        <v>1244</v>
      </c>
      <c r="U3" s="1007" t="s">
        <v>1245</v>
      </c>
      <c r="V3" s="1011">
        <v>2</v>
      </c>
      <c r="W3" s="1012"/>
      <c r="X3" s="1012" t="s">
        <v>1246</v>
      </c>
      <c r="Y3" s="1003" t="s">
        <v>1221</v>
      </c>
      <c r="Z3" s="1013"/>
      <c r="AA3" s="1003" t="s">
        <v>1247</v>
      </c>
      <c r="AB3" s="1014" t="s">
        <v>1247</v>
      </c>
      <c r="AC3" s="1003" t="s">
        <v>1248</v>
      </c>
      <c r="AD3" s="1014" t="s">
        <v>1248</v>
      </c>
      <c r="AF3" s="1005" t="s">
        <v>1245</v>
      </c>
      <c r="AH3" s="1004" t="s">
        <v>1249</v>
      </c>
      <c r="AI3" s="1004" t="s">
        <v>1250</v>
      </c>
      <c r="AK3" s="1004" t="s">
        <v>1251</v>
      </c>
      <c r="AM3" s="1004" t="s">
        <v>1252</v>
      </c>
      <c r="AP3" s="1015" t="s">
        <v>1253</v>
      </c>
      <c r="AQ3" s="1016" t="s">
        <v>1253</v>
      </c>
      <c r="AS3" s="1003" t="s">
        <v>1254</v>
      </c>
      <c r="AU3" s="1045" t="s">
        <v>1255</v>
      </c>
      <c r="AW3" s="1045" t="s">
        <v>1256</v>
      </c>
      <c r="AX3" s="1045" t="s">
        <v>1256</v>
      </c>
      <c r="AZ3" s="1045" t="s">
        <v>1257</v>
      </c>
      <c r="BB3" s="1045" t="s">
        <v>1258</v>
      </c>
      <c r="BC3" s="1045" t="s">
        <v>1231</v>
      </c>
      <c r="BE3" s="1045">
        <v>2001</v>
      </c>
      <c r="BF3" s="1045" t="s">
        <v>1259</v>
      </c>
      <c r="BH3" s="995" t="s">
        <v>1260</v>
      </c>
      <c r="BJ3" s="995" t="s">
        <v>1261</v>
      </c>
      <c r="BL3" s="995" t="s">
        <v>1262</v>
      </c>
      <c r="BN3" s="995" t="s">
        <v>1263</v>
      </c>
      <c r="BR3" s="995" t="s">
        <v>1264</v>
      </c>
      <c r="BS3" s="1353"/>
      <c r="BT3" s="998"/>
      <c r="BU3" s="995" t="s">
        <v>1265</v>
      </c>
      <c r="BV3" s="998"/>
      <c r="BW3" s="1615"/>
      <c r="BX3" s="1617" t="s">
        <v>1266</v>
      </c>
      <c r="CA3" s="995" t="s">
        <v>1267</v>
      </c>
    </row>
    <row r="4" spans="1:79" ht="11.25" customHeight="1">
      <c r="A4" s="1002" t="s">
        <v>1268</v>
      </c>
      <c r="B4" s="1003">
        <v>2002</v>
      </c>
      <c r="C4" s="1003">
        <v>2024</v>
      </c>
      <c r="E4" s="1004" t="s">
        <v>1269</v>
      </c>
      <c r="F4" s="1004" t="s">
        <v>1270</v>
      </c>
      <c r="H4" s="1005" t="s">
        <v>1271</v>
      </c>
      <c r="I4" s="1004" t="s">
        <v>90</v>
      </c>
      <c r="J4" s="1004" t="s">
        <v>1272</v>
      </c>
      <c r="K4" s="1006" t="s">
        <v>1273</v>
      </c>
      <c r="L4" s="1007">
        <f>IFERROR(MATCH(K4,OFFER_METHOD,0),0)</f>
        <v>0</v>
      </c>
      <c r="M4" s="1006">
        <v>3</v>
      </c>
      <c r="N4" s="1087" t="s">
        <v>1274</v>
      </c>
      <c r="O4" s="1004" t="s">
        <v>1275</v>
      </c>
      <c r="Q4" s="1009" t="s">
        <v>1276</v>
      </c>
      <c r="R4" s="80" t="s">
        <v>1277</v>
      </c>
      <c r="S4" s="80" t="s">
        <v>1278</v>
      </c>
      <c r="T4" s="1010" t="s">
        <v>1279</v>
      </c>
      <c r="U4" s="1007" t="s">
        <v>1280</v>
      </c>
      <c r="V4" s="1011">
        <v>3</v>
      </c>
      <c r="W4" s="1012"/>
      <c r="X4" s="1012" t="s">
        <v>1281</v>
      </c>
      <c r="Y4" s="1003" t="s">
        <v>1221</v>
      </c>
      <c r="Z4" s="1018"/>
      <c r="AC4" s="1003" t="s">
        <v>1282</v>
      </c>
      <c r="AD4" s="1014" t="s">
        <v>1282</v>
      </c>
      <c r="AF4" s="1005" t="s">
        <v>1280</v>
      </c>
      <c r="AH4" s="1005" t="s">
        <v>1283</v>
      </c>
      <c r="AK4" s="1004" t="s">
        <v>1284</v>
      </c>
      <c r="AM4" s="1004" t="s">
        <v>1285</v>
      </c>
      <c r="AP4" s="1015" t="s">
        <v>1246</v>
      </c>
      <c r="AQ4" s="1016" t="s">
        <v>1246</v>
      </c>
      <c r="AS4" s="1003" t="s">
        <v>1286</v>
      </c>
      <c r="AU4" s="1045" t="s">
        <v>1287</v>
      </c>
      <c r="AW4" s="1045" t="s">
        <v>1288</v>
      </c>
      <c r="AX4" s="1045" t="s">
        <v>1288</v>
      </c>
      <c r="AZ4" s="1045" t="s">
        <v>1289</v>
      </c>
      <c r="BB4" s="1045" t="s">
        <v>1290</v>
      </c>
      <c r="BC4" s="1045" t="s">
        <v>1291</v>
      </c>
      <c r="BE4" s="1045">
        <v>2002</v>
      </c>
      <c r="BF4" s="1045" t="s">
        <v>1292</v>
      </c>
      <c r="BH4" s="996" t="s">
        <v>1293</v>
      </c>
      <c r="BJ4" s="996" t="s">
        <v>1293</v>
      </c>
      <c r="BL4" s="996" t="s">
        <v>1293</v>
      </c>
      <c r="BN4" s="996" t="s">
        <v>1293</v>
      </c>
      <c r="BQ4" s="1357" t="s">
        <v>1294</v>
      </c>
      <c r="BR4" s="1084" t="s">
        <v>1295</v>
      </c>
      <c r="BS4" s="210"/>
      <c r="BT4" s="1357" t="s">
        <v>1296</v>
      </c>
      <c r="BU4" s="1084" t="s">
        <v>1297</v>
      </c>
      <c r="BV4" s="998"/>
      <c r="BW4" s="1622" t="s">
        <v>1298</v>
      </c>
      <c r="BX4" s="1616" t="s">
        <v>1299</v>
      </c>
      <c r="BZ4" s="1357" t="s">
        <v>1300</v>
      </c>
      <c r="CA4" s="1084" t="s">
        <v>1301</v>
      </c>
    </row>
    <row r="5" spans="1:79" ht="11.25" customHeight="1">
      <c r="A5" s="1002" t="s">
        <v>1302</v>
      </c>
      <c r="B5" s="1003">
        <v>2003</v>
      </c>
      <c r="C5" s="1003">
        <v>2025</v>
      </c>
      <c r="E5" s="1004" t="s">
        <v>1303</v>
      </c>
      <c r="F5" s="1004" t="s">
        <v>1304</v>
      </c>
      <c r="H5" s="1005" t="s">
        <v>1305</v>
      </c>
      <c r="I5" s="1004" t="s">
        <v>91</v>
      </c>
      <c r="K5" s="1006" t="s">
        <v>1306</v>
      </c>
      <c r="L5" s="1007">
        <f>IFERROR(MATCH(K5,OFFER_METHOD,0),0)</f>
        <v>0</v>
      </c>
      <c r="M5" s="1006">
        <v>4</v>
      </c>
      <c r="N5" s="1019" t="s">
        <v>1307</v>
      </c>
      <c r="O5" s="1004" t="s">
        <v>1308</v>
      </c>
      <c r="Q5" s="1009" t="s">
        <v>1309</v>
      </c>
      <c r="R5" s="80" t="s">
        <v>1310</v>
      </c>
      <c r="T5" s="1005" t="s">
        <v>1311</v>
      </c>
      <c r="U5" s="1007" t="s">
        <v>1312</v>
      </c>
      <c r="V5" s="1011">
        <v>4</v>
      </c>
      <c r="W5" s="1012"/>
      <c r="X5" s="1012" t="s">
        <v>167</v>
      </c>
      <c r="Y5" s="1003" t="s">
        <v>1313</v>
      </c>
      <c r="Z5" s="1018">
        <v>1</v>
      </c>
      <c r="AF5" s="1005" t="s">
        <v>1314</v>
      </c>
      <c r="AH5" s="1004" t="s">
        <v>1315</v>
      </c>
      <c r="AK5" s="1004" t="s">
        <v>1316</v>
      </c>
      <c r="AM5" s="1004" t="s">
        <v>1317</v>
      </c>
      <c r="AP5" s="1015" t="s">
        <v>167</v>
      </c>
      <c r="AQ5" s="1016" t="s">
        <v>167</v>
      </c>
      <c r="AU5" s="1045" t="s">
        <v>1318</v>
      </c>
      <c r="AW5" s="1045" t="s">
        <v>1319</v>
      </c>
      <c r="AX5" s="1045" t="s">
        <v>1319</v>
      </c>
      <c r="AZ5" s="1045" t="s">
        <v>1320</v>
      </c>
      <c r="BB5" s="1045" t="s">
        <v>1321</v>
      </c>
      <c r="BC5" s="1045" t="s">
        <v>1322</v>
      </c>
      <c r="BE5" s="1045">
        <v>2003</v>
      </c>
      <c r="BF5" s="1045" t="s">
        <v>1323</v>
      </c>
      <c r="BH5" s="996" t="s">
        <v>1324</v>
      </c>
      <c r="BJ5" s="996" t="s">
        <v>1324</v>
      </c>
      <c r="BL5" s="996" t="s">
        <v>1324</v>
      </c>
      <c r="BN5" s="996" t="s">
        <v>1325</v>
      </c>
      <c r="BQ5" s="1206">
        <v>4213775</v>
      </c>
      <c r="BR5" s="996" t="s">
        <v>1220</v>
      </c>
      <c r="BS5" s="1354"/>
      <c r="BT5" s="1206">
        <v>64236871</v>
      </c>
      <c r="BU5" s="996" t="s">
        <v>228</v>
      </c>
      <c r="BV5" s="998"/>
      <c r="BW5" s="1620">
        <v>4213767</v>
      </c>
      <c r="BX5" s="1618" t="s">
        <v>1326</v>
      </c>
      <c r="BZ5" s="1206">
        <v>64237509</v>
      </c>
      <c r="CA5" s="1220" t="s">
        <v>1327</v>
      </c>
    </row>
    <row r="6" spans="1:79" ht="11.25" customHeight="1">
      <c r="A6" s="1002" t="s">
        <v>1328</v>
      </c>
      <c r="B6" s="1003">
        <v>2004</v>
      </c>
      <c r="C6" s="1003">
        <v>2026</v>
      </c>
      <c r="E6" s="1004" t="s">
        <v>1329</v>
      </c>
      <c r="F6" s="1020"/>
      <c r="H6" s="1005" t="s">
        <v>1330</v>
      </c>
      <c r="I6" s="1004" t="s">
        <v>111</v>
      </c>
      <c r="J6" s="995" t="s">
        <v>1331</v>
      </c>
      <c r="L6" s="1007">
        <f>SUM(kind_of_control_method_filter)</f>
        <v>0</v>
      </c>
      <c r="N6" s="1019" t="s">
        <v>1332</v>
      </c>
      <c r="O6" s="1004" t="s">
        <v>1333</v>
      </c>
      <c r="R6" s="80" t="s">
        <v>1215</v>
      </c>
      <c r="T6" s="1005" t="s">
        <v>1334</v>
      </c>
      <c r="U6" s="1007" t="s">
        <v>1314</v>
      </c>
      <c r="V6" s="1011">
        <v>5</v>
      </c>
      <c r="W6" s="1012"/>
      <c r="X6" s="1003" t="s">
        <v>173</v>
      </c>
      <c r="Y6" s="1003" t="s">
        <v>1335</v>
      </c>
      <c r="Z6" s="1018"/>
      <c r="AA6" s="1021"/>
      <c r="AH6" s="1004" t="s">
        <v>1336</v>
      </c>
      <c r="AK6" s="1004" t="s">
        <v>1337</v>
      </c>
      <c r="AM6" s="1004" t="s">
        <v>1338</v>
      </c>
      <c r="AP6" s="1015" t="s">
        <v>173</v>
      </c>
      <c r="AQ6" s="1016" t="s">
        <v>173</v>
      </c>
      <c r="AU6" s="1045" t="s">
        <v>1339</v>
      </c>
      <c r="AW6" s="1045" t="s">
        <v>1340</v>
      </c>
      <c r="AX6" s="1045" t="s">
        <v>1340</v>
      </c>
      <c r="BB6" s="1045" t="s">
        <v>1341</v>
      </c>
      <c r="BC6" s="1045" t="s">
        <v>1322</v>
      </c>
      <c r="BE6" s="1045">
        <v>2004</v>
      </c>
      <c r="BF6" s="1045" t="s">
        <v>1342</v>
      </c>
      <c r="BH6" s="996" t="s">
        <v>1343</v>
      </c>
      <c r="BJ6" s="996" t="s">
        <v>1344</v>
      </c>
      <c r="BL6" s="996" t="s">
        <v>1344</v>
      </c>
      <c r="BN6" s="996" t="s">
        <v>1345</v>
      </c>
      <c r="BQ6" s="1206">
        <v>4213784</v>
      </c>
      <c r="BR6" s="1220" t="s">
        <v>1253</v>
      </c>
      <c r="BS6" s="1355"/>
      <c r="BT6" s="1206">
        <v>64236872</v>
      </c>
      <c r="BU6" s="996" t="s">
        <v>233</v>
      </c>
      <c r="BV6" s="998"/>
      <c r="BW6" s="1620">
        <v>4213768</v>
      </c>
      <c r="BX6" s="1618" t="s">
        <v>253</v>
      </c>
      <c r="BZ6" s="1206">
        <v>64237510</v>
      </c>
      <c r="CA6" s="996" t="s">
        <v>1346</v>
      </c>
    </row>
    <row r="7" spans="1:79" ht="11.25" customHeight="1">
      <c r="A7" s="1002" t="s">
        <v>1347</v>
      </c>
      <c r="B7" s="1003">
        <v>2005</v>
      </c>
      <c r="E7" s="1004" t="s">
        <v>1348</v>
      </c>
      <c r="F7" s="1020"/>
      <c r="H7" s="1005" t="s">
        <v>1349</v>
      </c>
      <c r="I7" s="1004" t="s">
        <v>92</v>
      </c>
      <c r="J7" s="1004" t="s">
        <v>1350</v>
      </c>
      <c r="N7" s="1023" t="s">
        <v>1351</v>
      </c>
      <c r="O7" s="1004" t="s">
        <v>1352</v>
      </c>
      <c r="U7" s="1007" t="s">
        <v>19</v>
      </c>
      <c r="V7" s="305" t="s">
        <v>92</v>
      </c>
      <c r="W7" s="1012"/>
      <c r="X7" s="1003" t="s">
        <v>179</v>
      </c>
      <c r="Y7" s="1003" t="s">
        <v>1313</v>
      </c>
      <c r="Z7" s="1018"/>
      <c r="AA7" s="1021"/>
      <c r="AH7" s="1004" t="s">
        <v>1353</v>
      </c>
      <c r="AK7" s="1004" t="s">
        <v>1354</v>
      </c>
      <c r="AM7" s="1004" t="s">
        <v>1355</v>
      </c>
      <c r="AP7" s="1015" t="s">
        <v>179</v>
      </c>
      <c r="AQ7" s="1016" t="s">
        <v>179</v>
      </c>
      <c r="AU7" s="1045" t="s">
        <v>1356</v>
      </c>
      <c r="AW7" s="1045" t="s">
        <v>1357</v>
      </c>
      <c r="AX7" s="1045" t="s">
        <v>1357</v>
      </c>
      <c r="AZ7" s="995" t="s">
        <v>1358</v>
      </c>
      <c r="BB7" s="1045" t="s">
        <v>1359</v>
      </c>
      <c r="BC7" s="1045" t="s">
        <v>1322</v>
      </c>
      <c r="BE7" s="1045">
        <v>2005</v>
      </c>
      <c r="BF7" s="1045" t="s">
        <v>1360</v>
      </c>
      <c r="BH7" s="996" t="s">
        <v>1361</v>
      </c>
      <c r="BJ7" s="996" t="s">
        <v>1343</v>
      </c>
      <c r="BL7" s="996" t="s">
        <v>1343</v>
      </c>
      <c r="BN7" s="996" t="s">
        <v>1362</v>
      </c>
      <c r="BQ7" s="1206">
        <v>4213781</v>
      </c>
      <c r="BR7" s="996" t="s">
        <v>1246</v>
      </c>
      <c r="BS7" s="1354"/>
      <c r="BT7" s="1206">
        <v>64236873</v>
      </c>
      <c r="BU7" s="996" t="s">
        <v>238</v>
      </c>
      <c r="BV7" s="998"/>
      <c r="BW7" s="1620">
        <v>4213769</v>
      </c>
      <c r="BX7" s="1618" t="s">
        <v>1363</v>
      </c>
      <c r="BZ7" s="1206">
        <v>64237511</v>
      </c>
      <c r="CA7" s="996" t="s">
        <v>268</v>
      </c>
    </row>
    <row r="8" spans="1:79" ht="11.25" customHeight="1">
      <c r="A8" s="1002" t="s">
        <v>1364</v>
      </c>
      <c r="B8" s="1003">
        <v>2006</v>
      </c>
      <c r="E8" s="1004" t="s">
        <v>1365</v>
      </c>
      <c r="F8" s="1020"/>
      <c r="H8" s="1005" t="s">
        <v>1366</v>
      </c>
      <c r="I8" s="1004" t="s">
        <v>93</v>
      </c>
      <c r="J8" s="1004" t="s">
        <v>1367</v>
      </c>
      <c r="N8" s="1088" t="s">
        <v>1368</v>
      </c>
      <c r="O8" s="1004" t="s">
        <v>1369</v>
      </c>
      <c r="V8" s="305" t="s">
        <v>93</v>
      </c>
      <c r="W8" s="1012"/>
      <c r="X8" s="1003" t="s">
        <v>185</v>
      </c>
      <c r="Y8" s="1003" t="s">
        <v>1313</v>
      </c>
      <c r="Z8" s="1018"/>
      <c r="AA8" s="1021"/>
      <c r="AK8" s="1004" t="s">
        <v>1370</v>
      </c>
      <c r="AP8" s="1015" t="s">
        <v>185</v>
      </c>
      <c r="AQ8" s="1016" t="s">
        <v>185</v>
      </c>
      <c r="AU8" s="1045" t="s">
        <v>1371</v>
      </c>
      <c r="AW8" s="1045" t="s">
        <v>1372</v>
      </c>
      <c r="AX8" s="1045" t="s">
        <v>1372</v>
      </c>
      <c r="AZ8" s="1045" t="s">
        <v>1373</v>
      </c>
      <c r="BB8" s="1045" t="s">
        <v>1374</v>
      </c>
      <c r="BC8" s="1045" t="s">
        <v>1322</v>
      </c>
      <c r="BE8" s="1045">
        <v>2006</v>
      </c>
      <c r="BF8" s="1045" t="s">
        <v>1375</v>
      </c>
      <c r="BH8" s="996" t="s">
        <v>1376</v>
      </c>
      <c r="BJ8" s="996" t="s">
        <v>1377</v>
      </c>
      <c r="BL8" s="996" t="s">
        <v>1377</v>
      </c>
      <c r="BN8" s="996" t="s">
        <v>1378</v>
      </c>
      <c r="BQ8" s="1206">
        <v>4213776</v>
      </c>
      <c r="BR8" s="996" t="s">
        <v>167</v>
      </c>
      <c r="BS8" s="1354"/>
      <c r="BT8" s="1206">
        <v>64236874</v>
      </c>
      <c r="BU8" s="1220" t="s">
        <v>1379</v>
      </c>
      <c r="BV8" s="998"/>
      <c r="BW8" s="1620">
        <v>4213770</v>
      </c>
      <c r="BX8" s="1621" t="s">
        <v>1380</v>
      </c>
      <c r="BZ8" s="1206">
        <v>64237512</v>
      </c>
      <c r="CA8" s="996" t="s">
        <v>263</v>
      </c>
    </row>
    <row r="9" spans="1:79" ht="11.25" customHeight="1">
      <c r="A9" s="1002" t="s">
        <v>1381</v>
      </c>
      <c r="B9" s="1003">
        <v>2007</v>
      </c>
      <c r="E9" s="1004" t="s">
        <v>1382</v>
      </c>
      <c r="F9" s="1020"/>
      <c r="G9" s="995" t="s">
        <v>1383</v>
      </c>
      <c r="H9" s="995" t="s">
        <v>1384</v>
      </c>
      <c r="I9" s="1004" t="s">
        <v>112</v>
      </c>
      <c r="O9" s="1004" t="s">
        <v>1385</v>
      </c>
      <c r="V9" s="305" t="s">
        <v>112</v>
      </c>
      <c r="W9" s="1012"/>
      <c r="X9" s="1003" t="s">
        <v>191</v>
      </c>
      <c r="Y9" s="1003" t="s">
        <v>1221</v>
      </c>
      <c r="Z9" s="1018">
        <v>1</v>
      </c>
      <c r="AA9" s="1021"/>
      <c r="AK9" s="1004" t="s">
        <v>1386</v>
      </c>
      <c r="AP9" s="1015" t="s">
        <v>1387</v>
      </c>
      <c r="AQ9" s="1016" t="s">
        <v>1387</v>
      </c>
      <c r="AW9" s="1045" t="s">
        <v>1388</v>
      </c>
      <c r="AX9" s="1045" t="s">
        <v>1388</v>
      </c>
      <c r="AZ9" s="1045" t="s">
        <v>1389</v>
      </c>
      <c r="BB9" s="1045" t="s">
        <v>1390</v>
      </c>
      <c r="BC9" s="1045" t="s">
        <v>1322</v>
      </c>
      <c r="BE9" s="1045">
        <v>2007</v>
      </c>
      <c r="BF9" s="1045" t="s">
        <v>1391</v>
      </c>
      <c r="BH9" s="996" t="s">
        <v>1392</v>
      </c>
      <c r="BJ9" s="996" t="s">
        <v>1393</v>
      </c>
      <c r="BL9" s="996" t="s">
        <v>1393</v>
      </c>
      <c r="BN9" s="996" t="s">
        <v>1394</v>
      </c>
      <c r="BQ9" s="1206">
        <v>4213777</v>
      </c>
      <c r="BR9" s="996" t="s">
        <v>173</v>
      </c>
      <c r="BS9" s="1354"/>
      <c r="BT9" s="1206">
        <v>64236875</v>
      </c>
      <c r="BU9" s="996" t="s">
        <v>243</v>
      </c>
      <c r="BV9" s="998"/>
      <c r="BW9" s="1615"/>
      <c r="BX9" s="1615"/>
    </row>
    <row r="10" spans="1:79" ht="11.25" customHeight="1">
      <c r="A10" s="1002" t="s">
        <v>1395</v>
      </c>
      <c r="B10" s="1003">
        <v>2008</v>
      </c>
      <c r="E10" s="1004" t="s">
        <v>1396</v>
      </c>
      <c r="F10" s="1020"/>
      <c r="G10" s="1004" t="s">
        <v>1397</v>
      </c>
      <c r="H10" s="1004" t="s">
        <v>1398</v>
      </c>
      <c r="I10" s="1004" t="s">
        <v>149</v>
      </c>
      <c r="J10" s="995" t="s">
        <v>1399</v>
      </c>
      <c r="K10" s="995" t="s">
        <v>1400</v>
      </c>
      <c r="O10" s="1004" t="s">
        <v>1401</v>
      </c>
      <c r="V10" s="306" t="s">
        <v>149</v>
      </c>
      <c r="W10" s="1024"/>
      <c r="X10" s="1024" t="s">
        <v>1402</v>
      </c>
      <c r="Y10" s="1025" t="s">
        <v>1403</v>
      </c>
      <c r="Z10" s="1018"/>
      <c r="AP10" s="1015" t="s">
        <v>1402</v>
      </c>
      <c r="AQ10" s="1016" t="s">
        <v>1402</v>
      </c>
      <c r="AW10" s="1045" t="s">
        <v>1404</v>
      </c>
      <c r="AX10" s="1045" t="s">
        <v>1404</v>
      </c>
      <c r="AZ10" s="1045" t="s">
        <v>1405</v>
      </c>
      <c r="BB10" s="1045" t="s">
        <v>1406</v>
      </c>
      <c r="BC10" s="1045" t="s">
        <v>1322</v>
      </c>
      <c r="BE10" s="1045">
        <v>2008</v>
      </c>
      <c r="BF10" s="1045" t="s">
        <v>1407</v>
      </c>
      <c r="BH10" s="996" t="s">
        <v>1408</v>
      </c>
      <c r="BJ10" s="996" t="s">
        <v>1409</v>
      </c>
      <c r="BL10" s="996" t="s">
        <v>1409</v>
      </c>
      <c r="BN10" s="996" t="s">
        <v>1410</v>
      </c>
      <c r="BQ10" s="1206">
        <v>4213778</v>
      </c>
      <c r="BR10" s="996" t="s">
        <v>179</v>
      </c>
      <c r="BS10" s="1354"/>
      <c r="BT10" s="1206">
        <v>64236876</v>
      </c>
      <c r="BU10" s="996" t="s">
        <v>223</v>
      </c>
      <c r="BV10" s="998"/>
      <c r="BW10" s="1615"/>
      <c r="BX10" s="1615"/>
    </row>
    <row r="11" spans="1:79" ht="11.25" customHeight="1">
      <c r="A11" s="1002" t="s">
        <v>1411</v>
      </c>
      <c r="B11" s="1003">
        <v>2009</v>
      </c>
      <c r="E11" s="1004" t="s">
        <v>1412</v>
      </c>
      <c r="F11" s="1020"/>
      <c r="G11" s="1004" t="s">
        <v>1413</v>
      </c>
      <c r="H11" s="1004" t="s">
        <v>1414</v>
      </c>
      <c r="I11" s="1004" t="s">
        <v>150</v>
      </c>
      <c r="J11" s="1005" t="s">
        <v>1415</v>
      </c>
      <c r="K11" s="1026" t="s">
        <v>1416</v>
      </c>
      <c r="O11" s="1005" t="s">
        <v>1417</v>
      </c>
      <c r="V11" s="305" t="s">
        <v>150</v>
      </c>
      <c r="W11" s="211"/>
      <c r="X11" s="1012" t="s">
        <v>1387</v>
      </c>
      <c r="Y11" s="1003" t="s">
        <v>1418</v>
      </c>
      <c r="Z11" s="1018"/>
      <c r="AP11" s="1015" t="s">
        <v>191</v>
      </c>
      <c r="AQ11" s="1017" t="s">
        <v>191</v>
      </c>
      <c r="AW11" s="1045" t="s">
        <v>1419</v>
      </c>
      <c r="AX11" s="1045" t="s">
        <v>1419</v>
      </c>
      <c r="AZ11" s="1045" t="s">
        <v>1420</v>
      </c>
      <c r="BB11" s="1045" t="s">
        <v>1421</v>
      </c>
      <c r="BC11" s="1045" t="s">
        <v>1322</v>
      </c>
      <c r="BE11" s="1045">
        <v>2009</v>
      </c>
      <c r="BF11" s="1045" t="s">
        <v>1422</v>
      </c>
      <c r="BH11" s="996" t="s">
        <v>1423</v>
      </c>
      <c r="BJ11" s="996" t="s">
        <v>1392</v>
      </c>
      <c r="BL11" s="996" t="s">
        <v>1392</v>
      </c>
      <c r="BN11" s="996" t="s">
        <v>1424</v>
      </c>
      <c r="BQ11" s="1206">
        <v>4213780</v>
      </c>
      <c r="BR11" s="996" t="s">
        <v>185</v>
      </c>
      <c r="BS11" s="1354"/>
      <c r="BW11" s="1615"/>
      <c r="BX11" s="1615"/>
    </row>
    <row r="12" spans="1:79" ht="11.25" customHeight="1">
      <c r="A12" s="1002" t="s">
        <v>1425</v>
      </c>
      <c r="B12" s="1003">
        <v>2010</v>
      </c>
      <c r="E12" s="1004" t="s">
        <v>1426</v>
      </c>
      <c r="F12" s="1020"/>
      <c r="G12" s="1004" t="s">
        <v>1414</v>
      </c>
      <c r="I12" s="1004" t="s">
        <v>151</v>
      </c>
      <c r="J12" s="1005" t="s">
        <v>1427</v>
      </c>
      <c r="K12" s="1026" t="s">
        <v>1428</v>
      </c>
      <c r="O12" s="1005" t="s">
        <v>1215</v>
      </c>
      <c r="V12" s="305" t="s">
        <v>151</v>
      </c>
      <c r="W12" s="1017"/>
      <c r="X12" s="1012" t="s">
        <v>1429</v>
      </c>
      <c r="Y12" s="1003" t="s">
        <v>1221</v>
      </c>
      <c r="AP12" s="1015"/>
      <c r="AW12" s="1045" t="s">
        <v>150</v>
      </c>
      <c r="AX12" s="1045" t="s">
        <v>150</v>
      </c>
      <c r="AZ12" s="1045" t="s">
        <v>1430</v>
      </c>
      <c r="BB12" s="1045" t="s">
        <v>1431</v>
      </c>
      <c r="BC12" s="1045" t="s">
        <v>1322</v>
      </c>
      <c r="BE12" s="1045">
        <v>2010</v>
      </c>
      <c r="BF12" s="1045" t="s">
        <v>1432</v>
      </c>
      <c r="BH12" s="996" t="s">
        <v>1433</v>
      </c>
      <c r="BJ12" s="996" t="s">
        <v>1434</v>
      </c>
      <c r="BL12" s="996" t="s">
        <v>1434</v>
      </c>
      <c r="BN12" s="996" t="s">
        <v>1435</v>
      </c>
      <c r="BQ12" s="1206">
        <v>4213779</v>
      </c>
      <c r="BR12" s="996" t="s">
        <v>1387</v>
      </c>
      <c r="BS12" s="1354"/>
      <c r="BT12" s="998"/>
      <c r="BU12" s="998"/>
      <c r="BV12" s="998"/>
      <c r="BW12" s="1615"/>
      <c r="BX12" s="1615"/>
    </row>
    <row r="13" spans="1:79" ht="11.25" customHeight="1">
      <c r="A13" s="1002" t="s">
        <v>1436</v>
      </c>
      <c r="B13" s="1003">
        <v>2011</v>
      </c>
      <c r="E13" s="1004" t="s">
        <v>1437</v>
      </c>
      <c r="F13" s="1020"/>
      <c r="I13" s="1004" t="s">
        <v>152</v>
      </c>
      <c r="K13" s="1026" t="s">
        <v>1386</v>
      </c>
      <c r="V13" s="305" t="s">
        <v>152</v>
      </c>
      <c r="W13" s="1017"/>
      <c r="X13" s="1017"/>
      <c r="Y13" s="1017"/>
      <c r="AW13" s="1045" t="s">
        <v>151</v>
      </c>
      <c r="AX13" s="1045" t="s">
        <v>151</v>
      </c>
      <c r="BB13" s="1045" t="s">
        <v>1438</v>
      </c>
      <c r="BC13" s="1045" t="s">
        <v>1439</v>
      </c>
      <c r="BE13" s="1045">
        <v>2011</v>
      </c>
      <c r="BF13" s="1045" t="s">
        <v>1440</v>
      </c>
      <c r="BH13" s="996" t="s">
        <v>1441</v>
      </c>
      <c r="BJ13" s="996" t="s">
        <v>1423</v>
      </c>
      <c r="BL13" s="996" t="s">
        <v>1423</v>
      </c>
      <c r="BN13" s="996" t="s">
        <v>1442</v>
      </c>
      <c r="BQ13" s="1206">
        <v>4213783</v>
      </c>
      <c r="BR13" s="996" t="s">
        <v>1402</v>
      </c>
      <c r="BS13" s="1354"/>
      <c r="BT13" s="998"/>
      <c r="BU13" s="998"/>
      <c r="BV13" s="998"/>
      <c r="BW13" s="1619"/>
      <c r="BX13" s="1615"/>
    </row>
    <row r="14" spans="1:79" ht="11.25" customHeight="1">
      <c r="A14" s="1002" t="s">
        <v>1443</v>
      </c>
      <c r="B14" s="1003">
        <v>2012</v>
      </c>
      <c r="I14" s="1004" t="s">
        <v>153</v>
      </c>
      <c r="J14" s="995" t="s">
        <v>1444</v>
      </c>
      <c r="N14" s="995" t="s">
        <v>1445</v>
      </c>
      <c r="V14" s="1011">
        <v>13</v>
      </c>
      <c r="W14" s="1012"/>
      <c r="X14" s="1012" t="s">
        <v>1253</v>
      </c>
      <c r="Y14" s="1003" t="s">
        <v>1221</v>
      </c>
      <c r="AW14" s="1045" t="s">
        <v>152</v>
      </c>
      <c r="AX14" s="1045" t="s">
        <v>152</v>
      </c>
      <c r="AZ14" s="995" t="s">
        <v>1446</v>
      </c>
      <c r="BB14" s="1045" t="s">
        <v>1447</v>
      </c>
      <c r="BC14" s="1045" t="s">
        <v>1439</v>
      </c>
      <c r="BE14" s="1045">
        <v>2012</v>
      </c>
      <c r="BH14" s="996" t="s">
        <v>1362</v>
      </c>
      <c r="BJ14" s="1142" t="s">
        <v>1448</v>
      </c>
      <c r="BL14" s="1142" t="s">
        <v>1448</v>
      </c>
      <c r="BN14" s="996" t="s">
        <v>1449</v>
      </c>
      <c r="BQ14" s="1206">
        <v>4213782</v>
      </c>
      <c r="BR14" s="996" t="s">
        <v>191</v>
      </c>
      <c r="BS14" s="1354"/>
      <c r="BT14" s="998"/>
      <c r="BU14" s="998"/>
      <c r="BV14" s="998"/>
      <c r="BW14" s="1619"/>
      <c r="BX14" s="1615"/>
    </row>
    <row r="15" spans="1:79" ht="19.5" customHeight="1">
      <c r="A15" s="1002" t="s">
        <v>1450</v>
      </c>
      <c r="B15" s="1003">
        <v>2013</v>
      </c>
      <c r="E15" s="1623" t="s">
        <v>1451</v>
      </c>
      <c r="G15" s="995" t="s">
        <v>1452</v>
      </c>
      <c r="H15" s="995" t="s">
        <v>1453</v>
      </c>
      <c r="I15" s="1006" t="s">
        <v>154</v>
      </c>
      <c r="J15" s="1017" t="s">
        <v>582</v>
      </c>
      <c r="N15" s="1083" t="s">
        <v>1454</v>
      </c>
      <c r="X15" s="1015"/>
      <c r="AW15" s="1045" t="s">
        <v>153</v>
      </c>
      <c r="AX15" s="1045" t="s">
        <v>153</v>
      </c>
      <c r="AZ15" s="1045" t="s">
        <v>1373</v>
      </c>
      <c r="BB15" s="1045" t="s">
        <v>1455</v>
      </c>
      <c r="BC15" s="1045" t="s">
        <v>1439</v>
      </c>
      <c r="BE15" s="1045">
        <v>2013</v>
      </c>
      <c r="BH15" s="996" t="s">
        <v>1378</v>
      </c>
      <c r="BJ15" s="1142" t="s">
        <v>1456</v>
      </c>
      <c r="BL15" s="1142" t="s">
        <v>1456</v>
      </c>
      <c r="BN15" s="996" t="s">
        <v>1457</v>
      </c>
      <c r="BR15" s="998"/>
      <c r="BS15" s="1356"/>
      <c r="BT15" s="998"/>
      <c r="BU15" s="998"/>
      <c r="BV15" s="998"/>
      <c r="BW15" s="1619"/>
      <c r="BX15" s="1615"/>
    </row>
    <row r="16" spans="1:79" ht="21" customHeight="1">
      <c r="A16" s="1794" t="s">
        <v>1458</v>
      </c>
      <c r="B16" s="1003">
        <v>2014</v>
      </c>
      <c r="E16" s="1624" t="s">
        <v>1459</v>
      </c>
      <c r="G16" s="1004" t="s">
        <v>1460</v>
      </c>
      <c r="H16" s="1004" t="s">
        <v>1461</v>
      </c>
      <c r="I16" s="1006" t="s">
        <v>1462</v>
      </c>
      <c r="J16" s="1017" t="s">
        <v>555</v>
      </c>
      <c r="N16" s="1083" t="s">
        <v>1463</v>
      </c>
      <c r="AW16" s="1045" t="s">
        <v>154</v>
      </c>
      <c r="AX16" s="1045" t="s">
        <v>154</v>
      </c>
      <c r="AZ16" s="1045" t="s">
        <v>1389</v>
      </c>
      <c r="BB16" s="1045" t="s">
        <v>1464</v>
      </c>
      <c r="BC16" s="1045" t="s">
        <v>1439</v>
      </c>
      <c r="BE16" s="1045">
        <v>2014</v>
      </c>
      <c r="BH16" s="996" t="s">
        <v>1394</v>
      </c>
      <c r="BJ16" s="1142" t="s">
        <v>1465</v>
      </c>
      <c r="BL16" s="1142" t="s">
        <v>1465</v>
      </c>
      <c r="BN16" s="996" t="s">
        <v>1466</v>
      </c>
      <c r="BR16" s="998"/>
      <c r="BS16" s="1356"/>
      <c r="BT16" s="998"/>
      <c r="BU16" s="998"/>
      <c r="BV16" s="998"/>
      <c r="BW16" s="1619"/>
      <c r="BX16" s="1615"/>
    </row>
    <row r="17" spans="1:82" ht="21" customHeight="1">
      <c r="A17" s="1002" t="s">
        <v>1467</v>
      </c>
      <c r="B17" s="1003">
        <v>2015</v>
      </c>
      <c r="G17" s="1004" t="s">
        <v>1414</v>
      </c>
      <c r="H17" s="1004" t="s">
        <v>1414</v>
      </c>
      <c r="I17" s="1004" t="s">
        <v>1468</v>
      </c>
      <c r="N17" s="1083" t="s">
        <v>1469</v>
      </c>
      <c r="X17" s="1015"/>
      <c r="AW17" s="1045" t="s">
        <v>1462</v>
      </c>
      <c r="AX17" s="1045" t="s">
        <v>1462</v>
      </c>
      <c r="AZ17" s="1045" t="s">
        <v>1470</v>
      </c>
      <c r="BB17" s="1045" t="s">
        <v>1471</v>
      </c>
      <c r="BC17" s="1045" t="s">
        <v>1322</v>
      </c>
      <c r="BE17" s="1045">
        <v>2015</v>
      </c>
      <c r="BH17" s="996" t="s">
        <v>1410</v>
      </c>
      <c r="BJ17" s="1142" t="s">
        <v>1472</v>
      </c>
      <c r="BL17" s="1142" t="s">
        <v>1472</v>
      </c>
      <c r="BN17" s="996" t="s">
        <v>1473</v>
      </c>
      <c r="BR17" s="995" t="s">
        <v>1264</v>
      </c>
      <c r="BS17" s="1353"/>
      <c r="BU17" s="995" t="s">
        <v>1474</v>
      </c>
      <c r="BV17" s="998"/>
      <c r="BW17" s="1615"/>
      <c r="BX17" s="1617" t="s">
        <v>1475</v>
      </c>
      <c r="CA17" s="995" t="s">
        <v>1476</v>
      </c>
      <c r="CD17" s="995" t="s">
        <v>1477</v>
      </c>
    </row>
    <row r="18" spans="1:82" ht="21" customHeight="1">
      <c r="A18" s="1002" t="s">
        <v>1478</v>
      </c>
      <c r="B18" s="1003">
        <v>2016</v>
      </c>
      <c r="E18" s="1926" t="s">
        <v>1479</v>
      </c>
      <c r="I18" s="1004" t="s">
        <v>1480</v>
      </c>
      <c r="N18" s="1083" t="s">
        <v>1481</v>
      </c>
      <c r="X18" s="1015"/>
      <c r="AW18" s="1045" t="s">
        <v>1468</v>
      </c>
      <c r="AX18" s="1045" t="s">
        <v>1468</v>
      </c>
      <c r="BB18" s="1045" t="s">
        <v>1482</v>
      </c>
      <c r="BC18" s="1045" t="s">
        <v>1322</v>
      </c>
      <c r="BE18" s="1045">
        <v>2016</v>
      </c>
      <c r="BH18" s="996" t="s">
        <v>1424</v>
      </c>
      <c r="BJ18" s="1142" t="s">
        <v>1483</v>
      </c>
      <c r="BL18" s="1142" t="s">
        <v>1483</v>
      </c>
      <c r="BN18" s="996" t="s">
        <v>1484</v>
      </c>
      <c r="BQ18" s="1357" t="s">
        <v>1294</v>
      </c>
      <c r="BR18" s="1084" t="s">
        <v>1295</v>
      </c>
      <c r="BS18" s="210"/>
      <c r="BT18" s="1357" t="s">
        <v>1485</v>
      </c>
      <c r="BU18" s="1084" t="s">
        <v>1486</v>
      </c>
      <c r="BV18" s="998"/>
      <c r="BW18" s="1622" t="s">
        <v>1487</v>
      </c>
      <c r="BX18" s="1616" t="s">
        <v>1488</v>
      </c>
      <c r="BZ18" s="1357" t="s">
        <v>1489</v>
      </c>
      <c r="CA18" s="1084" t="s">
        <v>1490</v>
      </c>
      <c r="CC18" s="1357" t="s">
        <v>1491</v>
      </c>
      <c r="CD18" s="1084" t="s">
        <v>1492</v>
      </c>
    </row>
    <row r="19" spans="1:82" ht="21" customHeight="1">
      <c r="A19" s="1794" t="s">
        <v>1493</v>
      </c>
      <c r="B19" s="1003">
        <v>2017</v>
      </c>
      <c r="E19" s="1002" t="s">
        <v>166</v>
      </c>
      <c r="I19" s="1004" t="s">
        <v>1494</v>
      </c>
      <c r="N19" s="1083" t="s">
        <v>1495</v>
      </c>
      <c r="X19" s="1015"/>
      <c r="AW19" s="1045" t="s">
        <v>1480</v>
      </c>
      <c r="AX19" s="1045" t="s">
        <v>1480</v>
      </c>
      <c r="AZ19" s="995" t="s">
        <v>1496</v>
      </c>
      <c r="BB19" s="1045" t="s">
        <v>1497</v>
      </c>
      <c r="BC19" s="1045" t="s">
        <v>1322</v>
      </c>
      <c r="BE19" s="1045">
        <v>2017</v>
      </c>
      <c r="BH19" s="996" t="s">
        <v>1498</v>
      </c>
      <c r="BJ19" s="1142" t="s">
        <v>1499</v>
      </c>
      <c r="BL19" s="1142" t="s">
        <v>1499</v>
      </c>
      <c r="BQ19" s="1206">
        <v>4190064</v>
      </c>
      <c r="BR19" s="996" t="s">
        <v>1500</v>
      </c>
      <c r="BS19" s="1354"/>
      <c r="BT19" s="1206">
        <v>4189671</v>
      </c>
      <c r="BU19" s="996" t="s">
        <v>1501</v>
      </c>
      <c r="BV19" s="998"/>
      <c r="BW19" s="1620">
        <v>4189706</v>
      </c>
      <c r="BX19" s="1618" t="s">
        <v>1502</v>
      </c>
      <c r="BZ19" s="1206">
        <v>4189714</v>
      </c>
      <c r="CA19" s="996" t="s">
        <v>1503</v>
      </c>
      <c r="CC19" s="1206">
        <v>4189708</v>
      </c>
      <c r="CD19" s="996" t="s">
        <v>1504</v>
      </c>
    </row>
    <row r="20" spans="1:82" ht="21" customHeight="1">
      <c r="A20" s="1002" t="s">
        <v>1505</v>
      </c>
      <c r="B20" s="1003">
        <v>2018</v>
      </c>
      <c r="E20" s="1002" t="s">
        <v>1253</v>
      </c>
      <c r="I20" s="1004" t="s">
        <v>1506</v>
      </c>
      <c r="N20" s="1083" t="s">
        <v>1507</v>
      </c>
      <c r="AW20" s="1045" t="s">
        <v>1494</v>
      </c>
      <c r="AX20" s="1045" t="s">
        <v>1494</v>
      </c>
      <c r="AZ20" s="1045" t="s">
        <v>1508</v>
      </c>
      <c r="BB20" s="1045" t="s">
        <v>1509</v>
      </c>
      <c r="BC20" s="1045" t="s">
        <v>1439</v>
      </c>
      <c r="BE20" s="1045">
        <v>2018</v>
      </c>
      <c r="BH20" s="996" t="s">
        <v>1435</v>
      </c>
      <c r="BJ20" s="996" t="s">
        <v>1362</v>
      </c>
      <c r="BL20" s="996" t="s">
        <v>1362</v>
      </c>
      <c r="BQ20" s="1206">
        <v>4190065</v>
      </c>
      <c r="BR20" s="996" t="s">
        <v>1510</v>
      </c>
      <c r="BS20" s="1354"/>
      <c r="BT20" s="1206">
        <v>4189672</v>
      </c>
      <c r="BU20" s="996" t="s">
        <v>1511</v>
      </c>
      <c r="BV20" s="998"/>
      <c r="BW20" s="1620">
        <v>4189705</v>
      </c>
      <c r="BX20" s="1618" t="s">
        <v>1512</v>
      </c>
      <c r="BZ20" s="1206">
        <v>4189713</v>
      </c>
      <c r="CA20" s="996" t="s">
        <v>1512</v>
      </c>
      <c r="CC20" s="1206">
        <v>4189709</v>
      </c>
      <c r="CD20" s="996" t="s">
        <v>1513</v>
      </c>
    </row>
    <row r="21" spans="1:82" ht="21" customHeight="1">
      <c r="A21" s="1002" t="s">
        <v>1514</v>
      </c>
      <c r="B21" s="1003">
        <v>2019</v>
      </c>
      <c r="I21" s="1004" t="s">
        <v>1515</v>
      </c>
      <c r="N21" s="1083" t="s">
        <v>1516</v>
      </c>
      <c r="AW21" s="1045" t="s">
        <v>1506</v>
      </c>
      <c r="AX21" s="1045" t="s">
        <v>1506</v>
      </c>
      <c r="AZ21" s="1045" t="s">
        <v>1517</v>
      </c>
      <c r="BB21" s="1045" t="s">
        <v>1518</v>
      </c>
      <c r="BC21" s="1045" t="s">
        <v>1322</v>
      </c>
      <c r="BE21" s="1045">
        <v>2019</v>
      </c>
      <c r="BH21" s="996" t="s">
        <v>1442</v>
      </c>
      <c r="BJ21" s="996" t="s">
        <v>1378</v>
      </c>
      <c r="BL21" s="996" t="s">
        <v>1378</v>
      </c>
      <c r="BQ21" s="1206">
        <v>4190066</v>
      </c>
      <c r="BR21" s="996" t="s">
        <v>1519</v>
      </c>
      <c r="BS21" s="1354"/>
      <c r="BT21" s="1206">
        <v>4189673</v>
      </c>
      <c r="BU21" s="996" t="s">
        <v>1520</v>
      </c>
      <c r="BV21" s="998"/>
      <c r="BW21" s="1620">
        <v>4189707</v>
      </c>
      <c r="BX21" s="1618" t="s">
        <v>1521</v>
      </c>
      <c r="BZ21" s="1206">
        <v>4189712</v>
      </c>
      <c r="CA21" s="996" t="s">
        <v>1522</v>
      </c>
      <c r="CC21" s="1206">
        <v>4189710</v>
      </c>
      <c r="CD21" s="996" t="s">
        <v>1523</v>
      </c>
    </row>
    <row r="22" spans="1:82" ht="21" customHeight="1">
      <c r="A22" s="1002" t="s">
        <v>1524</v>
      </c>
      <c r="B22" s="1003">
        <v>2020</v>
      </c>
      <c r="N22" s="1083" t="s">
        <v>1525</v>
      </c>
      <c r="AW22" s="1045" t="s">
        <v>1515</v>
      </c>
      <c r="AX22" s="1045" t="s">
        <v>1515</v>
      </c>
      <c r="AZ22" s="1045" t="s">
        <v>1526</v>
      </c>
      <c r="BB22" s="1045" t="s">
        <v>1527</v>
      </c>
      <c r="BC22" s="1045" t="s">
        <v>1322</v>
      </c>
      <c r="BE22" s="1045">
        <v>2020</v>
      </c>
      <c r="BH22" s="996" t="s">
        <v>1449</v>
      </c>
      <c r="BJ22" s="996" t="s">
        <v>1394</v>
      </c>
      <c r="BL22" s="996" t="s">
        <v>1394</v>
      </c>
      <c r="BQ22" s="1206">
        <v>4190067</v>
      </c>
      <c r="BR22" s="996" t="s">
        <v>1528</v>
      </c>
      <c r="BS22" s="1354"/>
      <c r="BT22" s="1206">
        <v>4189674</v>
      </c>
      <c r="BU22" s="996" t="s">
        <v>1529</v>
      </c>
      <c r="BV22" s="998"/>
      <c r="BW22" s="998"/>
      <c r="CC22" s="1206">
        <v>4189711</v>
      </c>
      <c r="CD22" s="996" t="s">
        <v>292</v>
      </c>
    </row>
    <row r="23" spans="1:82" ht="21" customHeight="1">
      <c r="A23" s="1002" t="s">
        <v>1530</v>
      </c>
      <c r="B23" s="1003">
        <v>2021</v>
      </c>
      <c r="AW23" s="1045" t="s">
        <v>1531</v>
      </c>
      <c r="AX23" s="1045" t="s">
        <v>1531</v>
      </c>
      <c r="AZ23" s="1045" t="s">
        <v>1532</v>
      </c>
      <c r="BB23" s="1045" t="s">
        <v>1533</v>
      </c>
      <c r="BC23" s="1045" t="s">
        <v>1231</v>
      </c>
      <c r="BE23" s="1045">
        <v>2021</v>
      </c>
      <c r="BH23" s="996" t="s">
        <v>1457</v>
      </c>
      <c r="BJ23" s="996" t="s">
        <v>1410</v>
      </c>
      <c r="BL23" s="996" t="s">
        <v>1410</v>
      </c>
      <c r="BQ23" s="1206">
        <v>4190068</v>
      </c>
      <c r="BR23" s="996" t="s">
        <v>1534</v>
      </c>
      <c r="BS23" s="1354"/>
      <c r="BT23" s="1206">
        <v>4189675</v>
      </c>
      <c r="BU23" s="996" t="s">
        <v>1535</v>
      </c>
      <c r="BV23" s="998"/>
      <c r="BW23" s="998"/>
      <c r="CC23" s="1206">
        <v>5110778</v>
      </c>
      <c r="CD23" s="996" t="s">
        <v>1536</v>
      </c>
    </row>
    <row r="24" spans="1:82" ht="21" customHeight="1">
      <c r="A24" s="1002" t="s">
        <v>1537</v>
      </c>
      <c r="B24" s="1003">
        <v>2022</v>
      </c>
      <c r="AW24" s="1045" t="s">
        <v>1538</v>
      </c>
      <c r="AX24" s="1045" t="s">
        <v>1538</v>
      </c>
      <c r="AZ24" s="1045" t="s">
        <v>1539</v>
      </c>
      <c r="BB24" s="1045" t="s">
        <v>1540</v>
      </c>
      <c r="BC24" s="1045" t="s">
        <v>1541</v>
      </c>
      <c r="BE24" s="1045">
        <v>2022</v>
      </c>
      <c r="BH24" s="996" t="s">
        <v>1466</v>
      </c>
      <c r="BJ24" s="996" t="s">
        <v>1424</v>
      </c>
      <c r="BL24" s="996" t="s">
        <v>1424</v>
      </c>
      <c r="BQ24" s="1206">
        <v>4190069</v>
      </c>
      <c r="BR24" s="996" t="s">
        <v>1542</v>
      </c>
      <c r="BS24" s="1354"/>
      <c r="BT24" s="1206">
        <v>4189676</v>
      </c>
      <c r="BU24" s="996" t="s">
        <v>1543</v>
      </c>
      <c r="BV24" s="998"/>
      <c r="BW24" s="998"/>
      <c r="CC24" s="1206">
        <v>25575374</v>
      </c>
      <c r="CD24" s="996" t="s">
        <v>1544</v>
      </c>
    </row>
    <row r="25" spans="1:82" ht="11.25" customHeight="1">
      <c r="A25" s="1002" t="s">
        <v>1545</v>
      </c>
      <c r="B25" s="1003">
        <v>2023</v>
      </c>
      <c r="AW25" s="1045" t="s">
        <v>1546</v>
      </c>
      <c r="AX25" s="1045" t="s">
        <v>1546</v>
      </c>
      <c r="AZ25" s="1045" t="s">
        <v>1547</v>
      </c>
      <c r="BB25" s="1045" t="s">
        <v>1548</v>
      </c>
      <c r="BC25" s="1045" t="s">
        <v>1541</v>
      </c>
      <c r="BE25" s="1045">
        <v>2023</v>
      </c>
      <c r="BH25" s="996" t="s">
        <v>1473</v>
      </c>
      <c r="BJ25" s="996" t="s">
        <v>1498</v>
      </c>
      <c r="BL25" s="996" t="s">
        <v>1498</v>
      </c>
      <c r="BQ25" s="1206">
        <v>4190070</v>
      </c>
      <c r="BR25" s="996" t="s">
        <v>1549</v>
      </c>
      <c r="BS25" s="1354"/>
      <c r="BT25" s="1206">
        <v>4189677</v>
      </c>
      <c r="BU25" s="996" t="s">
        <v>1550</v>
      </c>
      <c r="BV25" s="998"/>
      <c r="BW25" s="998"/>
    </row>
    <row r="26" spans="1:82" ht="11.25" customHeight="1">
      <c r="A26" s="1002" t="s">
        <v>1551</v>
      </c>
      <c r="B26" s="1003">
        <v>2024</v>
      </c>
      <c r="J26" s="1656" t="s">
        <v>1552</v>
      </c>
      <c r="AX26" s="1045" t="s">
        <v>1553</v>
      </c>
      <c r="AZ26" s="1045" t="s">
        <v>1417</v>
      </c>
      <c r="BB26" s="1045" t="s">
        <v>1554</v>
      </c>
      <c r="BC26" s="1045" t="s">
        <v>1541</v>
      </c>
      <c r="BE26" s="1045">
        <v>2024</v>
      </c>
      <c r="BH26" s="996" t="s">
        <v>1484</v>
      </c>
      <c r="BJ26" s="996" t="s">
        <v>1435</v>
      </c>
      <c r="BL26" s="996" t="s">
        <v>1435</v>
      </c>
      <c r="BQ26" s="1206">
        <v>4190071</v>
      </c>
      <c r="BR26" s="996" t="s">
        <v>1555</v>
      </c>
      <c r="BS26" s="1354"/>
      <c r="BV26" s="998"/>
      <c r="BW26" s="998"/>
    </row>
    <row r="27" spans="1:82" ht="11.25" customHeight="1">
      <c r="A27" s="1002" t="s">
        <v>1556</v>
      </c>
      <c r="B27" s="1003">
        <v>2025</v>
      </c>
      <c r="J27" s="112" t="s">
        <v>688</v>
      </c>
      <c r="AX27" s="1045" t="s">
        <v>1557</v>
      </c>
      <c r="BB27" s="1045" t="s">
        <v>1558</v>
      </c>
      <c r="BC27" s="1045" t="s">
        <v>1541</v>
      </c>
      <c r="BE27" s="1045">
        <v>2025</v>
      </c>
      <c r="BH27" s="998" t="s">
        <v>22</v>
      </c>
      <c r="BJ27" s="996" t="s">
        <v>1442</v>
      </c>
      <c r="BL27" s="996" t="s">
        <v>1442</v>
      </c>
      <c r="BN27" s="998" t="s">
        <v>22</v>
      </c>
      <c r="BQ27" s="1206">
        <v>4190072</v>
      </c>
      <c r="BR27" s="996" t="s">
        <v>1559</v>
      </c>
      <c r="BS27" s="1354"/>
      <c r="BV27" s="998"/>
      <c r="BW27" s="998"/>
    </row>
    <row r="28" spans="1:82" ht="11.25" customHeight="1">
      <c r="A28" s="1002" t="s">
        <v>1560</v>
      </c>
      <c r="D28" s="1027"/>
      <c r="E28" s="1028"/>
      <c r="F28" s="1028"/>
      <c r="H28" s="1029" t="s">
        <v>1561</v>
      </c>
      <c r="AX28" s="1045" t="s">
        <v>1562</v>
      </c>
      <c r="AZ28" s="995" t="s">
        <v>1563</v>
      </c>
      <c r="BB28" s="1045" t="s">
        <v>1564</v>
      </c>
      <c r="BC28" s="1045" t="s">
        <v>1565</v>
      </c>
      <c r="BE28" s="1045">
        <v>2026</v>
      </c>
      <c r="BH28" s="998" t="s">
        <v>22</v>
      </c>
      <c r="BJ28" s="996" t="s">
        <v>1449</v>
      </c>
      <c r="BL28" s="996" t="s">
        <v>1449</v>
      </c>
      <c r="BN28" s="998" t="s">
        <v>22</v>
      </c>
      <c r="BQ28" s="1206">
        <v>4190073</v>
      </c>
      <c r="BR28" s="996" t="s">
        <v>1566</v>
      </c>
      <c r="BS28" s="1354"/>
      <c r="BV28" s="998"/>
      <c r="BW28" s="998"/>
    </row>
    <row r="29" spans="1:82" ht="11.25" customHeight="1">
      <c r="A29" s="1002" t="s">
        <v>1567</v>
      </c>
      <c r="D29" s="1030" t="s">
        <v>1568</v>
      </c>
      <c r="E29" s="1031" t="str">
        <f>IF(TEMPLATE_GROUP="","",INDEX(StartDateList,MATCH(TEMPLATE_GROUP,CodeTemplateList,0),1))</f>
        <v>01.04.2024</v>
      </c>
      <c r="F29" s="1031" t="str">
        <f>IF(TEMPLATE_GROUP="","",INDEX(EndDateList,MATCH(TEMPLATE_GROUP,CodeTemplateList,0),1))</f>
        <v>30.06.2024</v>
      </c>
      <c r="H29" s="1032" t="s">
        <v>1569</v>
      </c>
      <c r="AX29" s="1045" t="s">
        <v>1570</v>
      </c>
      <c r="AZ29" s="1045" t="s">
        <v>1216</v>
      </c>
      <c r="BB29" s="1045" t="s">
        <v>1417</v>
      </c>
      <c r="BC29" s="1018"/>
      <c r="BE29" s="1045">
        <v>2027</v>
      </c>
      <c r="BJ29" s="996" t="s">
        <v>1457</v>
      </c>
      <c r="BL29" s="996" t="s">
        <v>1457</v>
      </c>
    </row>
    <row r="30" spans="1:82" ht="11.25" customHeight="1">
      <c r="A30" s="1002" t="s">
        <v>1571</v>
      </c>
      <c r="D30" s="1033"/>
      <c r="E30" s="1034"/>
      <c r="F30" s="1034"/>
      <c r="AX30" s="1045" t="s">
        <v>1572</v>
      </c>
      <c r="AZ30" s="1045" t="s">
        <v>1242</v>
      </c>
      <c r="BE30" s="1045">
        <v>2028</v>
      </c>
      <c r="BJ30" s="996" t="s">
        <v>1573</v>
      </c>
      <c r="BL30" s="996" t="s">
        <v>1573</v>
      </c>
    </row>
    <row r="31" spans="1:82" ht="12.75" customHeight="1">
      <c r="A31" s="1002" t="s">
        <v>1574</v>
      </c>
      <c r="D31" s="1027"/>
      <c r="E31" s="1028"/>
      <c r="F31" s="1028"/>
      <c r="H31" s="1035"/>
      <c r="AX31" s="1045" t="s">
        <v>1575</v>
      </c>
      <c r="AZ31" s="1045" t="s">
        <v>1576</v>
      </c>
      <c r="BE31" s="1045">
        <v>2029</v>
      </c>
      <c r="BJ31" s="996" t="s">
        <v>1577</v>
      </c>
      <c r="BL31" s="996" t="s">
        <v>1577</v>
      </c>
    </row>
    <row r="32" spans="1:82" ht="11.25" customHeight="1">
      <c r="A32" s="1002" t="s">
        <v>1578</v>
      </c>
      <c r="D32" s="1030" t="s">
        <v>1579</v>
      </c>
      <c r="E32" s="1031" t="str">
        <f>IF(TEMPLATE_GROUP="","",INDEX(StartDateList,MATCH(TEMPLATE_GROUP,CodeTemplateList,0),1))</f>
        <v>01.04.2024</v>
      </c>
      <c r="F32" s="1031" t="str">
        <f>IF(TEMPLATE_GROUP="","",INDEX(EndDateList,MATCH(TEMPLATE_GROUP,CodeTemplateList,0),1))</f>
        <v>30.06.2024</v>
      </c>
      <c r="H32" s="1036" t="s">
        <v>1580</v>
      </c>
      <c r="O32" s="1002" t="s">
        <v>1214</v>
      </c>
      <c r="AX32" s="1045" t="s">
        <v>1581</v>
      </c>
      <c r="AZ32" s="1045" t="s">
        <v>1310</v>
      </c>
      <c r="BE32" s="1045">
        <v>2030</v>
      </c>
      <c r="BJ32" s="996" t="s">
        <v>1466</v>
      </c>
      <c r="BL32" s="996" t="s">
        <v>1466</v>
      </c>
    </row>
    <row r="33" spans="1:66" ht="11.25" customHeight="1">
      <c r="A33" s="1002" t="s">
        <v>1582</v>
      </c>
      <c r="O33" s="1002" t="s">
        <v>1239</v>
      </c>
      <c r="AX33" s="1045" t="s">
        <v>1583</v>
      </c>
      <c r="AZ33" s="1045" t="s">
        <v>1215</v>
      </c>
      <c r="BE33" s="1045">
        <v>2031</v>
      </c>
      <c r="BJ33" s="996" t="s">
        <v>1473</v>
      </c>
      <c r="BL33" s="996" t="s">
        <v>1473</v>
      </c>
    </row>
    <row r="34" spans="1:66" ht="11.25" customHeight="1">
      <c r="A34" s="1002" t="s">
        <v>1584</v>
      </c>
      <c r="O34" s="1002" t="s">
        <v>1275</v>
      </c>
      <c r="AX34" s="1045" t="s">
        <v>1585</v>
      </c>
      <c r="BE34" s="1045">
        <v>2032</v>
      </c>
      <c r="BJ34" s="996" t="s">
        <v>1484</v>
      </c>
      <c r="BL34" s="996" t="s">
        <v>1484</v>
      </c>
    </row>
    <row r="35" spans="1:66" ht="11.25" customHeight="1">
      <c r="A35" s="1002" t="s">
        <v>1586</v>
      </c>
      <c r="O35" s="1002" t="s">
        <v>1308</v>
      </c>
      <c r="AX35" s="1045" t="s">
        <v>1587</v>
      </c>
      <c r="AZ35" s="995" t="s">
        <v>1588</v>
      </c>
      <c r="BE35" s="1045">
        <v>2033</v>
      </c>
      <c r="BL35" s="996" t="s">
        <v>1589</v>
      </c>
    </row>
    <row r="36" spans="1:66" ht="11.25" customHeight="1">
      <c r="A36" s="1794" t="s">
        <v>1590</v>
      </c>
      <c r="D36" s="1037" t="s">
        <v>1591</v>
      </c>
      <c r="E36" s="1038" t="s">
        <v>807</v>
      </c>
      <c r="F36" s="1039" t="str">
        <f>INDEX(E37:E41,MATCH(TEMPLATE_SPHERE,F37:F41,0))</f>
        <v>теплоснабжения</v>
      </c>
      <c r="G36" s="1039" t="str">
        <f>INDEX(G37:G41,MATCH(TEMPLATE_SPHERE,F37:F41,0))</f>
        <v>теплоснабжение</v>
      </c>
      <c r="O36" s="1002" t="s">
        <v>1333</v>
      </c>
      <c r="AX36" s="1045" t="s">
        <v>1592</v>
      </c>
      <c r="AZ36" s="1045" t="s">
        <v>1215</v>
      </c>
      <c r="BE36" s="1045">
        <v>2034</v>
      </c>
      <c r="BL36" s="996" t="s">
        <v>1593</v>
      </c>
    </row>
    <row r="37" spans="1:66" ht="11.25" customHeight="1">
      <c r="A37" s="1002" t="s">
        <v>1594</v>
      </c>
      <c r="E37" s="342" t="s">
        <v>1595</v>
      </c>
      <c r="F37" s="1040" t="s">
        <v>807</v>
      </c>
      <c r="G37" s="342" t="s">
        <v>1596</v>
      </c>
      <c r="O37" s="1002" t="s">
        <v>1352</v>
      </c>
      <c r="AX37" s="1045" t="s">
        <v>1597</v>
      </c>
      <c r="AZ37" s="1045" t="s">
        <v>1241</v>
      </c>
      <c r="BE37" s="1045">
        <v>2035</v>
      </c>
    </row>
    <row r="38" spans="1:66" ht="11.25" customHeight="1">
      <c r="A38" s="1002" t="s">
        <v>1598</v>
      </c>
      <c r="E38" s="342" t="s">
        <v>1599</v>
      </c>
      <c r="F38" s="1041" t="s">
        <v>853</v>
      </c>
      <c r="G38" s="342" t="s">
        <v>1600</v>
      </c>
      <c r="O38" s="1002" t="s">
        <v>1369</v>
      </c>
      <c r="AX38" s="1045" t="s">
        <v>1601</v>
      </c>
      <c r="AZ38" s="1045" t="s">
        <v>1276</v>
      </c>
      <c r="BE38" s="1045">
        <v>2036</v>
      </c>
      <c r="BH38" s="995" t="s">
        <v>1602</v>
      </c>
      <c r="BJ38" s="995" t="s">
        <v>1603</v>
      </c>
      <c r="BL38" s="995" t="s">
        <v>1604</v>
      </c>
      <c r="BN38" s="995" t="s">
        <v>1605</v>
      </c>
    </row>
    <row r="39" spans="1:66" ht="11.25" customHeight="1">
      <c r="A39" s="1002" t="s">
        <v>1606</v>
      </c>
      <c r="E39" s="342" t="s">
        <v>1607</v>
      </c>
      <c r="F39" s="1041" t="s">
        <v>906</v>
      </c>
      <c r="G39" s="342" t="s">
        <v>1608</v>
      </c>
      <c r="O39" s="1002" t="s">
        <v>1385</v>
      </c>
      <c r="AX39" s="1045" t="s">
        <v>1609</v>
      </c>
      <c r="AZ39" s="1045" t="s">
        <v>1309</v>
      </c>
      <c r="BE39" s="1045">
        <v>2037</v>
      </c>
      <c r="BH39" s="996" t="s">
        <v>1610</v>
      </c>
      <c r="BJ39" s="1142" t="s">
        <v>1610</v>
      </c>
      <c r="BL39" s="1142" t="s">
        <v>1610</v>
      </c>
      <c r="BN39" s="996" t="s">
        <v>1611</v>
      </c>
    </row>
    <row r="40" spans="1:66" ht="11.25" customHeight="1">
      <c r="A40" s="1002" t="s">
        <v>1612</v>
      </c>
      <c r="E40" s="342" t="s">
        <v>1613</v>
      </c>
      <c r="F40" s="1041" t="s">
        <v>893</v>
      </c>
      <c r="G40" s="342" t="s">
        <v>1614</v>
      </c>
      <c r="O40" s="1002" t="s">
        <v>1401</v>
      </c>
      <c r="AX40" s="1045" t="s">
        <v>1615</v>
      </c>
      <c r="BE40" s="1045">
        <v>2038</v>
      </c>
      <c r="BH40" s="996" t="s">
        <v>1616</v>
      </c>
      <c r="BJ40" s="1142" t="s">
        <v>1027</v>
      </c>
      <c r="BL40" s="1142" t="s">
        <v>1027</v>
      </c>
      <c r="BN40" s="996" t="s">
        <v>1061</v>
      </c>
    </row>
    <row r="41" spans="1:66" ht="11.25" customHeight="1">
      <c r="A41" s="1002" t="s">
        <v>16</v>
      </c>
      <c r="E41" s="342" t="s">
        <v>1617</v>
      </c>
      <c r="F41" s="1041" t="s">
        <v>1618</v>
      </c>
      <c r="G41" s="342" t="s">
        <v>1617</v>
      </c>
      <c r="O41" s="1002" t="s">
        <v>1417</v>
      </c>
      <c r="AX41" s="1045" t="s">
        <v>1619</v>
      </c>
      <c r="AZ41" s="995" t="s">
        <v>1620</v>
      </c>
      <c r="BE41" s="1045">
        <v>2039</v>
      </c>
      <c r="BH41" s="996" t="s">
        <v>1621</v>
      </c>
      <c r="BJ41" s="1142" t="s">
        <v>1023</v>
      </c>
      <c r="BL41" s="1142" t="s">
        <v>1023</v>
      </c>
      <c r="BN41" s="996" t="s">
        <v>1048</v>
      </c>
    </row>
    <row r="42" spans="1:66" ht="11.25" customHeight="1">
      <c r="A42" s="1002" t="s">
        <v>1622</v>
      </c>
      <c r="AX42" s="1045" t="s">
        <v>1623</v>
      </c>
      <c r="AZ42" s="1045" t="s">
        <v>1214</v>
      </c>
      <c r="BE42" s="1045">
        <v>2040</v>
      </c>
      <c r="BH42" s="996" t="s">
        <v>1045</v>
      </c>
      <c r="BJ42" s="1142" t="s">
        <v>1025</v>
      </c>
      <c r="BL42" s="1142" t="s">
        <v>1025</v>
      </c>
      <c r="BN42" s="996" t="s">
        <v>1624</v>
      </c>
    </row>
    <row r="43" spans="1:66" ht="11.25" customHeight="1">
      <c r="A43" s="1002" t="s">
        <v>1625</v>
      </c>
      <c r="AX43" s="1045" t="s">
        <v>1626</v>
      </c>
      <c r="AZ43" s="1045" t="s">
        <v>1239</v>
      </c>
      <c r="BE43" s="1045">
        <v>2041</v>
      </c>
      <c r="BH43" s="996" t="s">
        <v>1627</v>
      </c>
      <c r="BJ43" s="1142" t="s">
        <v>1621</v>
      </c>
      <c r="BL43" s="1142" t="s">
        <v>1621</v>
      </c>
      <c r="BN43" s="996" t="s">
        <v>1628</v>
      </c>
    </row>
    <row r="44" spans="1:66" ht="11.25" customHeight="1">
      <c r="A44" s="1002" t="s">
        <v>1629</v>
      </c>
      <c r="G44" s="1021">
        <f ca="1">YEAR(TODAY())</f>
        <v>2025</v>
      </c>
      <c r="I44" s="728" t="s">
        <v>1630</v>
      </c>
      <c r="J44" s="1017" t="s">
        <v>1631</v>
      </c>
      <c r="K44" s="1017" t="s">
        <v>1632</v>
      </c>
      <c r="AX44" s="1045" t="s">
        <v>1633</v>
      </c>
      <c r="AZ44" s="1045" t="s">
        <v>1275</v>
      </c>
      <c r="BE44" s="1045">
        <v>2042</v>
      </c>
      <c r="BH44" s="996" t="s">
        <v>1634</v>
      </c>
      <c r="BJ44" s="1142" t="s">
        <v>1045</v>
      </c>
      <c r="BL44" s="1142" t="s">
        <v>1045</v>
      </c>
      <c r="BN44" s="996" t="s">
        <v>1635</v>
      </c>
    </row>
    <row r="45" spans="1:66" ht="11.25" customHeight="1">
      <c r="A45" s="1002" t="s">
        <v>1636</v>
      </c>
      <c r="D45" s="1037" t="s">
        <v>1637</v>
      </c>
      <c r="E45" s="1038" t="s">
        <v>1638</v>
      </c>
      <c r="F45" s="726" t="s">
        <v>1639</v>
      </c>
      <c r="G45" s="725" t="s">
        <v>1640</v>
      </c>
      <c r="H45" s="728" t="s">
        <v>1641</v>
      </c>
      <c r="I45" s="1666" t="b">
        <f>INDEX(PeriodIsEmptyList,MATCH(TEMPLATE_GROUP,CodeTemplateList,0),1)</f>
        <v>0</v>
      </c>
      <c r="J45" s="1669" t="str">
        <f>INDEX(NameTemplatesInTitleList,MATCH(TEMPLATE_GROUP,CodeTemplateList,0),1)</f>
        <v>Информация о наличии (отсутствии) технической возможности подключения к централизованной системе теплоснабжения, а также о регистрации и ходе реализации заявок о подключении к централизованной системе теплоснабжения</v>
      </c>
      <c r="K45" s="1669" t="str">
        <f>"Перечень муниципальных районов и муниципальных образований (территорий "&amp;IF(OR(TEMPLATE_GROUP="P",TEMPLATE_GROUP="R",TEMPLATE_GROUP="Q"),"действия тарифа","оказания услуг")&amp;")"</f>
        <v>Перечень муниципальных районов и муниципальных образований (территорий действия тарифа)</v>
      </c>
      <c r="AX45" s="1045" t="s">
        <v>1642</v>
      </c>
      <c r="AZ45" s="1045" t="s">
        <v>1308</v>
      </c>
      <c r="BE45" s="1045">
        <v>2043</v>
      </c>
      <c r="BH45" s="996" t="s">
        <v>1643</v>
      </c>
      <c r="BJ45" s="1142" t="s">
        <v>1039</v>
      </c>
      <c r="BL45" s="1142" t="s">
        <v>1039</v>
      </c>
      <c r="BN45" s="996" t="s">
        <v>1644</v>
      </c>
    </row>
    <row r="46" spans="1:66" ht="11.25" customHeight="1">
      <c r="A46" s="1002" t="s">
        <v>1645</v>
      </c>
      <c r="E46" s="342" t="s">
        <v>27</v>
      </c>
      <c r="F46" s="1040" t="s">
        <v>1646</v>
      </c>
      <c r="G46" s="1042" t="str">
        <f ca="1">IFERROR(IF(TITLE_DATE_FIL="","01.01."&amp;CURRENT_YEAR,"01.01."&amp;YEAR(TITLE_DATE_FIL)),"01.01."&amp;CURRENT_YEAR)</f>
        <v>01.01.2025</v>
      </c>
      <c r="H46" s="1042" t="str">
        <f ca="1">IFERROR(IF(TITLE_DATE_FIL="","31.12."&amp;CURRENT_YEAR,"31.12."&amp;YEAR(TITLE_DATE_FIL)),"31.12."&amp;CURRENT_YEAR)</f>
        <v>31.12.2025</v>
      </c>
      <c r="I46" s="1667" t="b">
        <f>IF(TITLE_DATE_FIL="",TRUE,FALSE)</f>
        <v>1</v>
      </c>
      <c r="J46" s="1670" t="str">
        <f>"Общая информация о регулируемой организации ("&amp;TEMPLATE_SPHERE_RUS&amp;")"</f>
        <v>Общая информация о регулируемой организации (теплоснабжения)</v>
      </c>
      <c r="K46" s="1671"/>
      <c r="AX46" s="1045" t="s">
        <v>1647</v>
      </c>
      <c r="AZ46" s="1045" t="s">
        <v>1333</v>
      </c>
      <c r="BE46" s="1045">
        <v>2044</v>
      </c>
      <c r="BH46" s="996" t="s">
        <v>1048</v>
      </c>
      <c r="BJ46" s="1142" t="s">
        <v>1029</v>
      </c>
      <c r="BL46" s="1142" t="s">
        <v>1029</v>
      </c>
      <c r="BN46" s="996" t="s">
        <v>1648</v>
      </c>
    </row>
    <row r="47" spans="1:66" ht="11.25" customHeight="1">
      <c r="A47" s="1002" t="s">
        <v>1649</v>
      </c>
      <c r="E47" s="342" t="s">
        <v>33</v>
      </c>
      <c r="F47" s="1041" t="s">
        <v>1638</v>
      </c>
      <c r="G47" s="1042" t="str">
        <f>IFERROR(IF(f_year="","01.01."&amp;CURRENT_YEAR,IF(LEN(f_quart)=0,"01.01."&amp;f_year,IF(f_quart="I квартал","01.01."&amp;f_year,IF(f_quart="II квартал","01.04."&amp;f_year,(IF(f_quart="III квартал","01.07."&amp;f_year,"01.10."&amp;f_year)))))),"01.01."&amp;CURRENT_YEAR)</f>
        <v>01.04.2024</v>
      </c>
      <c r="H47" s="1042" t="str">
        <f>IFERROR(IF(f_year="","31.12."&amp;CURRENT_YEAR,IF(LEN(f_quart)=0,"31.12."&amp;f_year,IF(f_quart="I квартал","31.03."&amp;f_year,IF(f_quart="II квартал","30.06."&amp;f_year,(IF(f_quart="III квартал","30.09."&amp;f_year,"31.12."&amp;f_year)))))),"31.12."&amp;CURRENT_YEAR)</f>
        <v>30.06.2024</v>
      </c>
      <c r="I47" s="1668" t="b">
        <f>IF(OR(f_year="",f_quart=""),TRUE,FALSE)</f>
        <v>0</v>
      </c>
      <c r="J47" s="1670" t="str">
        <f>"Информация о наличии (отсутствии) технической возможности подключения к централизованной системе "&amp;TEMPLATE_SPHERE_RUS&amp;", а также о регистрации и ходе реализации заявок о подключении к централизованной системе "&amp;TEMPLATE_SPHERE_RUS</f>
        <v>Информация о наличии (отсутствии) технической возможности подключения к централизованной системе теплоснабжения, а также о регистрации и ходе реализации заявок о подключении к централизованной системе теплоснабжения</v>
      </c>
      <c r="K47" s="1671"/>
      <c r="AX47" s="1045" t="s">
        <v>1650</v>
      </c>
      <c r="AZ47" s="1045" t="s">
        <v>1352</v>
      </c>
      <c r="BE47" s="1045">
        <v>2045</v>
      </c>
      <c r="BH47" s="996" t="s">
        <v>1624</v>
      </c>
      <c r="BJ47" s="1142" t="s">
        <v>1031</v>
      </c>
      <c r="BL47" s="1142" t="s">
        <v>1031</v>
      </c>
      <c r="BN47" s="996" t="s">
        <v>1651</v>
      </c>
    </row>
    <row r="48" spans="1:66" ht="11.25" customHeight="1">
      <c r="A48" s="1002" t="s">
        <v>1652</v>
      </c>
      <c r="E48" s="342" t="s">
        <v>1653</v>
      </c>
      <c r="F48" s="1041" t="s">
        <v>1654</v>
      </c>
      <c r="G48" s="1042" t="str">
        <f>IFERROR(IF(f_year="","01.01."&amp;CURRENT_YEAR,"01.01."&amp;f_year),"01.01."&amp;CURRENT_YEAR)</f>
        <v>01.01.2024</v>
      </c>
      <c r="H48" s="1042" t="str">
        <f>IFERROR(IF(f_year="","31.12."&amp;CURRENT_YEAR,"31.12."&amp;f_year),"31.12."&amp;CURRENT_YEAR)</f>
        <v>31.12.2024</v>
      </c>
      <c r="I48" s="1667" t="b">
        <f>IF(f_year="",TRUE,FALSE)</f>
        <v>0</v>
      </c>
      <c r="J48" s="1670" t="s">
        <v>1655</v>
      </c>
      <c r="K48" s="1671"/>
      <c r="AX48" s="1045" t="s">
        <v>1656</v>
      </c>
      <c r="AZ48" s="1045" t="s">
        <v>1369</v>
      </c>
      <c r="BE48" s="1045">
        <v>2046</v>
      </c>
      <c r="BH48" s="996" t="s">
        <v>1628</v>
      </c>
      <c r="BJ48" s="1142" t="s">
        <v>1033</v>
      </c>
      <c r="BL48" s="1142" t="s">
        <v>1033</v>
      </c>
      <c r="BN48" s="996" t="s">
        <v>1657</v>
      </c>
    </row>
    <row r="49" spans="1:64" ht="11.25" customHeight="1">
      <c r="A49" s="1002" t="s">
        <v>1658</v>
      </c>
      <c r="E49" s="342" t="s">
        <v>1659</v>
      </c>
      <c r="F49" s="1041" t="s">
        <v>1660</v>
      </c>
      <c r="G49" s="1042" t="str">
        <f>IFERROR(IF(f_year="","01.01."&amp;CURRENT_YEAR,"01.01."&amp;f_year),"01.01."&amp;CURRENT_YEAR)</f>
        <v>01.01.2024</v>
      </c>
      <c r="H49" s="1042" t="str">
        <f>IFERROR(IF(f_year="","31.12."&amp;CURRENT_YEAR,"31.12."&amp;f_year),"31.12."&amp;CURRENT_YEAR)</f>
        <v>31.12.2024</v>
      </c>
      <c r="I49" s="1667" t="b">
        <f>IF(f_year="",TRUE,FALSE)</f>
        <v>0</v>
      </c>
      <c r="J49" s="1670" t="str">
        <f>"Информация об условиях, на которых осуществляется поставка товаров (оказание услуг) в сфере "&amp;TEMPLATE_SPHERE_RUS</f>
        <v>Информация об условиях, на которых осуществляется поставка товаров (оказание услуг) в сфере теплоснабжения</v>
      </c>
      <c r="K49" s="1671"/>
      <c r="AX49" s="1045" t="s">
        <v>1661</v>
      </c>
      <c r="AZ49" s="1045" t="s">
        <v>1385</v>
      </c>
      <c r="BE49" s="1045">
        <v>2047</v>
      </c>
      <c r="BH49" s="996" t="s">
        <v>1049</v>
      </c>
      <c r="BJ49" s="1142" t="s">
        <v>1035</v>
      </c>
      <c r="BL49" s="1142" t="s">
        <v>1035</v>
      </c>
    </row>
    <row r="50" spans="1:64" ht="11.25" customHeight="1">
      <c r="A50" s="1002" t="s">
        <v>1662</v>
      </c>
      <c r="E50" s="342" t="s">
        <v>1663</v>
      </c>
      <c r="F50" s="1041" t="s">
        <v>1019</v>
      </c>
      <c r="G50" s="1042" t="str">
        <f>IFERROR(IF(f_year="","01.01."&amp;CURRENT_YEAR,"01.01."&amp;f_year),"01.01."&amp;CURRENT_YEAR)</f>
        <v>01.01.2024</v>
      </c>
      <c r="H50" s="1042" t="str">
        <f>IFERROR(IF(f_year="","31.12."&amp;CURRENT_YEAR,"31.12."&amp;f_year),"31.12."&amp;CURRENT_YEAR)</f>
        <v>31.12.2024</v>
      </c>
      <c r="I50" s="1667" t="b">
        <f>IF(f_year="",TRUE,FALSE)</f>
        <v>0</v>
      </c>
      <c r="J50" s="1670" t="str">
        <f>"Информация об инвестиционных программах регулируемой организации в области "&amp;TEMPLATE_SPHERE_RUS</f>
        <v>Информация об инвестиционных программах регулируемой организации в области теплоснабжения</v>
      </c>
      <c r="K50" s="1671"/>
      <c r="AX50" s="1045" t="s">
        <v>99</v>
      </c>
      <c r="AZ50" s="1045" t="s">
        <v>1401</v>
      </c>
      <c r="BE50" s="1045">
        <v>2048</v>
      </c>
      <c r="BH50" s="996" t="s">
        <v>1635</v>
      </c>
      <c r="BJ50" s="1142" t="s">
        <v>1037</v>
      </c>
      <c r="BL50" s="1142" t="s">
        <v>1037</v>
      </c>
    </row>
    <row r="51" spans="1:64" ht="11.25" customHeight="1">
      <c r="A51" s="1002" t="s">
        <v>1664</v>
      </c>
      <c r="E51" s="342" t="s">
        <v>1665</v>
      </c>
      <c r="F51" s="1041" t="s">
        <v>1666</v>
      </c>
      <c r="G51" s="1042" t="str">
        <f ca="1">IFERROR(IF(TITLE_PERIOD_START="","01.01."&amp;CURRENT_YEAR,"01.01."&amp;YEAR(TITLE_PERIOD_START)),"01.01."&amp;CURRENT_YEAR)</f>
        <v>01.01.2025</v>
      </c>
      <c r="H51" s="1042" t="str">
        <f ca="1">IFERROR(IF(TITLE_PERIOD_END="","31.12."&amp;CURRENT_YEAR,"31.12."&amp;YEAR(TITLE_PERIOD_END)),"31.12."&amp;CURRENT_YEAR)</f>
        <v>31.12.2025</v>
      </c>
      <c r="I51" s="1668" t="b">
        <f>IF(OR(TITLE_PERIOD_START="",TITLE_PERIOD_END=""),TRUE,FALSE)</f>
        <v>1</v>
      </c>
      <c r="J51" s="1670" t="str">
        <f>"Предложение регулируемой организации об установлении тарифов в сфере "&amp;TEMPLATE_SPHERE_RUS&amp;", информация о способах приобретения, стоимости и объемах товаров, необходимых для производства регулируемых товаров и (или) оказания регулируемых услуг"</f>
        <v>Предложение регулируемой организации об установлении тарифов в сфере теплоснабжения, информация о способах приобретения, стоимости и объемах товаров, необходимых для производства регулируемых товаров и (или) оказания регулируемых услуг</v>
      </c>
      <c r="K51" s="1671"/>
      <c r="AX51" s="1045" t="s">
        <v>1667</v>
      </c>
      <c r="AZ51" s="1045" t="s">
        <v>1417</v>
      </c>
      <c r="BE51" s="1045">
        <v>2049</v>
      </c>
      <c r="BH51" s="996" t="s">
        <v>1644</v>
      </c>
      <c r="BJ51" s="1142" t="s">
        <v>1668</v>
      </c>
      <c r="BL51" s="1142" t="s">
        <v>1668</v>
      </c>
    </row>
    <row r="52" spans="1:64" ht="11.25" customHeight="1">
      <c r="A52" s="1002" t="s">
        <v>1669</v>
      </c>
      <c r="E52" s="342" t="s">
        <v>1670</v>
      </c>
      <c r="F52" s="1041" t="s">
        <v>1671</v>
      </c>
      <c r="G52" s="1042" t="str">
        <f ca="1">IFERROR(IF(TITLE_PERIOD_START="","01.01."&amp;CURRENT_YEAR,"01.01."&amp;YEAR(TITLE_PERIOD_START)),"01.01."&amp;CURRENT_YEAR)</f>
        <v>01.01.2025</v>
      </c>
      <c r="H52" s="1042" t="str">
        <f ca="1">IFERROR(IF(TITLE_PERIOD_END="","31.12."&amp;CURRENT_YEAR,"31.12."&amp;YEAR(TITLE_PERIOD_END)),"31.12."&amp;CURRENT_YEAR)</f>
        <v>31.12.2025</v>
      </c>
      <c r="I52" s="1668" t="b">
        <f>IF(OR(TITLE_PERIOD_START="",TITLE_PERIOD_END=""),TRUE,FALSE)</f>
        <v>1</v>
      </c>
      <c r="J52" s="1670" t="str">
        <f>"Показатели, подлежащие раскрытию в сфере "&amp;TEMPLATE_SPHERE_RUS&amp;" (цены и тарифы)"</f>
        <v>Показатели, подлежащие раскрытию в сфере теплоснабжения (цены и тарифы)</v>
      </c>
      <c r="K52" s="1671"/>
      <c r="AX52" s="1045" t="s">
        <v>1672</v>
      </c>
      <c r="AZ52" s="1045" t="s">
        <v>1215</v>
      </c>
      <c r="BE52" s="1045">
        <v>2050</v>
      </c>
      <c r="BH52" s="996" t="s">
        <v>1648</v>
      </c>
      <c r="BJ52" s="1142" t="s">
        <v>1048</v>
      </c>
      <c r="BL52" s="1142" t="s">
        <v>1048</v>
      </c>
    </row>
    <row r="53" spans="1:64" ht="11.25" customHeight="1">
      <c r="A53" s="1002" t="s">
        <v>1673</v>
      </c>
      <c r="E53" s="342" t="s">
        <v>1674</v>
      </c>
      <c r="F53" s="1041" t="s">
        <v>1674</v>
      </c>
      <c r="G53" s="1042" t="str">
        <f>IFERROR(IF(f_year="","01.01."&amp;CURRENT_YEAR,"01.01."&amp;f_year),"01.01."&amp;CURRENT_YEAR)</f>
        <v>01.01.2024</v>
      </c>
      <c r="H53" s="1042" t="str">
        <f>IFERROR(IF(f_year="","31.12."&amp;CURRENT_YEAR,"31.12."&amp;f_year),"31.12."&amp;CURRENT_YEAR)</f>
        <v>31.12.2024</v>
      </c>
      <c r="I53" s="1667" t="b">
        <f>IF(AND(f_year="",TITLE_DATE_FIL=""),TRUE,FALSE)</f>
        <v>0</v>
      </c>
      <c r="J53" s="1670" t="s">
        <v>1675</v>
      </c>
      <c r="K53" s="1671"/>
      <c r="AX53" s="1045" t="s">
        <v>1676</v>
      </c>
      <c r="BE53" s="1045">
        <v>2051</v>
      </c>
      <c r="BH53" s="996" t="s">
        <v>1651</v>
      </c>
      <c r="BJ53" s="1142" t="s">
        <v>1624</v>
      </c>
      <c r="BL53" s="1142" t="s">
        <v>1624</v>
      </c>
    </row>
    <row r="54" spans="1:64" ht="11.25" customHeight="1">
      <c r="A54" s="1002" t="s">
        <v>1677</v>
      </c>
      <c r="AX54" s="1045" t="s">
        <v>1678</v>
      </c>
      <c r="AZ54" s="995" t="s">
        <v>1679</v>
      </c>
      <c r="BE54" s="1045">
        <v>2052</v>
      </c>
      <c r="BH54" s="996" t="s">
        <v>1657</v>
      </c>
      <c r="BJ54" s="1142" t="s">
        <v>1628</v>
      </c>
      <c r="BL54" s="1142" t="s">
        <v>1628</v>
      </c>
    </row>
    <row r="55" spans="1:64" ht="11.25" customHeight="1">
      <c r="A55" s="1002" t="s">
        <v>1680</v>
      </c>
      <c r="AX55" s="1045" t="s">
        <v>1681</v>
      </c>
      <c r="AZ55" s="1045" t="s">
        <v>1217</v>
      </c>
      <c r="BE55" s="1045">
        <v>2053</v>
      </c>
      <c r="BH55" s="998" t="s">
        <v>22</v>
      </c>
      <c r="BJ55" s="1142" t="s">
        <v>1049</v>
      </c>
      <c r="BL55" s="1142" t="s">
        <v>1049</v>
      </c>
    </row>
    <row r="56" spans="1:64" ht="11.25" customHeight="1">
      <c r="A56" s="1002" t="s">
        <v>1682</v>
      </c>
      <c r="D56" s="1044" t="s">
        <v>1683</v>
      </c>
      <c r="E56" s="1022" t="s">
        <v>111</v>
      </c>
      <c r="F56" s="1002" t="s">
        <v>1684</v>
      </c>
      <c r="AX56" s="1045" t="s">
        <v>1685</v>
      </c>
      <c r="AZ56" s="1045" t="s">
        <v>1243</v>
      </c>
      <c r="BE56" s="1045">
        <v>2054</v>
      </c>
      <c r="BH56" s="998" t="s">
        <v>22</v>
      </c>
      <c r="BJ56" s="1142" t="s">
        <v>1635</v>
      </c>
      <c r="BL56" s="1142" t="s">
        <v>1635</v>
      </c>
    </row>
    <row r="57" spans="1:64" ht="11.25" customHeight="1">
      <c r="A57" s="1002" t="s">
        <v>1686</v>
      </c>
      <c r="D57" s="1044" t="s">
        <v>1687</v>
      </c>
      <c r="E57" s="1022" t="s">
        <v>111</v>
      </c>
      <c r="F57" s="1002" t="s">
        <v>1684</v>
      </c>
      <c r="AX57" s="1045" t="s">
        <v>1688</v>
      </c>
      <c r="AZ57" s="1045" t="s">
        <v>1278</v>
      </c>
      <c r="BE57" s="1045">
        <v>2055</v>
      </c>
      <c r="BJ57" s="1142" t="s">
        <v>1644</v>
      </c>
      <c r="BL57" s="1142" t="s">
        <v>1644</v>
      </c>
    </row>
    <row r="58" spans="1:64" ht="11.25" customHeight="1">
      <c r="A58" s="1002" t="s">
        <v>1689</v>
      </c>
      <c r="D58" s="1044" t="s">
        <v>1690</v>
      </c>
      <c r="E58" s="1022" t="s">
        <v>111</v>
      </c>
      <c r="F58" s="1002" t="s">
        <v>1684</v>
      </c>
      <c r="AX58" s="1045" t="s">
        <v>1691</v>
      </c>
      <c r="BE58" s="1045">
        <v>2056</v>
      </c>
      <c r="BJ58" s="1142" t="s">
        <v>1648</v>
      </c>
      <c r="BL58" s="1142" t="s">
        <v>1648</v>
      </c>
    </row>
    <row r="59" spans="1:64" ht="11.25" customHeight="1">
      <c r="A59" s="1002" t="s">
        <v>1692</v>
      </c>
      <c r="D59" s="1044" t="s">
        <v>132</v>
      </c>
      <c r="E59" s="1022" t="s">
        <v>1581</v>
      </c>
      <c r="F59" s="1002" t="s">
        <v>1693</v>
      </c>
      <c r="AX59" s="1045" t="s">
        <v>1694</v>
      </c>
      <c r="AZ59" s="995" t="s">
        <v>1695</v>
      </c>
      <c r="BE59" s="1045">
        <v>2057</v>
      </c>
      <c r="BJ59" s="1142" t="s">
        <v>1651</v>
      </c>
      <c r="BL59" s="1142" t="s">
        <v>1651</v>
      </c>
    </row>
    <row r="60" spans="1:64" ht="11.25" customHeight="1">
      <c r="A60" s="1002" t="s">
        <v>1696</v>
      </c>
      <c r="D60" s="1044" t="s">
        <v>1697</v>
      </c>
      <c r="E60" s="1022" t="s">
        <v>1581</v>
      </c>
      <c r="F60" s="1002" t="s">
        <v>1693</v>
      </c>
      <c r="AX60" s="1045" t="s">
        <v>1698</v>
      </c>
      <c r="AZ60" s="1045" t="s">
        <v>1218</v>
      </c>
      <c r="BE60" s="1045">
        <v>2058</v>
      </c>
      <c r="BJ60" s="1142" t="s">
        <v>1657</v>
      </c>
      <c r="BL60" s="1142" t="s">
        <v>1657</v>
      </c>
    </row>
    <row r="61" spans="1:64" ht="11.25" customHeight="1">
      <c r="A61" s="1002" t="s">
        <v>1699</v>
      </c>
      <c r="D61" s="1044" t="s">
        <v>1700</v>
      </c>
      <c r="E61" s="1022" t="s">
        <v>1581</v>
      </c>
      <c r="F61" s="1002" t="s">
        <v>1693</v>
      </c>
      <c r="AX61" s="1045" t="s">
        <v>1701</v>
      </c>
      <c r="AZ61" s="1045" t="s">
        <v>1244</v>
      </c>
      <c r="BE61" s="1045">
        <v>2059</v>
      </c>
      <c r="BL61" s="1142" t="s">
        <v>1041</v>
      </c>
    </row>
    <row r="62" spans="1:64" ht="11.25" customHeight="1">
      <c r="A62" s="1002" t="s">
        <v>1702</v>
      </c>
      <c r="D62" s="1044" t="s">
        <v>131</v>
      </c>
      <c r="E62" s="1022">
        <v>30</v>
      </c>
      <c r="F62" s="1002" t="s">
        <v>1693</v>
      </c>
      <c r="AZ62" s="1045" t="s">
        <v>1279</v>
      </c>
      <c r="BE62" s="1045">
        <v>2060</v>
      </c>
      <c r="BL62" s="1142" t="s">
        <v>1043</v>
      </c>
    </row>
    <row r="63" spans="1:64" ht="11.25" customHeight="1">
      <c r="A63" s="1002" t="s">
        <v>1703</v>
      </c>
      <c r="D63" s="1044" t="s">
        <v>1704</v>
      </c>
      <c r="E63" s="1022">
        <v>30</v>
      </c>
      <c r="F63" s="1002" t="s">
        <v>1693</v>
      </c>
      <c r="AZ63" s="1045" t="s">
        <v>1311</v>
      </c>
      <c r="BE63" s="1045">
        <v>2061</v>
      </c>
    </row>
    <row r="64" spans="1:64" ht="11.25" customHeight="1">
      <c r="A64" s="1002" t="s">
        <v>1705</v>
      </c>
      <c r="D64" s="1044" t="s">
        <v>1706</v>
      </c>
      <c r="E64" s="1022">
        <v>30</v>
      </c>
      <c r="F64" s="1002" t="s">
        <v>1693</v>
      </c>
      <c r="AZ64" s="1045" t="s">
        <v>1334</v>
      </c>
      <c r="BE64" s="1045">
        <v>2062</v>
      </c>
    </row>
    <row r="65" spans="1:66" ht="11.25" customHeight="1">
      <c r="A65" s="1002" t="s">
        <v>1707</v>
      </c>
      <c r="D65" s="1002"/>
      <c r="BE65" s="1045">
        <v>2063</v>
      </c>
    </row>
    <row r="66" spans="1:66" ht="11.25" customHeight="1">
      <c r="A66" s="1002" t="s">
        <v>1708</v>
      </c>
      <c r="AZ66" s="995" t="s">
        <v>1709</v>
      </c>
      <c r="BE66" s="1045">
        <v>2064</v>
      </c>
    </row>
    <row r="67" spans="1:66" ht="11.25" customHeight="1">
      <c r="A67" s="1002" t="s">
        <v>1710</v>
      </c>
      <c r="AZ67" s="1045" t="s">
        <v>1219</v>
      </c>
      <c r="BE67" s="1045">
        <v>2065</v>
      </c>
    </row>
    <row r="68" spans="1:66" ht="11.25" customHeight="1">
      <c r="A68" s="1002" t="s">
        <v>1711</v>
      </c>
      <c r="AZ68" s="1045" t="s">
        <v>1245</v>
      </c>
      <c r="BE68" s="1045">
        <v>2066</v>
      </c>
      <c r="BH68" s="995" t="s">
        <v>1712</v>
      </c>
      <c r="BJ68" s="995" t="s">
        <v>1713</v>
      </c>
      <c r="BL68" s="995" t="s">
        <v>1714</v>
      </c>
      <c r="BN68" s="995" t="s">
        <v>1715</v>
      </c>
    </row>
    <row r="69" spans="1:66" ht="11.25" customHeight="1">
      <c r="A69" s="1002" t="s">
        <v>1716</v>
      </c>
      <c r="AZ69" s="1045" t="s">
        <v>1280</v>
      </c>
      <c r="BE69" s="1045">
        <v>2067</v>
      </c>
      <c r="BH69" s="996" t="s">
        <v>1717</v>
      </c>
      <c r="BI69" s="1043" t="s">
        <v>109</v>
      </c>
      <c r="BJ69" s="996" t="s">
        <v>1718</v>
      </c>
      <c r="BK69" s="1043" t="s">
        <v>109</v>
      </c>
      <c r="BL69" s="996" t="s">
        <v>1719</v>
      </c>
      <c r="BM69" s="998" t="s">
        <v>109</v>
      </c>
      <c r="BN69" s="996" t="s">
        <v>1720</v>
      </c>
    </row>
    <row r="70" spans="1:66" ht="11.25" customHeight="1">
      <c r="A70" s="1002" t="s">
        <v>1721</v>
      </c>
      <c r="AZ70" s="1045" t="s">
        <v>1312</v>
      </c>
      <c r="BE70" s="1045">
        <v>2068</v>
      </c>
      <c r="BH70" s="996" t="s">
        <v>1722</v>
      </c>
      <c r="BJ70" s="996" t="s">
        <v>1723</v>
      </c>
      <c r="BL70" s="996" t="s">
        <v>1724</v>
      </c>
      <c r="BN70" s="996" t="s">
        <v>1725</v>
      </c>
    </row>
    <row r="71" spans="1:66" ht="11.25" customHeight="1">
      <c r="A71" s="1002" t="s">
        <v>1726</v>
      </c>
      <c r="AZ71" s="1045" t="s">
        <v>1314</v>
      </c>
      <c r="BE71" s="1045">
        <v>2069</v>
      </c>
      <c r="BH71" s="996" t="s">
        <v>1727</v>
      </c>
      <c r="BI71" s="1043" t="s">
        <v>90</v>
      </c>
      <c r="BJ71" s="996" t="s">
        <v>1728</v>
      </c>
      <c r="BK71" s="1043" t="s">
        <v>90</v>
      </c>
      <c r="BL71" s="996" t="s">
        <v>1729</v>
      </c>
      <c r="BM71" s="998" t="s">
        <v>90</v>
      </c>
      <c r="BN71" s="996" t="s">
        <v>1730</v>
      </c>
    </row>
    <row r="72" spans="1:66" ht="11.25" customHeight="1">
      <c r="A72" s="1002" t="s">
        <v>1731</v>
      </c>
      <c r="AZ72" s="1045" t="s">
        <v>19</v>
      </c>
      <c r="BE72" s="1045">
        <v>2070</v>
      </c>
      <c r="BH72" s="996" t="s">
        <v>1732</v>
      </c>
      <c r="BJ72" s="996" t="s">
        <v>1732</v>
      </c>
      <c r="BL72" s="996" t="s">
        <v>1732</v>
      </c>
      <c r="BN72" s="996" t="s">
        <v>1733</v>
      </c>
    </row>
    <row r="73" spans="1:66" ht="11.25" customHeight="1">
      <c r="A73" s="1002" t="s">
        <v>1734</v>
      </c>
      <c r="BH73" s="996" t="s">
        <v>1735</v>
      </c>
      <c r="BI73" s="1043" t="s">
        <v>111</v>
      </c>
      <c r="BJ73" s="996" t="s">
        <v>1736</v>
      </c>
      <c r="BK73" s="1043" t="s">
        <v>111</v>
      </c>
      <c r="BL73" s="996" t="s">
        <v>1737</v>
      </c>
      <c r="BM73" s="998" t="s">
        <v>111</v>
      </c>
      <c r="BN73" s="996" t="s">
        <v>1738</v>
      </c>
    </row>
    <row r="74" spans="1:66" ht="11.25" customHeight="1">
      <c r="A74" s="1002" t="s">
        <v>1739</v>
      </c>
      <c r="BH74" s="996" t="s">
        <v>1740</v>
      </c>
      <c r="BJ74" s="996" t="s">
        <v>1741</v>
      </c>
      <c r="BL74" s="996" t="s">
        <v>1742</v>
      </c>
      <c r="BN74" s="996" t="s">
        <v>1743</v>
      </c>
    </row>
    <row r="75" spans="1:66" ht="11.25" customHeight="1">
      <c r="A75" s="1002" t="s">
        <v>1744</v>
      </c>
      <c r="AZ75" s="995" t="s">
        <v>1745</v>
      </c>
      <c r="BH75" s="996" t="s">
        <v>1746</v>
      </c>
      <c r="BJ75" s="996" t="s">
        <v>1746</v>
      </c>
      <c r="BL75" s="996" t="s">
        <v>1746</v>
      </c>
    </row>
    <row r="76" spans="1:66" ht="11.25" customHeight="1">
      <c r="A76" s="1002" t="s">
        <v>1747</v>
      </c>
      <c r="AZ76" s="1045" t="s">
        <v>1228</v>
      </c>
      <c r="BH76" s="996" t="s">
        <v>1748</v>
      </c>
      <c r="BJ76" s="996" t="s">
        <v>1749</v>
      </c>
      <c r="BL76" s="996" t="s">
        <v>1750</v>
      </c>
    </row>
    <row r="77" spans="1:66" ht="11.25" customHeight="1">
      <c r="A77" s="1002" t="s">
        <v>1751</v>
      </c>
      <c r="AZ77" s="1045" t="s">
        <v>1255</v>
      </c>
    </row>
    <row r="78" spans="1:66" ht="11.25" customHeight="1">
      <c r="A78" s="1002" t="s">
        <v>1752</v>
      </c>
      <c r="AZ78" s="1045" t="s">
        <v>1287</v>
      </c>
    </row>
    <row r="79" spans="1:66" ht="11.25" customHeight="1">
      <c r="A79" s="1002" t="s">
        <v>1753</v>
      </c>
      <c r="AZ79" s="1045" t="s">
        <v>1318</v>
      </c>
      <c r="BH79" s="995" t="s">
        <v>1754</v>
      </c>
      <c r="BJ79" s="995" t="s">
        <v>1755</v>
      </c>
      <c r="BL79" s="995" t="s">
        <v>1756</v>
      </c>
    </row>
    <row r="80" spans="1:66" ht="11.25" customHeight="1">
      <c r="A80" s="1002" t="s">
        <v>1757</v>
      </c>
      <c r="AZ80" s="1045" t="s">
        <v>1339</v>
      </c>
      <c r="BH80" s="996" t="s">
        <v>1758</v>
      </c>
      <c r="BJ80" s="996" t="s">
        <v>1759</v>
      </c>
      <c r="BL80" s="996" t="s">
        <v>1760</v>
      </c>
    </row>
    <row r="81" spans="1:66" ht="11.25" customHeight="1">
      <c r="A81" s="1002" t="s">
        <v>1761</v>
      </c>
      <c r="AZ81" s="1045" t="s">
        <v>1356</v>
      </c>
      <c r="BH81" s="996" t="s">
        <v>1762</v>
      </c>
      <c r="BJ81" s="996" t="s">
        <v>1763</v>
      </c>
      <c r="BL81" s="996" t="s">
        <v>1764</v>
      </c>
    </row>
    <row r="82" spans="1:66" ht="11.25" customHeight="1">
      <c r="A82" s="1002" t="s">
        <v>1765</v>
      </c>
      <c r="AZ82" s="1045" t="s">
        <v>1371</v>
      </c>
      <c r="BH82" s="996" t="s">
        <v>1766</v>
      </c>
      <c r="BJ82" s="996" t="s">
        <v>1767</v>
      </c>
      <c r="BL82" s="996" t="s">
        <v>1768</v>
      </c>
    </row>
    <row r="83" spans="1:66" ht="11.25" customHeight="1">
      <c r="A83" s="1002" t="s">
        <v>1769</v>
      </c>
      <c r="BH83" s="996" t="s">
        <v>1770</v>
      </c>
      <c r="BJ83" s="996" t="s">
        <v>1771</v>
      </c>
      <c r="BL83" s="996" t="s">
        <v>1772</v>
      </c>
    </row>
    <row r="84" spans="1:66" ht="11.25" customHeight="1">
      <c r="A84" s="1002" t="s">
        <v>1773</v>
      </c>
      <c r="AZ84" s="995" t="s">
        <v>1774</v>
      </c>
    </row>
    <row r="85" spans="1:66" ht="11.25" customHeight="1">
      <c r="A85" s="1794" t="s">
        <v>1775</v>
      </c>
      <c r="AZ85" s="1045" t="s">
        <v>1776</v>
      </c>
    </row>
    <row r="86" spans="1:66" ht="11.25" customHeight="1">
      <c r="A86" s="1002" t="s">
        <v>1777</v>
      </c>
      <c r="AZ86" s="1045" t="s">
        <v>1778</v>
      </c>
      <c r="BH86" s="995" t="s">
        <v>1779</v>
      </c>
      <c r="BJ86" s="995" t="s">
        <v>1780</v>
      </c>
      <c r="BL86" s="995" t="s">
        <v>1781</v>
      </c>
    </row>
    <row r="87" spans="1:66" ht="11.25" customHeight="1">
      <c r="A87" s="1002" t="s">
        <v>1782</v>
      </c>
      <c r="AZ87" s="1045" t="s">
        <v>1783</v>
      </c>
      <c r="BH87" s="996" t="s">
        <v>1784</v>
      </c>
      <c r="BJ87" s="996" t="s">
        <v>1785</v>
      </c>
      <c r="BL87" s="996" t="s">
        <v>1786</v>
      </c>
    </row>
    <row r="88" spans="1:66" ht="11.25" customHeight="1">
      <c r="A88" s="1002" t="s">
        <v>1787</v>
      </c>
      <c r="AZ88" s="1531"/>
      <c r="BH88" s="996" t="s">
        <v>1788</v>
      </c>
      <c r="BJ88" s="996" t="s">
        <v>1789</v>
      </c>
      <c r="BL88" s="996" t="s">
        <v>1790</v>
      </c>
    </row>
    <row r="89" spans="1:66" ht="11.25" customHeight="1">
      <c r="A89" s="1002" t="s">
        <v>1791</v>
      </c>
      <c r="AZ89" s="995" t="s">
        <v>1792</v>
      </c>
    </row>
    <row r="90" spans="1:66" ht="11.25" customHeight="1">
      <c r="A90" s="1002" t="s">
        <v>1793</v>
      </c>
      <c r="AZ90" s="1045" t="s">
        <v>1019</v>
      </c>
    </row>
    <row r="91" spans="1:66" ht="11.25" customHeight="1">
      <c r="A91" s="1002" t="s">
        <v>1794</v>
      </c>
      <c r="AZ91" s="1045" t="s">
        <v>1055</v>
      </c>
      <c r="BH91" s="995" t="s">
        <v>1795</v>
      </c>
      <c r="BJ91" s="995" t="s">
        <v>1796</v>
      </c>
      <c r="BL91" s="995" t="s">
        <v>1797</v>
      </c>
    </row>
    <row r="92" spans="1:66" ht="11.25" customHeight="1">
      <c r="AZ92" s="1045" t="s">
        <v>1798</v>
      </c>
      <c r="BH92" s="996" t="s">
        <v>1799</v>
      </c>
      <c r="BJ92" s="996" t="s">
        <v>1800</v>
      </c>
      <c r="BL92" s="996" t="s">
        <v>1801</v>
      </c>
    </row>
    <row r="93" spans="1:66" ht="11.25" customHeight="1">
      <c r="AZ93" s="1045" t="s">
        <v>1802</v>
      </c>
      <c r="BH93" s="996" t="s">
        <v>1803</v>
      </c>
      <c r="BJ93" s="996" t="s">
        <v>1804</v>
      </c>
      <c r="BL93" s="996" t="s">
        <v>1805</v>
      </c>
    </row>
    <row r="94" spans="1:66" ht="11.25" customHeight="1">
      <c r="AZ94" s="1045" t="s">
        <v>1806</v>
      </c>
    </row>
    <row r="96" spans="1:66" ht="11.25" customHeight="1">
      <c r="AZ96" s="995" t="s">
        <v>1807</v>
      </c>
      <c r="BH96" s="995" t="s">
        <v>1808</v>
      </c>
      <c r="BJ96" s="995" t="s">
        <v>1809</v>
      </c>
      <c r="BL96" s="995" t="s">
        <v>1810</v>
      </c>
      <c r="BN96" s="995" t="s">
        <v>1811</v>
      </c>
    </row>
    <row r="97" spans="52:66" ht="11.25" customHeight="1">
      <c r="AZ97" s="1825" t="s">
        <v>1812</v>
      </c>
      <c r="BA97" s="1826" t="s">
        <v>1813</v>
      </c>
      <c r="BH97" s="996" t="s">
        <v>1814</v>
      </c>
      <c r="BJ97" s="996" t="s">
        <v>1815</v>
      </c>
      <c r="BL97" s="996" t="s">
        <v>1816</v>
      </c>
      <c r="BN97" s="996" t="s">
        <v>1817</v>
      </c>
    </row>
    <row r="98" spans="52:66" ht="11.25" customHeight="1">
      <c r="AZ98" s="1825" t="s">
        <v>1818</v>
      </c>
      <c r="BA98" s="1826" t="s">
        <v>1819</v>
      </c>
      <c r="BH98" s="996" t="s">
        <v>1820</v>
      </c>
      <c r="BJ98" s="996" t="s">
        <v>1821</v>
      </c>
      <c r="BL98" s="996" t="s">
        <v>1822</v>
      </c>
      <c r="BN98" s="996" t="s">
        <v>1823</v>
      </c>
    </row>
    <row r="99" spans="52:66" ht="22.5" customHeight="1">
      <c r="AZ99" s="1825" t="s">
        <v>1824</v>
      </c>
      <c r="BA99" s="1826" t="str">
        <f>"не позднее чем за "&amp;IF(TEMPLATE_SPHERE="TKO","3","10")&amp;" дней до дня проведения заседания правления"</f>
        <v>не позднее чем за 10 дней до дня проведения заседания правления</v>
      </c>
      <c r="BH99" s="996" t="s">
        <v>1825</v>
      </c>
      <c r="BJ99" s="996" t="s">
        <v>1826</v>
      </c>
      <c r="BL99" s="996" t="s">
        <v>1827</v>
      </c>
      <c r="BN99" s="996" t="s">
        <v>1828</v>
      </c>
    </row>
    <row r="100" spans="52:66" ht="22.5" customHeight="1">
      <c r="AZ100" s="1825" t="s">
        <v>1829</v>
      </c>
      <c r="BA100" s="1826" t="str">
        <f>"в течение "&amp;IF(TEMPLATE_SPHERE="HEAT","5","7")&amp;" рабочих дней со дня принятия соответствующего решения"</f>
        <v>в течение 5 рабочих дней со дня принятия соответствующего решения</v>
      </c>
      <c r="BJ100" s="996" t="s">
        <v>1417</v>
      </c>
      <c r="BL100" s="996" t="s">
        <v>1417</v>
      </c>
      <c r="BN100" s="996" t="s">
        <v>1830</v>
      </c>
    </row>
    <row r="101" spans="52:66" ht="22.5" customHeight="1">
      <c r="AZ101" s="1825" t="s">
        <v>1831</v>
      </c>
      <c r="BA101" s="1826" t="s">
        <v>1832</v>
      </c>
      <c r="BN101" s="996" t="s">
        <v>1833</v>
      </c>
    </row>
    <row r="102" spans="52:66" ht="22.5" customHeight="1">
      <c r="AZ102" s="1825" t="s">
        <v>1834</v>
      </c>
      <c r="BA102" s="1826" t="str">
        <f>"в течение "&amp;IF(TEMPLATE_SPHERE="HEAT","5","7")&amp;" рабочих дней со дня принятия соответствующего решения"</f>
        <v>в течение 5 рабочих дней со дня принятия соответствующего решения</v>
      </c>
      <c r="BN102" s="996" t="s">
        <v>1835</v>
      </c>
    </row>
    <row r="103" spans="52:66" ht="11.25" customHeight="1">
      <c r="AZ103" s="1825" t="s">
        <v>1836</v>
      </c>
      <c r="BA103" s="1826" t="s">
        <v>1837</v>
      </c>
      <c r="BN103" s="996" t="s">
        <v>1838</v>
      </c>
    </row>
    <row r="104" spans="52:66" ht="11.25" customHeight="1">
      <c r="BN104" s="996" t="s">
        <v>1839</v>
      </c>
    </row>
    <row r="105" spans="52:66" ht="11.25" customHeight="1">
      <c r="AZ105" s="1617" t="s">
        <v>1840</v>
      </c>
    </row>
    <row r="106" spans="52:66" ht="11.25" customHeight="1">
      <c r="AZ106" s="1045" t="s">
        <v>1841</v>
      </c>
    </row>
    <row r="107" spans="52:66" ht="11.25" customHeight="1">
      <c r="AZ107" s="1045" t="s">
        <v>1842</v>
      </c>
      <c r="BH107" s="995" t="s">
        <v>1843</v>
      </c>
      <c r="BJ107" s="995" t="s">
        <v>1844</v>
      </c>
      <c r="BL107" s="995" t="s">
        <v>1845</v>
      </c>
      <c r="BN107" s="995" t="s">
        <v>1846</v>
      </c>
    </row>
    <row r="108" spans="52:66" ht="11.25" customHeight="1">
      <c r="AZ108" s="1045" t="s">
        <v>570</v>
      </c>
      <c r="BH108" s="996" t="s">
        <v>1847</v>
      </c>
      <c r="BJ108" s="996" t="s">
        <v>1848</v>
      </c>
      <c r="BL108" s="996" t="s">
        <v>1503</v>
      </c>
      <c r="BN108" s="996" t="s">
        <v>1849</v>
      </c>
    </row>
    <row r="109" spans="52:66" ht="11.25" customHeight="1">
      <c r="BH109" s="996" t="s">
        <v>1850</v>
      </c>
    </row>
    <row r="110" spans="52:66" ht="11.25" customHeight="1">
      <c r="AZ110" s="1617" t="s">
        <v>1851</v>
      </c>
      <c r="BH110" s="996" t="s">
        <v>1850</v>
      </c>
    </row>
    <row r="111" spans="52:66" ht="11.25" customHeight="1">
      <c r="AZ111" s="1825" t="s">
        <v>1812</v>
      </c>
      <c r="BA111" s="1826" t="s">
        <v>1813</v>
      </c>
    </row>
    <row r="112" spans="52:66" ht="11.25" customHeight="1">
      <c r="AZ112" s="1825" t="s">
        <v>1818</v>
      </c>
      <c r="BA112" s="1826" t="s">
        <v>1819</v>
      </c>
    </row>
    <row r="113" spans="52:60" ht="22.5" customHeight="1">
      <c r="AZ113" s="1825" t="s">
        <v>1824</v>
      </c>
      <c r="BA113" s="1826" t="str">
        <f>"не позднее чем за "&amp;IF(TEMPLATE_SPHERE="TKO","3","10")&amp;" дней до дня проведения заседания правления"</f>
        <v>не позднее чем за 10 дней до дня проведения заседания правления</v>
      </c>
    </row>
    <row r="114" spans="52:60" ht="22.5" customHeight="1">
      <c r="AZ114" s="1825" t="s">
        <v>1829</v>
      </c>
      <c r="BA114" s="1826" t="str">
        <f>"в течение "&amp;IF(TEMPLATE_SPHERE="HEAT","5","7")&amp;" рабочих дней со дня принятия соответствующего решения"</f>
        <v>в течение 5 рабочих дней со дня принятия соответствующего решения</v>
      </c>
      <c r="BH114" s="995" t="s">
        <v>1852</v>
      </c>
    </row>
    <row r="115" spans="52:60" ht="22.5" customHeight="1">
      <c r="AZ115" s="1825" t="s">
        <v>1834</v>
      </c>
      <c r="BA115" s="1826" t="str">
        <f>"в течение "&amp;IF(TEMPLATE_SPHERE="HEAT","5","7")&amp;" рабочих дней со дня принятия соответствующего решения"</f>
        <v>в течение 5 рабочих дней со дня принятия соответствующего решения</v>
      </c>
      <c r="BH115" s="996" t="s">
        <v>1215</v>
      </c>
    </row>
    <row r="116" spans="52:60" ht="11.25" customHeight="1">
      <c r="AZ116" s="1825" t="s">
        <v>1836</v>
      </c>
      <c r="BA116" s="1826" t="s">
        <v>1837</v>
      </c>
      <c r="BH116" s="996" t="s">
        <v>1241</v>
      </c>
    </row>
    <row r="117" spans="52:60" ht="11.25" customHeight="1">
      <c r="BH117" s="996" t="s">
        <v>1276</v>
      </c>
    </row>
    <row r="118" spans="52:60" ht="11.25" customHeight="1">
      <c r="BH118" s="996" t="s">
        <v>1309</v>
      </c>
    </row>
  </sheetData>
  <sheetProtection formatColumns="0" formatRows="0" insertRows="0" deleteColumns="0" deleteRows="0" sort="0" autoFilter="0"/>
  <pageMargins left="0.75" right="0.75" top="1" bottom="1" header="0.5" footer="0.5"/>
  <pageSetup paperSize="9" orientation="portrait"/>
  <headerFooter>
    <oddHeader>&amp;L&amp;C&amp;R</oddHeader>
    <oddFooter>&amp;L&amp;C&amp;R</oddFooter>
    <evenHeader>&amp;L&amp;C&amp;R</evenHeader>
    <evenFooter>&amp;L&amp;C&amp;R</evenFooter>
  </headerFooter>
  <legacyDrawing r:id="rId1"/>
</worksheet>
</file>

<file path=xl/worksheets/sheet5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25"/>
  <sheetViews>
    <sheetView showGridLines="0" zoomScale="90" workbookViewId="0">
      <pane xSplit="5" ySplit="11" topLeftCell="F12" activePane="bottomRight" state="frozen"/>
      <selection pane="topRight" activeCell="F1" sqref="F1"/>
      <selection pane="bottomLeft" activeCell="A12" sqref="A12"/>
      <selection pane="bottomRight"/>
    </sheetView>
  </sheetViews>
  <sheetFormatPr defaultColWidth="9.140625" defaultRowHeight="11.25" customHeight="1"/>
  <cols>
    <col min="1" max="2" width="15" style="436" hidden="1" customWidth="1"/>
    <col min="3" max="3" width="3" style="390" customWidth="1"/>
    <col min="4" max="4" width="6" style="391" customWidth="1"/>
    <col min="5" max="5" width="52" style="390" customWidth="1"/>
    <col min="6" max="6" width="48" style="390" customWidth="1"/>
    <col min="7" max="7" width="93" style="390" customWidth="1"/>
    <col min="8" max="8" width="8" style="390" customWidth="1"/>
    <col min="9" max="9" width="64" style="390" customWidth="1"/>
    <col min="10" max="10" width="9.140625" style="390" hidden="1"/>
  </cols>
  <sheetData>
    <row r="1" spans="1:10" ht="11.25" hidden="1" customHeight="1">
      <c r="A1" s="436" t="s">
        <v>298</v>
      </c>
      <c r="J1" s="390" t="s">
        <v>14</v>
      </c>
    </row>
    <row r="2" spans="1:10" ht="22.5" hidden="1" customHeight="1">
      <c r="A2" s="437"/>
      <c r="B2" s="437"/>
      <c r="C2" s="1655" t="s">
        <v>688</v>
      </c>
      <c r="D2" s="1445"/>
      <c r="E2" s="1451"/>
      <c r="F2" s="1474"/>
      <c r="H2" s="410"/>
      <c r="J2" s="390">
        <v>0</v>
      </c>
    </row>
    <row r="3" spans="1:10" ht="11.25" hidden="1" customHeight="1">
      <c r="J3" s="390">
        <v>0</v>
      </c>
    </row>
    <row r="4" spans="1:10" ht="11.45" customHeight="1">
      <c r="A4" s="1475"/>
      <c r="B4" s="1475"/>
      <c r="J4" s="390">
        <v>11</v>
      </c>
    </row>
    <row r="5" spans="1:10" ht="27.4" customHeight="1">
      <c r="D5" s="2059" t="str">
        <f>"Форма "&amp;IF(TEMPLATE_SPHERE="HEAT","2","1")&amp;". Информация об органе регулирования тарифов в сфере "&amp;IF(OR(TEMPLATE_SPHERE="HEAT",TEMPLATE_SPHERE="TKO"),TEMPLATE_SPHERE_RUS,"водоснабжения и водоотведения")&amp;" (далее – орган регулирования тарифов)"</f>
        <v>Форма 2. Информация об органе регулирования тарифов в сфере теплоснабжения (далее – орган регулирования тарифов)</v>
      </c>
      <c r="E5" s="2060"/>
      <c r="F5" s="2061"/>
      <c r="I5" s="650"/>
      <c r="J5" s="390">
        <v>26</v>
      </c>
    </row>
    <row r="6" spans="1:10" ht="18" customHeight="1">
      <c r="D6" s="2115" t="str">
        <f>IF(region_name=0,"Не определено",region_name)</f>
        <v>Нижегородская область</v>
      </c>
      <c r="E6" s="2115"/>
      <c r="F6" s="2115"/>
      <c r="I6" s="650"/>
      <c r="J6" s="390">
        <v>17</v>
      </c>
    </row>
    <row r="7" spans="1:10" s="412" customFormat="1" ht="11.45" customHeight="1">
      <c r="A7" s="436"/>
      <c r="B7" s="436"/>
      <c r="D7" s="649"/>
      <c r="E7" s="649"/>
      <c r="F7" s="687"/>
      <c r="G7" s="649"/>
      <c r="J7" s="412">
        <v>11</v>
      </c>
    </row>
    <row r="8" spans="1:10" ht="11.25" hidden="1" customHeight="1">
      <c r="A8" s="437"/>
      <c r="B8" s="437"/>
      <c r="C8" s="392"/>
      <c r="D8" s="398"/>
      <c r="E8" s="2143"/>
      <c r="F8" s="2143"/>
      <c r="J8" s="390">
        <v>0</v>
      </c>
    </row>
    <row r="9" spans="1:10" ht="11.45" customHeight="1">
      <c r="A9" s="437"/>
      <c r="B9" s="437"/>
      <c r="C9" s="392"/>
      <c r="D9" s="2140" t="s">
        <v>299</v>
      </c>
      <c r="E9" s="2141"/>
      <c r="F9" s="2141"/>
      <c r="G9" s="2144" t="s">
        <v>300</v>
      </c>
      <c r="J9" s="390">
        <v>11</v>
      </c>
    </row>
    <row r="10" spans="1:10" ht="11.45" customHeight="1">
      <c r="A10" s="437"/>
      <c r="B10" s="437"/>
      <c r="C10" s="392"/>
      <c r="D10" s="1399" t="s">
        <v>88</v>
      </c>
      <c r="E10" s="1401" t="s">
        <v>301</v>
      </c>
      <c r="F10" s="1401" t="s">
        <v>302</v>
      </c>
      <c r="G10" s="2145"/>
      <c r="J10" s="390">
        <v>11</v>
      </c>
    </row>
    <row r="11" spans="1:10" ht="1.1499999999999999" customHeight="1">
      <c r="A11" s="437"/>
      <c r="B11" s="437"/>
      <c r="C11" s="392"/>
      <c r="D11" s="399"/>
      <c r="E11" s="399"/>
      <c r="F11" s="399"/>
      <c r="G11" s="399"/>
      <c r="J11" s="390">
        <v>1</v>
      </c>
    </row>
    <row r="12" spans="1:10" ht="24" customHeight="1">
      <c r="A12" s="437"/>
      <c r="B12" s="437"/>
      <c r="C12" s="392"/>
      <c r="D12" s="1445">
        <v>1</v>
      </c>
      <c r="E12" s="409" t="str">
        <f>"Наименование "&amp;IF(TEMPLATE_SPHERE="TKO","регионального органа","органа "&amp;IF(TEMPLATE_SPHERE="HEAT","тарифного ",""))&amp;"регулирования "&amp;IF(TEMPLATE_SPHERE="TKO","(орган местного самоуправления)",IF(TEMPLATE_SPHERE="HEAT","","тарифов"))</f>
        <v xml:space="preserve">Наименование органа тарифного регулирования </v>
      </c>
      <c r="F12" s="1832" t="str">
        <f>IF(org="","",org)</f>
        <v>ООО "ЗЕНИТ ЭНЕРГО"</v>
      </c>
      <c r="G12" s="409" t="str">
        <f>"Указывается в соответствии с нормативным правовым актом, на основании которого "&amp;IF(TEMPLATE_SPHERE="TKO","региональный орган","орган "&amp;IF(TEMPLATE_SPHERE="HEAT","тарифного ",""))&amp;" регулирования "&amp;IF(TEMPLATE_SPHERE="TKO","(орган местного самоуправления)",IF(TEMPLATE_SPHERE="HEAT","","тарифов"))&amp;" образован."</f>
        <v>Указывается в соответствии с нормативным правовым актом, на основании которого орган тарифного  регулирования  образован.</v>
      </c>
      <c r="H12" s="1458"/>
      <c r="J12" s="390">
        <v>23</v>
      </c>
    </row>
    <row r="13" spans="1:10" ht="19.899999999999999" customHeight="1">
      <c r="A13" s="437"/>
      <c r="B13" s="437"/>
      <c r="C13" s="392"/>
      <c r="D13" s="1445">
        <v>2</v>
      </c>
      <c r="E13" s="1452" t="s">
        <v>1853</v>
      </c>
      <c r="F13" s="1446" t="s">
        <v>305</v>
      </c>
      <c r="G13" s="409"/>
      <c r="H13" s="1458"/>
      <c r="J13" s="390">
        <v>19</v>
      </c>
    </row>
    <row r="14" spans="1:10" ht="19.899999999999999" customHeight="1">
      <c r="A14" s="437"/>
      <c r="B14" s="437"/>
      <c r="C14" s="392"/>
      <c r="D14" s="1448" t="s">
        <v>708</v>
      </c>
      <c r="E14" s="1449" t="s">
        <v>1854</v>
      </c>
      <c r="F14" s="1451"/>
      <c r="G14" s="1450" t="s">
        <v>1855</v>
      </c>
      <c r="H14" s="1458"/>
      <c r="J14" s="390">
        <v>19</v>
      </c>
    </row>
    <row r="15" spans="1:10" ht="19.899999999999999" customHeight="1">
      <c r="A15" s="437"/>
      <c r="B15" s="437"/>
      <c r="C15" s="392"/>
      <c r="D15" s="1448" t="s">
        <v>306</v>
      </c>
      <c r="E15" s="1449" t="s">
        <v>1856</v>
      </c>
      <c r="F15" s="1451"/>
      <c r="G15" s="1450" t="s">
        <v>1857</v>
      </c>
      <c r="H15" s="1458"/>
      <c r="J15" s="390">
        <v>19</v>
      </c>
    </row>
    <row r="16" spans="1:10" ht="24" customHeight="1">
      <c r="A16" s="437"/>
      <c r="B16" s="437"/>
      <c r="C16" s="392"/>
      <c r="D16" s="1448" t="s">
        <v>309</v>
      </c>
      <c r="E16" s="1447" t="s">
        <v>1858</v>
      </c>
      <c r="F16" s="1456"/>
      <c r="G16" s="409" t="s">
        <v>1859</v>
      </c>
      <c r="H16" s="1458"/>
      <c r="J16" s="390">
        <v>23</v>
      </c>
    </row>
    <row r="17" spans="1:10" ht="48.2" customHeight="1">
      <c r="A17" s="437"/>
      <c r="B17" s="437"/>
      <c r="C17" s="392"/>
      <c r="D17" s="1445">
        <v>3</v>
      </c>
      <c r="E17" s="1452" t="s">
        <v>1860</v>
      </c>
      <c r="F17" s="1451"/>
      <c r="G17" s="409" t="s">
        <v>1861</v>
      </c>
      <c r="H17" s="1458"/>
      <c r="J17" s="390">
        <v>46</v>
      </c>
    </row>
    <row r="18" spans="1:10" ht="48.2" customHeight="1">
      <c r="A18" s="1400">
        <v>1</v>
      </c>
      <c r="B18" s="437"/>
      <c r="C18" s="1402"/>
      <c r="D18" s="1445" t="s">
        <v>91</v>
      </c>
      <c r="E18" s="1452" t="s">
        <v>1862</v>
      </c>
      <c r="F18" s="1451"/>
      <c r="G18" s="409" t="s">
        <v>1861</v>
      </c>
      <c r="H18" s="1458"/>
      <c r="I18" s="781"/>
      <c r="J18" s="390">
        <v>46</v>
      </c>
    </row>
    <row r="19" spans="1:10" ht="23.25" customHeight="1">
      <c r="A19" s="437"/>
      <c r="B19" s="437"/>
      <c r="C19" s="392"/>
      <c r="D19" s="1445" t="s">
        <v>111</v>
      </c>
      <c r="E19" s="1452" t="s">
        <v>1863</v>
      </c>
      <c r="F19" s="1446" t="s">
        <v>305</v>
      </c>
      <c r="G19" s="2348" t="s">
        <v>1864</v>
      </c>
      <c r="H19" s="410"/>
      <c r="J19" s="390">
        <v>22</v>
      </c>
    </row>
    <row r="20" spans="1:10" s="1455" customFormat="1" ht="5.25" hidden="1" customHeight="1">
      <c r="A20" s="437"/>
      <c r="B20" s="437"/>
      <c r="C20" s="1454"/>
      <c r="D20" s="1453" t="s">
        <v>1116</v>
      </c>
      <c r="E20" s="942"/>
      <c r="F20" s="941"/>
      <c r="G20" s="2349"/>
      <c r="J20" s="1455">
        <v>0</v>
      </c>
    </row>
    <row r="21" spans="1:10" ht="15.75" customHeight="1">
      <c r="A21" s="437"/>
      <c r="B21" s="437"/>
      <c r="C21" s="392"/>
      <c r="D21" s="402"/>
      <c r="E21" s="350" t="s">
        <v>338</v>
      </c>
      <c r="F21" s="404"/>
      <c r="G21" s="2350"/>
      <c r="H21" s="1458"/>
      <c r="J21" s="390">
        <v>15</v>
      </c>
    </row>
    <row r="22" spans="1:10" s="436" customFormat="1" ht="26.25" customHeight="1">
      <c r="A22" s="437"/>
      <c r="B22" s="437"/>
      <c r="C22" s="437"/>
      <c r="D22" s="1445" t="s">
        <v>92</v>
      </c>
      <c r="E22" s="409" t="s">
        <v>1865</v>
      </c>
      <c r="F22" s="1451"/>
      <c r="G22" s="409" t="s">
        <v>1866</v>
      </c>
      <c r="H22" s="1457"/>
      <c r="J22" s="436">
        <v>25</v>
      </c>
    </row>
    <row r="23" spans="1:10" s="436" customFormat="1" ht="19.899999999999999" customHeight="1">
      <c r="A23" s="437"/>
      <c r="B23" s="437"/>
      <c r="C23" s="437"/>
      <c r="D23" s="1445" t="s">
        <v>93</v>
      </c>
      <c r="E23" s="1452" t="s">
        <v>1867</v>
      </c>
      <c r="F23" s="1456"/>
      <c r="G23" s="409" t="s">
        <v>1868</v>
      </c>
      <c r="H23" s="1457"/>
      <c r="J23" s="436">
        <v>19</v>
      </c>
    </row>
    <row r="24" spans="1:10" s="436" customFormat="1" ht="144" hidden="1" customHeight="1">
      <c r="A24" s="437"/>
      <c r="B24" s="437"/>
      <c r="C24" s="437"/>
      <c r="D24" s="1445" t="s">
        <v>112</v>
      </c>
      <c r="E24" s="1821" t="str">
        <f>"Доклад, содержащий результаты обобщения правоприменительной практики, в рамках регионального государственного контроля (надзора) в области регулирования "&amp;IF(TEMPLATE_SPHERE="HEAT","цен (тарифов)","тарифов")&amp;" в сфере "&amp;IF(OR(TEMPLATE_SPHERE="HEAT",TEMPLATE_SPHERE="TKO"),TEMPLATE_SPHERE_RUS,"водоснабжения и водоотведения")&amp;" в случае, если региональный государственный контроль (надзор) в области регулирования "&amp;IF(TEMPLATE_SPHERE="HEAT","цен (тарифов)","тарифов")&amp;" в сфере "&amp;IF(OR(TEMPLATE_SPHERE="HEAT",TEMPLATE_SPHERE="TKO"),TEMPLATE_SPHERE_RUS,"водоснабжения и водоотведения")&amp;" в соответствии с положением, утвержденным высшим исполнительным органом субъекта Российской Федерации, осуществляется "&amp;IF(TEMPLATE_SPHERE="TKO","региональным органом регулирования","исполнительным органом субъекта Российской Федерации в области государственного регулирования "&amp;IF(TEMPLATE_SPHERE="HEAT","цен (тарифов)","тарифов"))</f>
        <v>Доклад, содержащий результаты обобщения правоприменительной практики, в рамках регионального государственного контроля (надзора) в области регулирования цен (тарифов) в сфере теплоснабжения в случае, если региональный государственный контроль (надзор) в области регулирования цен (тарифов) в сфере теплоснабжения в соответствии с положением, утвержденным высшим исполнительным органом субъекта Российской Федерации, осуществляется исполнительным органом субъекта Российской Федерации в области государственного регулирования цен (тарифов)</v>
      </c>
      <c r="F24" s="1822"/>
      <c r="G24" s="1820" t="str">
        <f>IF(TEMPLATE_SPHERE="TKO","Раскрывается региональным органом регулирования. ",IF(TEMPLATE_SPHERE="HEAT","Раскрывается исполнительным органом субъекта Российской Федерации в области государственного регулирования цен (тарифов). ",""))&amp;"Указывается ссылка на документ, предварительно загруженный в хранилище файлов ФГИС ЕИАС."</f>
        <v>Раскрывается исполнительным органом субъекта Российской Федерации в области государственного регулирования цен (тарифов). Указывается ссылка на документ, предварительно загруженный в хранилище файлов ФГИС ЕИАС.</v>
      </c>
      <c r="H24" s="1457"/>
      <c r="J24" s="436">
        <v>0</v>
      </c>
    </row>
    <row r="25" spans="1:10" ht="11.25" hidden="1" customHeight="1">
      <c r="A25" s="436" t="s">
        <v>82</v>
      </c>
      <c r="B25" s="436">
        <v>0</v>
      </c>
      <c r="C25" s="390">
        <v>3</v>
      </c>
      <c r="D25" s="391">
        <v>6</v>
      </c>
      <c r="E25" s="390">
        <v>52</v>
      </c>
      <c r="F25" s="390">
        <v>48</v>
      </c>
      <c r="G25" s="390">
        <v>93</v>
      </c>
      <c r="H25" s="390">
        <v>8</v>
      </c>
      <c r="I25" s="390">
        <v>64</v>
      </c>
      <c r="J25" s="390">
        <v>11</v>
      </c>
    </row>
  </sheetData>
  <sheetProtection formatColumns="0" formatRows="0" insertRows="0" deleteColumns="0" deleteRows="0" sort="0" autoFilter="0"/>
  <mergeCells count="6">
    <mergeCell ref="G19:G21"/>
    <mergeCell ref="D5:F5"/>
    <mergeCell ref="D6:F6"/>
    <mergeCell ref="E8:F8"/>
    <mergeCell ref="D9:F9"/>
    <mergeCell ref="G9:G10"/>
  </mergeCells>
  <dataValidations count="2">
    <dataValidation type="textLength" operator="lessThanOrEqual" allowBlank="1" showInputMessage="1" showErrorMessage="1" errorTitle="Ошибка" error="Допускается ввод не более 900 символов!" sqref="F12 F14:F18 F22:F23">
      <formula1>900</formula1>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F24">
      <formula1>900</formula1>
    </dataValidation>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5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U24"/>
  <sheetViews>
    <sheetView showGridLines="0" zoomScale="90" workbookViewId="0">
      <pane xSplit="5" ySplit="8" topLeftCell="F9" activePane="bottomRight" state="frozen"/>
      <selection pane="topRight" activeCell="F1" sqref="F1"/>
      <selection pane="bottomLeft" activeCell="A9" sqref="A9"/>
      <selection pane="bottomRight"/>
    </sheetView>
  </sheetViews>
  <sheetFormatPr defaultColWidth="9.140625" defaultRowHeight="14.25" customHeight="1"/>
  <cols>
    <col min="1" max="1" width="9.140625" style="1560" hidden="1"/>
    <col min="2" max="2" width="9.140625" style="1291" hidden="1"/>
    <col min="3" max="3" width="3.7109375" style="1560" hidden="1" customWidth="1"/>
    <col min="4" max="4" width="3" style="1766" customWidth="1"/>
    <col min="5" max="5" width="6" style="1560" customWidth="1"/>
    <col min="6" max="6" width="46" style="1560" customWidth="1"/>
    <col min="7" max="8" width="16" style="1560" customWidth="1"/>
    <col min="9" max="9" width="35" style="1560" customWidth="1"/>
    <col min="10" max="10" width="89" style="1560" customWidth="1"/>
    <col min="11" max="11" width="3" style="1549" customWidth="1"/>
    <col min="12" max="14" width="8" style="1549" customWidth="1"/>
    <col min="15" max="15" width="25" style="1549" customWidth="1"/>
    <col min="16" max="16" width="14" style="1549" customWidth="1"/>
    <col min="17" max="20" width="8" style="161" customWidth="1"/>
    <col min="21" max="254" width="8" style="1560" customWidth="1"/>
    <col min="255" max="255" width="9.140625" style="1560" hidden="1"/>
  </cols>
  <sheetData>
    <row r="1" spans="1:255" ht="22.5" hidden="1" customHeight="1">
      <c r="F1" s="1556" t="s">
        <v>1869</v>
      </c>
      <c r="G1" s="1556" t="s">
        <v>48</v>
      </c>
      <c r="H1" s="1556" t="s">
        <v>50</v>
      </c>
      <c r="IU1" s="1080" t="s">
        <v>14</v>
      </c>
    </row>
    <row r="2" spans="1:255" s="1774" customFormat="1" ht="22.5" hidden="1" customHeight="1">
      <c r="A2" s="760"/>
      <c r="B2" s="1085">
        <v>1</v>
      </c>
      <c r="C2" s="1085"/>
      <c r="D2" s="1849" t="s">
        <v>688</v>
      </c>
      <c r="E2" s="1409"/>
      <c r="F2" s="1416"/>
      <c r="G2" s="1416"/>
      <c r="H2" s="1416"/>
      <c r="I2" s="1905"/>
      <c r="J2" s="1906"/>
      <c r="K2" s="1460"/>
      <c r="L2" s="446"/>
      <c r="M2" s="446"/>
      <c r="N2" s="435" t="str">
        <f t="array" ref="N2">IF(ISERROR(MATCH(MID(O2,1,250),MID(note_ter,1,250),0)),"n","y")</f>
        <v>n</v>
      </c>
      <c r="O2" s="446"/>
      <c r="P2" s="435" t="str">
        <f>G2&amp;"("&amp;J2&amp;")"</f>
        <v>()</v>
      </c>
      <c r="Q2" s="1085"/>
      <c r="R2" s="1085"/>
      <c r="S2" s="355"/>
      <c r="T2" s="1085"/>
      <c r="U2" s="1085"/>
      <c r="V2" s="1085"/>
      <c r="W2" s="357"/>
      <c r="X2" s="357"/>
      <c r="Y2" s="354"/>
      <c r="Z2" s="354"/>
      <c r="AA2" s="354"/>
      <c r="AB2" s="354"/>
      <c r="AC2" s="354"/>
      <c r="AD2" s="354"/>
      <c r="AE2" s="354"/>
      <c r="AF2" s="354"/>
      <c r="AG2" s="354"/>
      <c r="AH2" s="354"/>
      <c r="AI2" s="354"/>
      <c r="AJ2" s="354"/>
      <c r="AK2" s="354"/>
      <c r="AL2" s="354"/>
      <c r="AM2" s="354"/>
      <c r="AN2" s="354"/>
      <c r="AO2" s="354"/>
      <c r="AP2" s="354"/>
      <c r="AQ2" s="354"/>
      <c r="AR2" s="354"/>
      <c r="AS2" s="354"/>
      <c r="AT2" s="354"/>
      <c r="AU2" s="354"/>
      <c r="AV2" s="354"/>
      <c r="AW2" s="354"/>
      <c r="AX2" s="354"/>
      <c r="AY2" s="354"/>
      <c r="AZ2" s="354"/>
      <c r="BA2" s="354"/>
      <c r="BB2" s="354"/>
      <c r="BC2" s="354"/>
      <c r="BD2" s="354"/>
      <c r="BE2" s="354"/>
      <c r="BF2" s="354"/>
      <c r="BG2" s="354"/>
      <c r="BH2" s="354"/>
      <c r="BI2" s="354"/>
      <c r="BJ2" s="354"/>
      <c r="BK2" s="354"/>
      <c r="BL2" s="354"/>
      <c r="BM2" s="354"/>
      <c r="BN2" s="354"/>
      <c r="BO2" s="354"/>
      <c r="BP2" s="354"/>
      <c r="BQ2" s="354"/>
      <c r="BR2" s="354"/>
      <c r="BS2" s="354"/>
      <c r="BT2" s="357"/>
      <c r="BU2" s="357"/>
      <c r="BV2" s="357"/>
      <c r="BW2" s="357"/>
      <c r="BX2" s="357"/>
      <c r="BY2" s="357"/>
      <c r="BZ2" s="357"/>
      <c r="CA2" s="357"/>
      <c r="CB2" s="357"/>
      <c r="CC2" s="357"/>
      <c r="IU2" s="358">
        <v>0</v>
      </c>
    </row>
    <row r="3" spans="1:255" s="1567" customFormat="1" ht="4.1500000000000004" customHeight="1">
      <c r="A3" s="431"/>
      <c r="D3" s="429"/>
      <c r="F3" s="183" t="s">
        <v>83</v>
      </c>
      <c r="G3" s="429" t="s">
        <v>84</v>
      </c>
      <c r="H3" s="429"/>
      <c r="I3" s="429"/>
      <c r="J3" s="163" t="s">
        <v>85</v>
      </c>
      <c r="K3" s="183" t="s">
        <v>83</v>
      </c>
      <c r="L3" s="183"/>
      <c r="M3" s="183"/>
      <c r="N3" s="183"/>
      <c r="O3" s="184"/>
      <c r="P3" s="183"/>
      <c r="Q3" s="183"/>
      <c r="R3" s="183"/>
      <c r="S3" s="183"/>
      <c r="T3" s="183"/>
      <c r="U3" s="163"/>
      <c r="V3" s="163"/>
      <c r="W3" s="163"/>
      <c r="X3" s="163"/>
      <c r="Y3" s="163"/>
      <c r="Z3" s="163"/>
      <c r="AA3" s="163"/>
      <c r="AB3" s="163"/>
      <c r="AC3" s="163"/>
      <c r="AD3" s="163"/>
      <c r="AE3" s="163"/>
      <c r="AF3" s="163"/>
      <c r="AG3" s="163"/>
      <c r="AH3" s="163"/>
      <c r="AI3" s="163"/>
      <c r="AJ3" s="163"/>
      <c r="AK3" s="163"/>
      <c r="AL3" s="163"/>
      <c r="AM3" s="163"/>
      <c r="AN3" s="163"/>
      <c r="AO3" s="163"/>
      <c r="AP3" s="163"/>
      <c r="AQ3" s="163"/>
      <c r="AR3" s="163"/>
      <c r="AS3" s="163"/>
      <c r="AT3" s="163"/>
      <c r="AU3" s="163"/>
      <c r="AV3" s="163"/>
      <c r="AW3" s="163"/>
      <c r="AX3" s="163"/>
      <c r="AY3" s="163"/>
      <c r="AZ3" s="163"/>
      <c r="BA3" s="163"/>
      <c r="BB3" s="163"/>
      <c r="BC3" s="163"/>
      <c r="BD3" s="163"/>
      <c r="BE3" s="163"/>
      <c r="BF3" s="163"/>
      <c r="BG3" s="163"/>
      <c r="BH3" s="163"/>
      <c r="BI3" s="163"/>
      <c r="BJ3" s="163"/>
      <c r="BK3" s="163"/>
      <c r="BL3" s="163"/>
      <c r="BM3" s="163"/>
      <c r="BN3" s="163"/>
      <c r="BO3" s="163"/>
      <c r="BP3" s="163"/>
      <c r="BQ3" s="163"/>
      <c r="BR3" s="163"/>
      <c r="BS3" s="163"/>
      <c r="BT3" s="163"/>
      <c r="BU3" s="163"/>
      <c r="BV3" s="163"/>
      <c r="BW3" s="163"/>
      <c r="BX3" s="163"/>
      <c r="BY3" s="163"/>
      <c r="BZ3" s="163"/>
      <c r="CA3" s="163"/>
      <c r="CB3" s="163"/>
      <c r="CC3" s="163"/>
      <c r="CD3" s="163"/>
      <c r="CE3" s="163"/>
      <c r="CF3" s="163"/>
      <c r="CG3" s="163"/>
      <c r="CH3" s="163"/>
      <c r="CI3" s="163"/>
      <c r="CJ3" s="163"/>
      <c r="CK3" s="163"/>
      <c r="CL3" s="163"/>
      <c r="CM3" s="163"/>
      <c r="CN3" s="163"/>
      <c r="CO3" s="163"/>
      <c r="CP3" s="163"/>
      <c r="CQ3" s="163"/>
      <c r="CR3" s="163"/>
      <c r="CS3" s="163"/>
      <c r="CT3" s="163"/>
      <c r="CU3" s="163"/>
      <c r="CV3" s="163"/>
      <c r="CW3" s="163"/>
      <c r="CX3" s="163"/>
      <c r="CY3" s="163"/>
      <c r="CZ3" s="163"/>
      <c r="DA3" s="163"/>
      <c r="DB3" s="163"/>
      <c r="DC3" s="163"/>
      <c r="DD3" s="163"/>
      <c r="DE3" s="163"/>
      <c r="DF3" s="163"/>
      <c r="DG3" s="163"/>
      <c r="DH3" s="163"/>
      <c r="DI3" s="163"/>
      <c r="DJ3" s="163"/>
      <c r="DK3" s="163"/>
      <c r="DL3" s="163"/>
      <c r="DM3" s="163"/>
      <c r="DN3" s="163"/>
      <c r="DO3" s="163"/>
      <c r="DP3" s="163"/>
      <c r="DQ3" s="163"/>
      <c r="DR3" s="163"/>
      <c r="DS3" s="163"/>
      <c r="DT3" s="163"/>
      <c r="DU3" s="163"/>
      <c r="DV3" s="163"/>
      <c r="DW3" s="163"/>
      <c r="DX3" s="163"/>
      <c r="DY3" s="163"/>
      <c r="DZ3" s="163"/>
      <c r="EA3" s="163"/>
      <c r="EB3" s="163"/>
      <c r="EC3" s="163"/>
      <c r="ED3" s="163"/>
      <c r="EE3" s="163"/>
      <c r="EF3" s="163"/>
      <c r="EG3" s="163"/>
      <c r="EH3" s="163"/>
      <c r="EI3" s="163"/>
      <c r="EJ3" s="163"/>
      <c r="EK3" s="163"/>
      <c r="EL3" s="163"/>
      <c r="EM3" s="163"/>
      <c r="EN3" s="163"/>
      <c r="EO3" s="163"/>
      <c r="EP3" s="163"/>
      <c r="EQ3" s="163"/>
      <c r="ER3" s="163"/>
      <c r="ES3" s="163"/>
      <c r="ET3" s="163"/>
      <c r="EU3" s="163"/>
      <c r="EV3" s="163"/>
      <c r="EW3" s="163"/>
      <c r="EX3" s="163"/>
      <c r="EY3" s="163"/>
      <c r="EZ3" s="163"/>
      <c r="FA3" s="163"/>
      <c r="FB3" s="163"/>
      <c r="FC3" s="163"/>
      <c r="FD3" s="163"/>
      <c r="FE3" s="163"/>
      <c r="FF3" s="163"/>
      <c r="FG3" s="163"/>
      <c r="FH3" s="163"/>
      <c r="FI3" s="163"/>
      <c r="FJ3" s="163"/>
      <c r="FK3" s="163"/>
      <c r="FL3" s="163"/>
      <c r="FM3" s="163"/>
      <c r="FN3" s="163"/>
      <c r="FO3" s="163"/>
      <c r="FP3" s="163"/>
      <c r="FQ3" s="163"/>
      <c r="FR3" s="163"/>
      <c r="FS3" s="163"/>
      <c r="FT3" s="163"/>
      <c r="FU3" s="163"/>
      <c r="FV3" s="163"/>
      <c r="FW3" s="163"/>
      <c r="FX3" s="163"/>
      <c r="FY3" s="163"/>
      <c r="FZ3" s="163"/>
      <c r="GA3" s="163"/>
      <c r="GB3" s="163"/>
      <c r="GC3" s="163"/>
      <c r="GD3" s="163"/>
      <c r="GE3" s="163"/>
      <c r="GF3" s="163"/>
      <c r="GG3" s="163"/>
      <c r="GH3" s="163"/>
      <c r="GI3" s="163"/>
      <c r="GJ3" s="163"/>
      <c r="GK3" s="163"/>
      <c r="GL3" s="163"/>
      <c r="GM3" s="163"/>
      <c r="GN3" s="163"/>
      <c r="GO3" s="163"/>
      <c r="GP3" s="163"/>
      <c r="GQ3" s="163"/>
      <c r="GR3" s="163"/>
      <c r="GS3" s="163"/>
      <c r="GT3" s="163"/>
      <c r="GU3" s="163"/>
      <c r="GV3" s="163"/>
      <c r="GW3" s="163"/>
      <c r="GX3" s="163"/>
      <c r="GY3" s="163"/>
      <c r="GZ3" s="163"/>
      <c r="HA3" s="163"/>
      <c r="HB3" s="163"/>
      <c r="HC3" s="163"/>
      <c r="HD3" s="163"/>
      <c r="HE3" s="163"/>
      <c r="HF3" s="163"/>
      <c r="HG3" s="163"/>
      <c r="HH3" s="163"/>
      <c r="HI3" s="163"/>
      <c r="HJ3" s="163"/>
      <c r="HK3" s="163"/>
      <c r="HL3" s="163"/>
      <c r="HM3" s="163"/>
      <c r="HN3" s="163"/>
      <c r="HO3" s="163"/>
      <c r="HP3" s="163"/>
      <c r="HQ3" s="163"/>
      <c r="HR3" s="163"/>
      <c r="HS3" s="163"/>
      <c r="HT3" s="163"/>
      <c r="HU3" s="163"/>
      <c r="HV3" s="163"/>
      <c r="HW3" s="163"/>
      <c r="HX3" s="163"/>
      <c r="HY3" s="163"/>
      <c r="HZ3" s="163"/>
      <c r="IA3" s="163"/>
      <c r="IB3" s="163"/>
      <c r="IC3" s="163"/>
      <c r="ID3" s="163"/>
      <c r="IE3" s="163"/>
      <c r="IF3" s="163"/>
      <c r="IG3" s="163"/>
      <c r="IH3" s="163"/>
      <c r="II3" s="163"/>
      <c r="IJ3" s="163"/>
      <c r="IK3" s="163"/>
      <c r="IL3" s="163"/>
      <c r="IM3" s="163"/>
      <c r="IN3" s="163"/>
      <c r="IO3" s="163"/>
      <c r="IP3" s="163"/>
      <c r="IQ3" s="163"/>
      <c r="IR3" s="163"/>
      <c r="IS3" s="163"/>
      <c r="IT3" s="163"/>
      <c r="IU3" s="446">
        <v>4</v>
      </c>
    </row>
    <row r="4" spans="1:255" s="1744" customFormat="1" ht="14.65" customHeight="1">
      <c r="A4" s="1080"/>
      <c r="B4" s="1085"/>
      <c r="C4" s="1080"/>
      <c r="D4" s="1420"/>
      <c r="E4" s="444"/>
      <c r="F4" s="1567"/>
      <c r="G4" s="444"/>
      <c r="H4" s="444"/>
      <c r="I4" s="444"/>
      <c r="J4" s="102"/>
      <c r="K4" s="183"/>
      <c r="L4" s="435"/>
      <c r="M4" s="435"/>
      <c r="N4" s="435"/>
      <c r="O4" s="162"/>
      <c r="P4" s="435"/>
      <c r="Q4" s="161"/>
      <c r="R4" s="161"/>
      <c r="S4" s="161"/>
      <c r="T4" s="161"/>
      <c r="IU4" s="442">
        <v>14</v>
      </c>
    </row>
    <row r="5" spans="1:255" s="1744" customFormat="1" ht="27.4" customHeight="1">
      <c r="A5" s="1080"/>
      <c r="B5" s="1085"/>
      <c r="C5" s="1080"/>
      <c r="D5" s="1420"/>
      <c r="E5" s="2042" t="str">
        <f>"Форма "&amp;IF(TEMPLATE_SPHERE="HEAT","3","2")&amp;". Перечень "&amp;IF(TEMPLATE_SPHERE="HEAT","регулируемых организаций (единых теплоснабжающих организаций в ценовых зонах теплоснабжения, теплоснабжающих организаций в ценовых зонах теплоснабжения и теплосетевых организаций в ценовых зонах теплоснабжения)","организаций, в отношении которых "&amp;IF(TEMPLATE_SPHERE="TKO","осуществляется регулирование предельных тарифов, а также перечень операторов по обращению с твердыми коммунальными отходами, осуществляющих деятельность по транспортированию твердых коммунальных отходов","орган регулирования тарифов осуществляет регулирование тарифов в сфере водоснабжения и водоотведения"))</f>
        <v>Форма 3. Перечень регулируемых организаций (единых теплоснабжающих организаций в ценовых зонах теплоснабжения, теплоснабжающих организаций в ценовых зонах теплоснабжения и теплосетевых организаций в ценовых зонах теплоснабжения)</v>
      </c>
      <c r="F5" s="2042"/>
      <c r="G5" s="2042"/>
      <c r="H5" s="2042"/>
      <c r="I5" s="2042"/>
      <c r="J5" s="2042"/>
      <c r="K5" s="183"/>
      <c r="L5" s="435"/>
      <c r="M5" s="435"/>
      <c r="N5" s="435"/>
      <c r="O5" s="162"/>
      <c r="P5" s="435"/>
      <c r="Q5" s="161"/>
      <c r="R5" s="161"/>
      <c r="S5" s="161"/>
      <c r="T5" s="161"/>
      <c r="IU5" s="442">
        <v>26</v>
      </c>
    </row>
    <row r="6" spans="1:255" s="1744" customFormat="1" ht="14.65" customHeight="1">
      <c r="A6" s="1080"/>
      <c r="B6" s="1085"/>
      <c r="C6" s="1080"/>
      <c r="D6" s="1420"/>
      <c r="E6" s="444"/>
      <c r="F6" s="103"/>
      <c r="G6" s="103"/>
      <c r="H6" s="103"/>
      <c r="I6" s="103"/>
      <c r="J6" s="104"/>
      <c r="K6" s="435"/>
      <c r="L6" s="435"/>
      <c r="M6" s="435"/>
      <c r="N6" s="435"/>
      <c r="O6" s="162"/>
      <c r="P6" s="435"/>
      <c r="Q6" s="161"/>
      <c r="R6" s="161"/>
      <c r="S6" s="161"/>
      <c r="T6" s="161"/>
      <c r="IU6" s="442">
        <v>14</v>
      </c>
    </row>
    <row r="7" spans="1:255" s="1744" customFormat="1" ht="14.65" customHeight="1">
      <c r="A7" s="1080"/>
      <c r="B7" s="1085"/>
      <c r="C7" s="1080"/>
      <c r="D7" s="1420"/>
      <c r="E7" s="2038" t="s">
        <v>299</v>
      </c>
      <c r="F7" s="2043"/>
      <c r="G7" s="2043"/>
      <c r="H7" s="2043"/>
      <c r="I7" s="2043"/>
      <c r="J7" s="2351" t="s">
        <v>300</v>
      </c>
      <c r="K7" s="435"/>
      <c r="L7" s="435"/>
      <c r="M7" s="435"/>
      <c r="N7" s="435"/>
      <c r="O7" s="162"/>
      <c r="P7" s="435"/>
      <c r="Q7" s="161"/>
      <c r="R7" s="161"/>
      <c r="S7" s="161"/>
      <c r="T7" s="161"/>
      <c r="IU7" s="442">
        <v>14</v>
      </c>
    </row>
    <row r="8" spans="1:255" s="1744" customFormat="1" ht="21" customHeight="1">
      <c r="A8" s="1080"/>
      <c r="B8" s="1085"/>
      <c r="C8" s="1080"/>
      <c r="D8" s="1420"/>
      <c r="E8" s="1473" t="s">
        <v>88</v>
      </c>
      <c r="F8" s="1465" t="s">
        <v>1869</v>
      </c>
      <c r="G8" s="1465" t="s">
        <v>48</v>
      </c>
      <c r="H8" s="1465" t="s">
        <v>50</v>
      </c>
      <c r="I8" s="1465" t="s">
        <v>1870</v>
      </c>
      <c r="J8" s="2352"/>
      <c r="K8" s="435"/>
      <c r="L8" s="435"/>
      <c r="M8" s="435"/>
      <c r="N8" s="435"/>
      <c r="O8" s="162"/>
      <c r="P8" s="435"/>
      <c r="Q8" s="161"/>
      <c r="R8" s="161"/>
      <c r="S8" s="161"/>
      <c r="T8" s="161"/>
      <c r="IU8" s="442">
        <v>20</v>
      </c>
    </row>
    <row r="9" spans="1:255" s="1774" customFormat="1" ht="23.25" customHeight="1">
      <c r="A9" s="1556"/>
      <c r="B9" s="1085">
        <v>1</v>
      </c>
      <c r="C9" s="1085"/>
      <c r="D9" s="730"/>
      <c r="E9" s="1409">
        <v>1</v>
      </c>
      <c r="F9" s="1472"/>
      <c r="G9" s="1416"/>
      <c r="H9" s="1416"/>
      <c r="I9" s="1463"/>
      <c r="J9" s="2108" t="str">
        <f>IF(TEMPLATE_SPHERE="TKO","Региональным органом регулирования (органом местного самоуправления) раскрывается информация по указанной форме в отношении"&amp;" операторов по обращению с твердыми коммунальными отходами, осуществляющих деятельность по транспортированию твердых коммунальных отходов, "&amp;"сведения о которых содержатся в договорах на транспортирование твердых коммунальных отходов, заключенных региональным оператором с таким оператором,"&amp;" и о предложении об установлении единого тарифа на услугу регионального оператора.","")&amp;"
Значение в поле «Наименование организации» содержит наименование юридического лица согласно уставу организации.
Значение в поле «ИНН» содержит идентификационный номер налогоплательщика."&amp;"
Значение в поле «КПП» содержит код постановки на учёт.
Значение в поле «ОГРН (ОГРНИП)» содержит основной государственный регистрационный номер юридического лица (индивидуального предпринимателя)."</f>
        <v xml:space="preserve">
Значение в поле «Наименование организации» содержит наименование юридического лица согласно уставу организации.
Значение в поле «ИНН» содержит идентификационный номер налогоплательщика.
Значение в поле «КПП» содержит код постановки на учёт.
Значение в поле «ОГРН (ОГРНИП)» содержит основной государственный регистрационный номер юридического лица (индивидуального предпринимателя).</v>
      </c>
      <c r="K9" s="1460"/>
      <c r="L9" s="446"/>
      <c r="M9" s="446"/>
      <c r="N9" s="435" t="str">
        <f t="array" ref="N9">IF(ISERROR(MATCH(MID(O9,1,250),MID(note_ter,1,250),0)),"n","y")</f>
        <v>n</v>
      </c>
      <c r="O9" s="446"/>
      <c r="P9" s="435" t="str">
        <f>G9&amp;"("&amp;J9&amp;")"</f>
        <v>(
Значение в поле «Наименование организации» содержит наименование юридического лица согласно уставу организации.
Значение в поле «ИНН» содержит идентификационный номер налогоплательщика.
Значение в поле «КПП» содержит код постановки на учёт.
Значение в поле «ОГРН (ОГРНИП)» содержит основной государственный регистрационный номер юридического лица (индивидуального предпринимателя).)</v>
      </c>
      <c r="Q9" s="1085"/>
      <c r="R9" s="1085"/>
      <c r="S9" s="355"/>
      <c r="T9" s="1085"/>
      <c r="U9" s="1085"/>
      <c r="V9" s="1085"/>
      <c r="W9" s="357"/>
      <c r="X9" s="357"/>
      <c r="Y9" s="354"/>
      <c r="Z9" s="354"/>
      <c r="AA9" s="354"/>
      <c r="AB9" s="354"/>
      <c r="AC9" s="354"/>
      <c r="AD9" s="354"/>
      <c r="AE9" s="354"/>
      <c r="AF9" s="354"/>
      <c r="AG9" s="354"/>
      <c r="AH9" s="354"/>
      <c r="AI9" s="354"/>
      <c r="AJ9" s="354"/>
      <c r="AK9" s="354"/>
      <c r="AL9" s="354"/>
      <c r="AM9" s="354"/>
      <c r="AN9" s="354"/>
      <c r="AO9" s="354"/>
      <c r="AP9" s="354"/>
      <c r="AQ9" s="354"/>
      <c r="AR9" s="354"/>
      <c r="AS9" s="354"/>
      <c r="AT9" s="354"/>
      <c r="AU9" s="354"/>
      <c r="AV9" s="354"/>
      <c r="AW9" s="354"/>
      <c r="AX9" s="354"/>
      <c r="AY9" s="354"/>
      <c r="AZ9" s="354"/>
      <c r="BA9" s="354"/>
      <c r="BB9" s="354"/>
      <c r="BC9" s="354"/>
      <c r="BD9" s="354"/>
      <c r="BE9" s="354"/>
      <c r="BF9" s="354"/>
      <c r="BG9" s="354"/>
      <c r="BH9" s="354"/>
      <c r="BI9" s="354"/>
      <c r="BJ9" s="354"/>
      <c r="BK9" s="354"/>
      <c r="BL9" s="354"/>
      <c r="BM9" s="354"/>
      <c r="BN9" s="354"/>
      <c r="BO9" s="354"/>
      <c r="BP9" s="354"/>
      <c r="BQ9" s="354"/>
      <c r="BR9" s="354"/>
      <c r="BS9" s="354"/>
      <c r="BT9" s="357"/>
      <c r="BU9" s="357"/>
      <c r="BV9" s="357"/>
      <c r="BW9" s="357"/>
      <c r="BX9" s="357"/>
      <c r="BY9" s="357"/>
      <c r="BZ9" s="357"/>
      <c r="CA9" s="357"/>
      <c r="CB9" s="357"/>
      <c r="CC9" s="357"/>
      <c r="IU9" s="358">
        <v>22</v>
      </c>
    </row>
    <row r="10" spans="1:255" s="1774" customFormat="1" ht="15.75" customHeight="1">
      <c r="A10" s="1556"/>
      <c r="B10" s="1085"/>
      <c r="C10" s="347"/>
      <c r="D10" s="730"/>
      <c r="E10" s="1466"/>
      <c r="F10" s="1425" t="s">
        <v>1871</v>
      </c>
      <c r="G10" s="1467"/>
      <c r="H10" s="1467"/>
      <c r="I10" s="1823"/>
      <c r="J10" s="2110"/>
      <c r="K10" s="1461"/>
      <c r="L10" s="446"/>
      <c r="M10" s="446"/>
      <c r="N10" s="446"/>
      <c r="O10" s="435"/>
      <c r="P10" s="446"/>
      <c r="Q10" s="1085"/>
      <c r="R10" s="1085"/>
      <c r="S10" s="355"/>
      <c r="T10" s="1085"/>
      <c r="U10" s="1085"/>
      <c r="V10" s="1085"/>
      <c r="W10" s="357"/>
      <c r="X10" s="357"/>
      <c r="Y10" s="354"/>
      <c r="Z10" s="354"/>
      <c r="AA10" s="354"/>
      <c r="AB10" s="354"/>
      <c r="AC10" s="354"/>
      <c r="AD10" s="354"/>
      <c r="AE10" s="354"/>
      <c r="AF10" s="354"/>
      <c r="AG10" s="354"/>
      <c r="AH10" s="354"/>
      <c r="AI10" s="354"/>
      <c r="AJ10" s="354"/>
      <c r="AK10" s="354"/>
      <c r="AL10" s="354"/>
      <c r="AM10" s="354"/>
      <c r="AN10" s="354"/>
      <c r="AO10" s="354"/>
      <c r="AP10" s="354"/>
      <c r="AQ10" s="354"/>
      <c r="AR10" s="354"/>
      <c r="AS10" s="354"/>
      <c r="AT10" s="354"/>
      <c r="AU10" s="354"/>
      <c r="AV10" s="354"/>
      <c r="AW10" s="354"/>
      <c r="AX10" s="354"/>
      <c r="AY10" s="354"/>
      <c r="AZ10" s="354"/>
      <c r="BA10" s="354"/>
      <c r="BB10" s="354"/>
      <c r="BC10" s="354"/>
      <c r="BD10" s="354"/>
      <c r="BE10" s="354"/>
      <c r="BF10" s="354"/>
      <c r="BG10" s="354"/>
      <c r="BH10" s="354"/>
      <c r="BI10" s="354"/>
      <c r="BJ10" s="354"/>
      <c r="BK10" s="354"/>
      <c r="BL10" s="354"/>
      <c r="BM10" s="354"/>
      <c r="BN10" s="354"/>
      <c r="BO10" s="354"/>
      <c r="BP10" s="354"/>
      <c r="BQ10" s="354"/>
      <c r="BR10" s="354"/>
      <c r="BS10" s="354"/>
      <c r="BT10" s="357"/>
      <c r="BU10" s="357"/>
      <c r="BV10" s="357"/>
      <c r="BW10" s="357"/>
      <c r="BX10" s="357"/>
      <c r="BY10" s="357"/>
      <c r="BZ10" s="357"/>
      <c r="CA10" s="357"/>
      <c r="CB10" s="357"/>
      <c r="CC10" s="357"/>
      <c r="IU10" s="358">
        <v>15</v>
      </c>
    </row>
    <row r="11" spans="1:255" s="1744" customFormat="1" ht="21.95" customHeight="1">
      <c r="A11" s="1080"/>
      <c r="B11" s="1085"/>
      <c r="C11" s="1080"/>
      <c r="D11" s="386"/>
      <c r="E11" s="116"/>
      <c r="F11" s="116"/>
      <c r="G11" s="116"/>
      <c r="H11" s="116"/>
      <c r="I11" s="116"/>
      <c r="J11" s="116"/>
      <c r="K11" s="435"/>
      <c r="L11" s="435"/>
      <c r="M11" s="435"/>
      <c r="N11" s="435"/>
      <c r="O11" s="162"/>
      <c r="P11" s="435"/>
      <c r="Q11" s="161"/>
      <c r="R11" s="161"/>
      <c r="S11" s="161"/>
      <c r="T11" s="161"/>
      <c r="IU11" s="442">
        <v>21</v>
      </c>
    </row>
    <row r="12" spans="1:255" s="1744" customFormat="1" ht="14.65" customHeight="1">
      <c r="A12" s="1080"/>
      <c r="B12" s="1085"/>
      <c r="C12" s="1080"/>
      <c r="D12" s="386"/>
      <c r="E12" s="1080"/>
      <c r="F12" s="1080"/>
      <c r="G12" s="1080"/>
      <c r="H12" s="1080"/>
      <c r="I12" s="1080"/>
      <c r="J12" s="1080"/>
      <c r="K12" s="435"/>
      <c r="L12" s="435"/>
      <c r="M12" s="435"/>
      <c r="N12" s="435"/>
      <c r="O12" s="162"/>
      <c r="P12" s="435"/>
      <c r="Q12" s="161"/>
      <c r="R12" s="161"/>
      <c r="S12" s="161"/>
      <c r="T12" s="161"/>
      <c r="IU12" s="442">
        <v>14</v>
      </c>
    </row>
    <row r="13" spans="1:255" s="1744" customFormat="1" ht="1.1499999999999999" customHeight="1">
      <c r="A13" s="1080"/>
      <c r="B13" s="1085"/>
      <c r="C13" s="1080"/>
      <c r="D13" s="386"/>
      <c r="E13" s="1080"/>
      <c r="F13" s="1080"/>
      <c r="G13" s="1080"/>
      <c r="H13" s="1080"/>
      <c r="I13" s="1080"/>
      <c r="J13" s="1080"/>
      <c r="K13" s="435"/>
      <c r="L13" s="435"/>
      <c r="M13" s="435"/>
      <c r="N13" s="435"/>
      <c r="O13" s="162"/>
      <c r="P13" s="435"/>
      <c r="Q13" s="161"/>
      <c r="R13" s="161"/>
      <c r="S13" s="161"/>
      <c r="T13" s="161"/>
      <c r="IU13" s="442">
        <v>1</v>
      </c>
    </row>
    <row r="14" spans="1:255" s="992" customFormat="1" ht="10.5" customHeight="1">
      <c r="B14" s="763"/>
      <c r="D14" s="118"/>
      <c r="K14" s="435"/>
      <c r="L14" s="435"/>
      <c r="M14" s="435"/>
      <c r="N14" s="435"/>
      <c r="O14" s="162"/>
      <c r="P14" s="435"/>
      <c r="Q14" s="161"/>
      <c r="R14" s="161"/>
      <c r="S14" s="161"/>
      <c r="T14" s="161"/>
      <c r="IU14" s="117">
        <v>10</v>
      </c>
    </row>
    <row r="15" spans="1:255" s="992" customFormat="1" ht="10.5" customHeight="1">
      <c r="B15" s="763"/>
      <c r="D15" s="118"/>
      <c r="K15" s="435"/>
      <c r="L15" s="435"/>
      <c r="M15" s="435"/>
      <c r="N15" s="435"/>
      <c r="O15" s="162"/>
      <c r="P15" s="435"/>
      <c r="Q15" s="161"/>
      <c r="R15" s="161"/>
      <c r="S15" s="161"/>
      <c r="T15" s="161"/>
      <c r="IU15" s="117">
        <v>10</v>
      </c>
    </row>
    <row r="16" spans="1:255" ht="14.65" customHeight="1">
      <c r="IU16" s="1080">
        <v>14</v>
      </c>
    </row>
    <row r="17" spans="1:255" ht="14.65" customHeight="1">
      <c r="IU17" s="1080">
        <v>14</v>
      </c>
    </row>
    <row r="18" spans="1:255" ht="14.65" customHeight="1">
      <c r="IU18" s="1080">
        <v>14</v>
      </c>
    </row>
    <row r="19" spans="1:255" ht="14.65" customHeight="1">
      <c r="G19" s="308"/>
      <c r="H19" s="308"/>
      <c r="I19" s="308"/>
      <c r="IU19" s="1080">
        <v>14</v>
      </c>
    </row>
    <row r="20" spans="1:255" ht="14.65" customHeight="1">
      <c r="IU20" s="1080">
        <v>14</v>
      </c>
    </row>
    <row r="21" spans="1:255" ht="14.65" customHeight="1">
      <c r="IU21" s="1080">
        <v>14</v>
      </c>
    </row>
    <row r="22" spans="1:255" ht="14.65" customHeight="1">
      <c r="IU22" s="1080">
        <v>14</v>
      </c>
    </row>
    <row r="23" spans="1:255" ht="14.65" customHeight="1">
      <c r="K23" s="1080"/>
      <c r="L23" s="1080"/>
      <c r="M23" s="1080"/>
      <c r="IU23" s="1080">
        <v>14</v>
      </c>
    </row>
    <row r="24" spans="1:255" ht="22.5" hidden="1" customHeight="1">
      <c r="A24" s="1080" t="s">
        <v>82</v>
      </c>
      <c r="B24" s="1085">
        <v>0</v>
      </c>
      <c r="C24" s="1080">
        <v>0</v>
      </c>
      <c r="D24" s="386">
        <v>3</v>
      </c>
      <c r="E24" s="1080">
        <v>6</v>
      </c>
      <c r="F24" s="1080">
        <v>46</v>
      </c>
      <c r="G24" s="1080">
        <v>16</v>
      </c>
      <c r="H24" s="1080">
        <v>16</v>
      </c>
      <c r="I24" s="1080">
        <v>35</v>
      </c>
      <c r="J24" s="1080">
        <v>89</v>
      </c>
      <c r="K24" s="435">
        <v>3</v>
      </c>
      <c r="L24" s="435">
        <v>8</v>
      </c>
      <c r="M24" s="435">
        <v>8</v>
      </c>
      <c r="N24" s="435">
        <v>8</v>
      </c>
      <c r="O24" s="162">
        <v>25</v>
      </c>
      <c r="P24" s="435">
        <v>14</v>
      </c>
      <c r="Q24" s="161">
        <v>8</v>
      </c>
      <c r="R24" s="161">
        <v>8</v>
      </c>
      <c r="S24" s="161">
        <v>8</v>
      </c>
      <c r="T24" s="161">
        <v>8</v>
      </c>
      <c r="U24" s="1080">
        <v>8</v>
      </c>
      <c r="V24" s="1080">
        <v>8</v>
      </c>
      <c r="W24" s="1080">
        <v>8</v>
      </c>
      <c r="X24" s="1080">
        <v>8</v>
      </c>
      <c r="Y24" s="1080">
        <v>8</v>
      </c>
      <c r="Z24" s="1080">
        <v>8</v>
      </c>
      <c r="AA24" s="1080">
        <v>8</v>
      </c>
      <c r="AB24" s="1080">
        <v>8</v>
      </c>
      <c r="AC24" s="1080">
        <v>8</v>
      </c>
      <c r="AD24" s="1080">
        <v>8</v>
      </c>
      <c r="AE24" s="1080">
        <v>8</v>
      </c>
      <c r="AF24" s="1080">
        <v>8</v>
      </c>
      <c r="AG24" s="1080">
        <v>8</v>
      </c>
      <c r="AH24" s="1080">
        <v>8</v>
      </c>
      <c r="AI24" s="1080">
        <v>8</v>
      </c>
      <c r="AJ24" s="1080">
        <v>8</v>
      </c>
      <c r="AK24" s="1080">
        <v>8</v>
      </c>
      <c r="AL24" s="1080">
        <v>8</v>
      </c>
      <c r="AM24" s="1080">
        <v>8</v>
      </c>
      <c r="AN24" s="1080">
        <v>8</v>
      </c>
      <c r="AO24" s="1080">
        <v>8</v>
      </c>
      <c r="AP24" s="1080">
        <v>8</v>
      </c>
      <c r="AQ24" s="1080">
        <v>8</v>
      </c>
      <c r="AR24" s="1080">
        <v>8</v>
      </c>
      <c r="AS24" s="1080">
        <v>8</v>
      </c>
      <c r="AT24" s="1080">
        <v>8</v>
      </c>
      <c r="AU24" s="1080">
        <v>8</v>
      </c>
      <c r="AV24" s="1080">
        <v>8</v>
      </c>
      <c r="AW24" s="1080">
        <v>8</v>
      </c>
      <c r="AX24" s="1080">
        <v>8</v>
      </c>
      <c r="AY24" s="1080">
        <v>8</v>
      </c>
      <c r="AZ24" s="1080">
        <v>8</v>
      </c>
      <c r="BA24" s="1080">
        <v>8</v>
      </c>
      <c r="BB24" s="1080">
        <v>8</v>
      </c>
      <c r="BC24" s="1080">
        <v>8</v>
      </c>
      <c r="BD24" s="1080">
        <v>8</v>
      </c>
      <c r="BE24" s="1080">
        <v>8</v>
      </c>
      <c r="BF24" s="1080">
        <v>8</v>
      </c>
      <c r="BG24" s="1080">
        <v>8</v>
      </c>
      <c r="BH24" s="1080">
        <v>8</v>
      </c>
      <c r="BI24" s="1080">
        <v>8</v>
      </c>
      <c r="BJ24" s="1080">
        <v>8</v>
      </c>
      <c r="BK24" s="1080">
        <v>8</v>
      </c>
      <c r="BL24" s="1080">
        <v>8</v>
      </c>
      <c r="BM24" s="1080">
        <v>8</v>
      </c>
      <c r="BN24" s="1080">
        <v>8</v>
      </c>
      <c r="BO24" s="1080">
        <v>8</v>
      </c>
      <c r="BP24" s="1080">
        <v>8</v>
      </c>
      <c r="BQ24" s="1080">
        <v>8</v>
      </c>
      <c r="BR24" s="1080">
        <v>8</v>
      </c>
      <c r="BS24" s="1080">
        <v>8</v>
      </c>
      <c r="BT24" s="1080">
        <v>8</v>
      </c>
      <c r="BU24" s="1080">
        <v>8</v>
      </c>
      <c r="BV24" s="1080">
        <v>8</v>
      </c>
      <c r="BW24" s="1080">
        <v>8</v>
      </c>
      <c r="BX24" s="1080">
        <v>8</v>
      </c>
      <c r="BY24" s="1080">
        <v>8</v>
      </c>
      <c r="BZ24" s="1080">
        <v>8</v>
      </c>
      <c r="CA24" s="1080">
        <v>8</v>
      </c>
      <c r="CB24" s="1080">
        <v>8</v>
      </c>
      <c r="CC24" s="1080">
        <v>8</v>
      </c>
      <c r="CD24" s="1080">
        <v>8</v>
      </c>
      <c r="CE24" s="1080">
        <v>8</v>
      </c>
      <c r="CF24" s="1080">
        <v>8</v>
      </c>
      <c r="CG24" s="1080">
        <v>8</v>
      </c>
      <c r="CH24" s="1080">
        <v>8</v>
      </c>
      <c r="CI24" s="1080">
        <v>8</v>
      </c>
      <c r="CJ24" s="1080">
        <v>8</v>
      </c>
      <c r="CK24" s="1080">
        <v>8</v>
      </c>
      <c r="CL24" s="1080">
        <v>8</v>
      </c>
      <c r="CM24" s="1080">
        <v>8</v>
      </c>
      <c r="CN24" s="1080">
        <v>8</v>
      </c>
      <c r="CO24" s="1080">
        <v>8</v>
      </c>
      <c r="CP24" s="1080">
        <v>8</v>
      </c>
      <c r="CQ24" s="1080">
        <v>8</v>
      </c>
      <c r="CR24" s="1080">
        <v>8</v>
      </c>
      <c r="CS24" s="1080">
        <v>8</v>
      </c>
      <c r="CT24" s="1080">
        <v>8</v>
      </c>
      <c r="CU24" s="1080">
        <v>8</v>
      </c>
      <c r="CV24" s="1080">
        <v>8</v>
      </c>
      <c r="CW24" s="1080">
        <v>8</v>
      </c>
      <c r="CX24" s="1080">
        <v>8</v>
      </c>
      <c r="CY24" s="1080">
        <v>8</v>
      </c>
      <c r="CZ24" s="1080">
        <v>8</v>
      </c>
      <c r="DA24" s="1080">
        <v>8</v>
      </c>
      <c r="DB24" s="1080">
        <v>8</v>
      </c>
      <c r="DC24" s="1080">
        <v>8</v>
      </c>
      <c r="DD24" s="1080">
        <v>8</v>
      </c>
      <c r="DE24" s="1080">
        <v>8</v>
      </c>
      <c r="DF24" s="1080">
        <v>8</v>
      </c>
      <c r="DG24" s="1080">
        <v>8</v>
      </c>
      <c r="DH24" s="1080">
        <v>8</v>
      </c>
      <c r="DI24" s="1080">
        <v>8</v>
      </c>
      <c r="DJ24" s="1080">
        <v>8</v>
      </c>
      <c r="DK24" s="1080">
        <v>8</v>
      </c>
      <c r="DL24" s="1080">
        <v>8</v>
      </c>
      <c r="DM24" s="1080">
        <v>8</v>
      </c>
      <c r="DN24" s="1080">
        <v>8</v>
      </c>
      <c r="DO24" s="1080">
        <v>8</v>
      </c>
      <c r="DP24" s="1080">
        <v>8</v>
      </c>
      <c r="DQ24" s="1080">
        <v>8</v>
      </c>
      <c r="DR24" s="1080">
        <v>8</v>
      </c>
      <c r="DS24" s="1080">
        <v>8</v>
      </c>
      <c r="DT24" s="1080">
        <v>8</v>
      </c>
      <c r="DU24" s="1080">
        <v>8</v>
      </c>
      <c r="DV24" s="1080">
        <v>8</v>
      </c>
      <c r="DW24" s="1080">
        <v>8</v>
      </c>
      <c r="DX24" s="1080">
        <v>8</v>
      </c>
      <c r="DY24" s="1080">
        <v>8</v>
      </c>
      <c r="DZ24" s="1080">
        <v>8</v>
      </c>
      <c r="EA24" s="1080">
        <v>8</v>
      </c>
      <c r="EB24" s="1080">
        <v>8</v>
      </c>
      <c r="EC24" s="1080">
        <v>8</v>
      </c>
      <c r="ED24" s="1080">
        <v>8</v>
      </c>
      <c r="EE24" s="1080">
        <v>8</v>
      </c>
      <c r="EF24" s="1080">
        <v>8</v>
      </c>
      <c r="EG24" s="1080">
        <v>8</v>
      </c>
      <c r="EH24" s="1080">
        <v>8</v>
      </c>
      <c r="EI24" s="1080">
        <v>8</v>
      </c>
      <c r="EJ24" s="1080">
        <v>8</v>
      </c>
      <c r="EK24" s="1080">
        <v>8</v>
      </c>
      <c r="EL24" s="1080">
        <v>8</v>
      </c>
      <c r="EM24" s="1080">
        <v>8</v>
      </c>
      <c r="EN24" s="1080">
        <v>8</v>
      </c>
      <c r="EO24" s="1080">
        <v>8</v>
      </c>
      <c r="EP24" s="1080">
        <v>8</v>
      </c>
      <c r="EQ24" s="1080">
        <v>8</v>
      </c>
      <c r="ER24" s="1080">
        <v>8</v>
      </c>
      <c r="ES24" s="1080">
        <v>8</v>
      </c>
      <c r="ET24" s="1080">
        <v>8</v>
      </c>
      <c r="EU24" s="1080">
        <v>8</v>
      </c>
      <c r="EV24" s="1080">
        <v>8</v>
      </c>
      <c r="EW24" s="1080">
        <v>8</v>
      </c>
      <c r="EX24" s="1080">
        <v>8</v>
      </c>
      <c r="EY24" s="1080">
        <v>8</v>
      </c>
      <c r="EZ24" s="1080">
        <v>8</v>
      </c>
      <c r="FA24" s="1080">
        <v>8</v>
      </c>
      <c r="FB24" s="1080">
        <v>8</v>
      </c>
      <c r="FC24" s="1080">
        <v>8</v>
      </c>
      <c r="FD24" s="1080">
        <v>8</v>
      </c>
      <c r="FE24" s="1080">
        <v>8</v>
      </c>
      <c r="FF24" s="1080">
        <v>8</v>
      </c>
      <c r="FG24" s="1080">
        <v>8</v>
      </c>
      <c r="FH24" s="1080">
        <v>8</v>
      </c>
      <c r="FI24" s="1080">
        <v>8</v>
      </c>
      <c r="FJ24" s="1080">
        <v>8</v>
      </c>
      <c r="FK24" s="1080">
        <v>8</v>
      </c>
      <c r="FL24" s="1080">
        <v>8</v>
      </c>
      <c r="FM24" s="1080">
        <v>8</v>
      </c>
      <c r="FN24" s="1080">
        <v>8</v>
      </c>
      <c r="FO24" s="1080">
        <v>8</v>
      </c>
      <c r="FP24" s="1080">
        <v>8</v>
      </c>
      <c r="FQ24" s="1080">
        <v>8</v>
      </c>
      <c r="FR24" s="1080">
        <v>8</v>
      </c>
      <c r="FS24" s="1080">
        <v>8</v>
      </c>
      <c r="FT24" s="1080">
        <v>8</v>
      </c>
      <c r="FU24" s="1080">
        <v>8</v>
      </c>
      <c r="FV24" s="1080">
        <v>8</v>
      </c>
      <c r="FW24" s="1080">
        <v>8</v>
      </c>
      <c r="FX24" s="1080">
        <v>8</v>
      </c>
      <c r="FY24" s="1080">
        <v>8</v>
      </c>
      <c r="FZ24" s="1080">
        <v>8</v>
      </c>
      <c r="GA24" s="1080">
        <v>8</v>
      </c>
      <c r="GB24" s="1080">
        <v>8</v>
      </c>
      <c r="GC24" s="1080">
        <v>8</v>
      </c>
      <c r="GD24" s="1080">
        <v>8</v>
      </c>
      <c r="GE24" s="1080">
        <v>8</v>
      </c>
      <c r="GF24" s="1080">
        <v>8</v>
      </c>
      <c r="GG24" s="1080">
        <v>8</v>
      </c>
      <c r="GH24" s="1080">
        <v>8</v>
      </c>
      <c r="GI24" s="1080">
        <v>8</v>
      </c>
      <c r="GJ24" s="1080">
        <v>8</v>
      </c>
      <c r="GK24" s="1080">
        <v>8</v>
      </c>
      <c r="GL24" s="1080">
        <v>8</v>
      </c>
      <c r="GM24" s="1080">
        <v>8</v>
      </c>
      <c r="GN24" s="1080">
        <v>8</v>
      </c>
      <c r="GO24" s="1080">
        <v>8</v>
      </c>
      <c r="GP24" s="1080">
        <v>8</v>
      </c>
      <c r="GQ24" s="1080">
        <v>8</v>
      </c>
      <c r="GR24" s="1080">
        <v>8</v>
      </c>
      <c r="GS24" s="1080">
        <v>8</v>
      </c>
      <c r="GT24" s="1080">
        <v>8</v>
      </c>
      <c r="GU24" s="1080">
        <v>8</v>
      </c>
      <c r="GV24" s="1080">
        <v>8</v>
      </c>
      <c r="GW24" s="1080">
        <v>8</v>
      </c>
      <c r="GX24" s="1080">
        <v>8</v>
      </c>
      <c r="GY24" s="1080">
        <v>8</v>
      </c>
      <c r="GZ24" s="1080">
        <v>8</v>
      </c>
      <c r="HA24" s="1080">
        <v>8</v>
      </c>
      <c r="HB24" s="1080">
        <v>8</v>
      </c>
      <c r="HC24" s="1080">
        <v>8</v>
      </c>
      <c r="HD24" s="1080">
        <v>8</v>
      </c>
      <c r="HE24" s="1080">
        <v>8</v>
      </c>
      <c r="HF24" s="1080">
        <v>8</v>
      </c>
      <c r="HG24" s="1080">
        <v>8</v>
      </c>
      <c r="HH24" s="1080">
        <v>8</v>
      </c>
      <c r="HI24" s="1080">
        <v>8</v>
      </c>
      <c r="HJ24" s="1080">
        <v>8</v>
      </c>
      <c r="HK24" s="1080">
        <v>8</v>
      </c>
      <c r="HL24" s="1080">
        <v>8</v>
      </c>
      <c r="HM24" s="1080">
        <v>8</v>
      </c>
      <c r="HN24" s="1080">
        <v>8</v>
      </c>
      <c r="HO24" s="1080">
        <v>8</v>
      </c>
      <c r="HP24" s="1080">
        <v>8</v>
      </c>
      <c r="HQ24" s="1080">
        <v>8</v>
      </c>
      <c r="HR24" s="1080">
        <v>8</v>
      </c>
      <c r="HS24" s="1080">
        <v>8</v>
      </c>
      <c r="HT24" s="1080">
        <v>8</v>
      </c>
      <c r="HU24" s="1080">
        <v>8</v>
      </c>
      <c r="HV24" s="1080">
        <v>8</v>
      </c>
      <c r="HW24" s="1080">
        <v>8</v>
      </c>
      <c r="HX24" s="1080">
        <v>8</v>
      </c>
      <c r="HY24" s="1080">
        <v>8</v>
      </c>
      <c r="HZ24" s="1080">
        <v>8</v>
      </c>
      <c r="IA24" s="1080">
        <v>8</v>
      </c>
      <c r="IB24" s="1080">
        <v>8</v>
      </c>
      <c r="IC24" s="1080">
        <v>8</v>
      </c>
      <c r="ID24" s="1080">
        <v>8</v>
      </c>
      <c r="IE24" s="1080">
        <v>8</v>
      </c>
      <c r="IF24" s="1080">
        <v>8</v>
      </c>
      <c r="IG24" s="1080">
        <v>8</v>
      </c>
      <c r="IH24" s="1080">
        <v>8</v>
      </c>
      <c r="II24" s="1080">
        <v>8</v>
      </c>
      <c r="IJ24" s="1080">
        <v>8</v>
      </c>
      <c r="IK24" s="1080">
        <v>8</v>
      </c>
      <c r="IL24" s="1080">
        <v>8</v>
      </c>
      <c r="IM24" s="1080">
        <v>8</v>
      </c>
      <c r="IN24" s="1080">
        <v>8</v>
      </c>
      <c r="IO24" s="1080">
        <v>8</v>
      </c>
      <c r="IP24" s="1080">
        <v>8</v>
      </c>
      <c r="IQ24" s="1080">
        <v>8</v>
      </c>
      <c r="IR24" s="1080">
        <v>8</v>
      </c>
      <c r="IS24" s="1080">
        <v>8</v>
      </c>
      <c r="IT24" s="1080">
        <v>8</v>
      </c>
      <c r="IU24" s="1080">
        <v>23</v>
      </c>
    </row>
  </sheetData>
  <sheetProtection formatColumns="0" formatRows="0" insertRows="0" deleteColumns="0" deleteRows="0" sort="0" autoFilter="0"/>
  <mergeCells count="4">
    <mergeCell ref="E5:J5"/>
    <mergeCell ref="E7:I7"/>
    <mergeCell ref="J7:J8"/>
    <mergeCell ref="J9:J10"/>
  </mergeCells>
  <dataValidations count="2">
    <dataValidation type="textLength" allowBlank="1" showInputMessage="1" showErrorMessage="1" sqref="I3">
      <formula1>13</formula1>
      <formula2>15</formula2>
    </dataValidation>
    <dataValidation type="textLength" allowBlank="1" showInputMessage="1" showErrorMessage="1" prompt="ОГРН состоит из 13 цифр, ОГРНИП - из 15" sqref="I9 I2">
      <formula1>13</formula1>
      <formula2>15</formula2>
    </dataValidation>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5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W15"/>
  <sheetViews>
    <sheetView showGridLines="0" zoomScale="90" workbookViewId="0">
      <pane xSplit="6" ySplit="9" topLeftCell="G10" activePane="bottomRight" state="frozen"/>
      <selection pane="topRight" activeCell="G1" sqref="G1"/>
      <selection pane="bottomLeft" activeCell="A10" sqref="A10"/>
      <selection pane="bottomRight"/>
    </sheetView>
  </sheetViews>
  <sheetFormatPr defaultColWidth="9.140625" defaultRowHeight="14.25" customHeight="1"/>
  <cols>
    <col min="1" max="1" width="9.140625" style="1560" hidden="1"/>
    <col min="2" max="2" width="9.140625" style="1291" hidden="1"/>
    <col min="3" max="3" width="3.7109375" style="1560" hidden="1" customWidth="1"/>
    <col min="4" max="4" width="3" style="1766" customWidth="1"/>
    <col min="5" max="5" width="6" style="1560" customWidth="1"/>
    <col min="6" max="6" width="27" style="1560" customWidth="1"/>
    <col min="7" max="7" width="16" style="1560" customWidth="1"/>
    <col min="8" max="8" width="12" style="1560" customWidth="1"/>
    <col min="9" max="9" width="32" style="1560" customWidth="1"/>
    <col min="10" max="11" width="41" style="1560" customWidth="1"/>
    <col min="12" max="12" width="89" style="1560" customWidth="1"/>
    <col min="13" max="13" width="3" style="1549" customWidth="1"/>
    <col min="14" max="16" width="8" style="1549" customWidth="1"/>
    <col min="17" max="17" width="25" style="1549" customWidth="1"/>
    <col min="18" max="18" width="14" style="1549" customWidth="1"/>
    <col min="19" max="22" width="8" style="161" customWidth="1"/>
    <col min="23" max="256" width="8" style="1560" customWidth="1"/>
    <col min="257" max="257" width="9.140625" style="1560" hidden="1"/>
  </cols>
  <sheetData>
    <row r="1" spans="1:257" ht="22.5" hidden="1" customHeight="1">
      <c r="IW1" s="1080" t="s">
        <v>14</v>
      </c>
    </row>
    <row r="2" spans="1:257" s="1774" customFormat="1" ht="22.5" hidden="1" customHeight="1">
      <c r="A2" s="760"/>
      <c r="B2" s="1085">
        <v>1</v>
      </c>
      <c r="C2" s="1085"/>
      <c r="D2" s="1849" t="s">
        <v>688</v>
      </c>
      <c r="E2" s="1813"/>
      <c r="F2" s="1816" t="str">
        <f>IF(ROIV_INFO_NAME="","",ROIV_INFO_NAME)</f>
        <v>ООО "ЗЕНИТ ЭНЕРГО"</v>
      </c>
      <c r="G2" s="1841" t="s">
        <v>22</v>
      </c>
      <c r="H2" s="1840"/>
      <c r="I2" s="1463"/>
      <c r="J2" s="747"/>
      <c r="K2" s="747"/>
      <c r="L2" s="164"/>
      <c r="M2" s="1460" t="e">
        <f ca="1">MERGEVALUE(F2)</f>
        <v>#NAME?</v>
      </c>
      <c r="N2" s="446"/>
      <c r="O2" s="446"/>
      <c r="P2" s="435" t="str">
        <f t="array" ref="P2">IF(ISERROR(MATCH(MID(Q2,1,250),MID(note_ter,1,250),0)),"n","y")</f>
        <v>n</v>
      </c>
      <c r="Q2" s="446"/>
      <c r="R2" s="435" t="str">
        <f>G2&amp;"("&amp;L2&amp;")"</f>
        <v>()</v>
      </c>
      <c r="S2" s="1085"/>
      <c r="T2" s="1085"/>
      <c r="U2" s="355"/>
      <c r="V2" s="1085"/>
      <c r="W2" s="1085"/>
      <c r="X2" s="1085"/>
      <c r="Y2" s="357"/>
      <c r="Z2" s="357"/>
      <c r="AA2" s="354"/>
      <c r="AB2" s="354"/>
      <c r="AC2" s="354"/>
      <c r="AD2" s="354"/>
      <c r="AE2" s="354"/>
      <c r="AF2" s="354"/>
      <c r="AG2" s="354"/>
      <c r="AH2" s="354"/>
      <c r="AI2" s="354"/>
      <c r="AJ2" s="354"/>
      <c r="AK2" s="354"/>
      <c r="AL2" s="354"/>
      <c r="AM2" s="354"/>
      <c r="AN2" s="354"/>
      <c r="AO2" s="354"/>
      <c r="AP2" s="354"/>
      <c r="AQ2" s="354"/>
      <c r="AR2" s="354"/>
      <c r="AS2" s="354"/>
      <c r="AT2" s="354"/>
      <c r="AU2" s="354"/>
      <c r="AV2" s="354"/>
      <c r="AW2" s="354"/>
      <c r="AX2" s="354"/>
      <c r="AY2" s="354"/>
      <c r="AZ2" s="354"/>
      <c r="BA2" s="354"/>
      <c r="BB2" s="354"/>
      <c r="BC2" s="354"/>
      <c r="BD2" s="354"/>
      <c r="BE2" s="354"/>
      <c r="BF2" s="354"/>
      <c r="BG2" s="354"/>
      <c r="BH2" s="354"/>
      <c r="BI2" s="354"/>
      <c r="BJ2" s="354"/>
      <c r="BK2" s="354"/>
      <c r="BL2" s="354"/>
      <c r="BM2" s="354"/>
      <c r="BN2" s="354"/>
      <c r="BO2" s="354"/>
      <c r="BP2" s="354"/>
      <c r="BQ2" s="354"/>
      <c r="BR2" s="354"/>
      <c r="BS2" s="354"/>
      <c r="BT2" s="354"/>
      <c r="BU2" s="354"/>
      <c r="BV2" s="357"/>
      <c r="BW2" s="357"/>
      <c r="BX2" s="357"/>
      <c r="BY2" s="357"/>
      <c r="BZ2" s="357"/>
      <c r="CA2" s="357"/>
      <c r="CB2" s="357"/>
      <c r="CC2" s="357"/>
      <c r="CD2" s="357"/>
      <c r="CE2" s="357"/>
      <c r="IW2" s="358">
        <v>0</v>
      </c>
    </row>
    <row r="3" spans="1:257" s="1567" customFormat="1" ht="5.25" hidden="1" customHeight="1">
      <c r="A3" s="431"/>
      <c r="D3" s="429"/>
      <c r="F3" s="183" t="s">
        <v>83</v>
      </c>
      <c r="G3" s="1660" t="s">
        <v>84</v>
      </c>
      <c r="H3" s="429"/>
      <c r="I3" s="429"/>
      <c r="J3" s="429"/>
      <c r="K3" s="429"/>
      <c r="L3" s="163" t="s">
        <v>85</v>
      </c>
      <c r="M3" s="183" t="s">
        <v>83</v>
      </c>
      <c r="N3" s="183"/>
      <c r="O3" s="183"/>
      <c r="P3" s="183"/>
      <c r="Q3" s="184"/>
      <c r="R3" s="183"/>
      <c r="S3" s="183"/>
      <c r="T3" s="183"/>
      <c r="U3" s="183"/>
      <c r="V3" s="183"/>
      <c r="W3" s="163"/>
      <c r="X3" s="163"/>
      <c r="Y3" s="163"/>
      <c r="Z3" s="163"/>
      <c r="AA3" s="163"/>
      <c r="AB3" s="163"/>
      <c r="AC3" s="163"/>
      <c r="AD3" s="163"/>
      <c r="AE3" s="163"/>
      <c r="AF3" s="163"/>
      <c r="AG3" s="163"/>
      <c r="AH3" s="163"/>
      <c r="AI3" s="163"/>
      <c r="AJ3" s="163"/>
      <c r="AK3" s="163"/>
      <c r="AL3" s="163"/>
      <c r="AM3" s="163"/>
      <c r="AN3" s="163"/>
      <c r="AO3" s="163"/>
      <c r="AP3" s="163"/>
      <c r="AQ3" s="163"/>
      <c r="AR3" s="163"/>
      <c r="AS3" s="163"/>
      <c r="AT3" s="163"/>
      <c r="AU3" s="163"/>
      <c r="AV3" s="163"/>
      <c r="AW3" s="163"/>
      <c r="AX3" s="163"/>
      <c r="AY3" s="163"/>
      <c r="AZ3" s="163"/>
      <c r="BA3" s="163"/>
      <c r="BB3" s="163"/>
      <c r="BC3" s="163"/>
      <c r="BD3" s="163"/>
      <c r="BE3" s="163"/>
      <c r="BF3" s="163"/>
      <c r="BG3" s="163"/>
      <c r="BH3" s="163"/>
      <c r="BI3" s="163"/>
      <c r="BJ3" s="163"/>
      <c r="BK3" s="163"/>
      <c r="BL3" s="163"/>
      <c r="BM3" s="163"/>
      <c r="BN3" s="163"/>
      <c r="BO3" s="163"/>
      <c r="BP3" s="163"/>
      <c r="BQ3" s="163"/>
      <c r="BR3" s="163"/>
      <c r="BS3" s="163"/>
      <c r="BT3" s="163"/>
      <c r="BU3" s="163"/>
      <c r="BV3" s="163"/>
      <c r="BW3" s="163"/>
      <c r="BX3" s="163"/>
      <c r="BY3" s="163"/>
      <c r="BZ3" s="163"/>
      <c r="CA3" s="163"/>
      <c r="CB3" s="163"/>
      <c r="CC3" s="163"/>
      <c r="CD3" s="163"/>
      <c r="CE3" s="163"/>
      <c r="CF3" s="163"/>
      <c r="CG3" s="163"/>
      <c r="CH3" s="163"/>
      <c r="CI3" s="163"/>
      <c r="CJ3" s="163"/>
      <c r="CK3" s="163"/>
      <c r="CL3" s="163"/>
      <c r="CM3" s="163"/>
      <c r="CN3" s="163"/>
      <c r="CO3" s="163"/>
      <c r="CP3" s="163"/>
      <c r="CQ3" s="163"/>
      <c r="CR3" s="163"/>
      <c r="CS3" s="163"/>
      <c r="CT3" s="163"/>
      <c r="CU3" s="163"/>
      <c r="CV3" s="163"/>
      <c r="CW3" s="163"/>
      <c r="CX3" s="163"/>
      <c r="CY3" s="163"/>
      <c r="CZ3" s="163"/>
      <c r="DA3" s="163"/>
      <c r="DB3" s="163"/>
      <c r="DC3" s="163"/>
      <c r="DD3" s="163"/>
      <c r="DE3" s="163"/>
      <c r="DF3" s="163"/>
      <c r="DG3" s="163"/>
      <c r="DH3" s="163"/>
      <c r="DI3" s="163"/>
      <c r="DJ3" s="163"/>
      <c r="DK3" s="163"/>
      <c r="DL3" s="163"/>
      <c r="DM3" s="163"/>
      <c r="DN3" s="163"/>
      <c r="DO3" s="163"/>
      <c r="DP3" s="163"/>
      <c r="DQ3" s="163"/>
      <c r="DR3" s="163"/>
      <c r="DS3" s="163"/>
      <c r="DT3" s="163"/>
      <c r="DU3" s="163"/>
      <c r="DV3" s="163"/>
      <c r="DW3" s="163"/>
      <c r="DX3" s="163"/>
      <c r="DY3" s="163"/>
      <c r="DZ3" s="163"/>
      <c r="EA3" s="163"/>
      <c r="EB3" s="163"/>
      <c r="EC3" s="163"/>
      <c r="ED3" s="163"/>
      <c r="EE3" s="163"/>
      <c r="EF3" s="163"/>
      <c r="EG3" s="163"/>
      <c r="EH3" s="163"/>
      <c r="EI3" s="163"/>
      <c r="EJ3" s="163"/>
      <c r="EK3" s="163"/>
      <c r="EL3" s="163"/>
      <c r="EM3" s="163"/>
      <c r="EN3" s="163"/>
      <c r="EO3" s="163"/>
      <c r="EP3" s="163"/>
      <c r="EQ3" s="163"/>
      <c r="ER3" s="163"/>
      <c r="ES3" s="163"/>
      <c r="ET3" s="163"/>
      <c r="EU3" s="163"/>
      <c r="EV3" s="163"/>
      <c r="EW3" s="163"/>
      <c r="EX3" s="163"/>
      <c r="EY3" s="163"/>
      <c r="EZ3" s="163"/>
      <c r="FA3" s="163"/>
      <c r="FB3" s="163"/>
      <c r="FC3" s="163"/>
      <c r="FD3" s="163"/>
      <c r="FE3" s="163"/>
      <c r="FF3" s="163"/>
      <c r="FG3" s="163"/>
      <c r="FH3" s="163"/>
      <c r="FI3" s="163"/>
      <c r="FJ3" s="163"/>
      <c r="FK3" s="163"/>
      <c r="FL3" s="163"/>
      <c r="FM3" s="163"/>
      <c r="FN3" s="163"/>
      <c r="FO3" s="163"/>
      <c r="FP3" s="163"/>
      <c r="FQ3" s="163"/>
      <c r="FR3" s="163"/>
      <c r="FS3" s="163"/>
      <c r="FT3" s="163"/>
      <c r="FU3" s="163"/>
      <c r="FV3" s="163"/>
      <c r="FW3" s="163"/>
      <c r="FX3" s="163"/>
      <c r="FY3" s="163"/>
      <c r="FZ3" s="163"/>
      <c r="GA3" s="163"/>
      <c r="GB3" s="163"/>
      <c r="GC3" s="163"/>
      <c r="GD3" s="163"/>
      <c r="GE3" s="163"/>
      <c r="GF3" s="163"/>
      <c r="GG3" s="163"/>
      <c r="GH3" s="163"/>
      <c r="GI3" s="163"/>
      <c r="GJ3" s="163"/>
      <c r="GK3" s="163"/>
      <c r="GL3" s="163"/>
      <c r="GM3" s="163"/>
      <c r="GN3" s="163"/>
      <c r="GO3" s="163"/>
      <c r="GP3" s="163"/>
      <c r="GQ3" s="163"/>
      <c r="GR3" s="163"/>
      <c r="GS3" s="163"/>
      <c r="GT3" s="163"/>
      <c r="GU3" s="163"/>
      <c r="GV3" s="163"/>
      <c r="GW3" s="163"/>
      <c r="GX3" s="163"/>
      <c r="GY3" s="163"/>
      <c r="GZ3" s="163"/>
      <c r="HA3" s="163"/>
      <c r="HB3" s="163"/>
      <c r="HC3" s="163"/>
      <c r="HD3" s="163"/>
      <c r="HE3" s="163"/>
      <c r="HF3" s="163"/>
      <c r="HG3" s="163"/>
      <c r="HH3" s="163"/>
      <c r="HI3" s="163"/>
      <c r="HJ3" s="163"/>
      <c r="HK3" s="163"/>
      <c r="HL3" s="163"/>
      <c r="HM3" s="163"/>
      <c r="HN3" s="163"/>
      <c r="HO3" s="163"/>
      <c r="HP3" s="163"/>
      <c r="HQ3" s="163"/>
      <c r="HR3" s="163"/>
      <c r="HS3" s="163"/>
      <c r="HT3" s="163"/>
      <c r="HU3" s="163"/>
      <c r="HV3" s="163"/>
      <c r="HW3" s="163"/>
      <c r="HX3" s="163"/>
      <c r="HY3" s="163"/>
      <c r="HZ3" s="163"/>
      <c r="IA3" s="163"/>
      <c r="IB3" s="163"/>
      <c r="IC3" s="163"/>
      <c r="ID3" s="163"/>
      <c r="IE3" s="163"/>
      <c r="IF3" s="163"/>
      <c r="IG3" s="163"/>
      <c r="IH3" s="163"/>
      <c r="II3" s="163"/>
      <c r="IJ3" s="163"/>
      <c r="IK3" s="163"/>
      <c r="IL3" s="163"/>
      <c r="IM3" s="163"/>
      <c r="IN3" s="163"/>
      <c r="IO3" s="163"/>
      <c r="IP3" s="163"/>
      <c r="IQ3" s="163"/>
      <c r="IR3" s="163"/>
      <c r="IS3" s="163"/>
      <c r="IT3" s="163"/>
      <c r="IU3" s="163"/>
      <c r="IV3" s="163"/>
      <c r="IW3" s="446">
        <v>0</v>
      </c>
    </row>
    <row r="4" spans="1:257" s="1744" customFormat="1" ht="14.65" customHeight="1">
      <c r="A4" s="1080"/>
      <c r="B4" s="1085"/>
      <c r="C4" s="1080"/>
      <c r="D4" s="1420"/>
      <c r="E4" s="444"/>
      <c r="F4" s="444"/>
      <c r="G4" s="444"/>
      <c r="H4" s="444"/>
      <c r="I4" s="444"/>
      <c r="J4" s="444"/>
      <c r="K4" s="444"/>
      <c r="L4" s="102"/>
      <c r="M4" s="183"/>
      <c r="N4" s="435"/>
      <c r="O4" s="435"/>
      <c r="P4" s="435"/>
      <c r="Q4" s="162"/>
      <c r="R4" s="435"/>
      <c r="S4" s="161"/>
      <c r="T4" s="161"/>
      <c r="U4" s="161"/>
      <c r="V4" s="161"/>
      <c r="IW4" s="442">
        <v>14</v>
      </c>
    </row>
    <row r="5" spans="1:257" s="1744" customFormat="1" ht="27.4" customHeight="1">
      <c r="A5" s="1080"/>
      <c r="B5" s="1085"/>
      <c r="C5" s="1080"/>
      <c r="D5" s="1420"/>
      <c r="E5" s="2042" t="str">
        <f>"Форма "&amp;IF(TEMPLATE_SPHERE="HEAT","4","3")&amp;". Информация о рассмотрении дел об установлении "&amp;IF(TEMPLATE_SPHERE="TKO","предельных тарифов","тарифов в сфере "&amp;TEMPLATE_SPHERE_RUS)</f>
        <v>Форма 4. Информация о рассмотрении дел об установлении тарифов в сфере теплоснабжения</v>
      </c>
      <c r="F5" s="2042"/>
      <c r="G5" s="2042"/>
      <c r="H5" s="2042"/>
      <c r="I5" s="2042"/>
      <c r="J5" s="2042"/>
      <c r="K5" s="2042"/>
      <c r="L5" s="523"/>
      <c r="M5" s="183"/>
      <c r="N5" s="435"/>
      <c r="O5" s="435"/>
      <c r="P5" s="435"/>
      <c r="Q5" s="162"/>
      <c r="R5" s="435"/>
      <c r="S5" s="161"/>
      <c r="T5" s="161"/>
      <c r="U5" s="161"/>
      <c r="V5" s="161"/>
      <c r="IW5" s="442">
        <v>26</v>
      </c>
    </row>
    <row r="6" spans="1:257" s="1744" customFormat="1" ht="14.65" customHeight="1">
      <c r="A6" s="1080"/>
      <c r="B6" s="1085"/>
      <c r="C6" s="1080"/>
      <c r="D6" s="1420"/>
      <c r="E6" s="444"/>
      <c r="F6" s="103"/>
      <c r="G6" s="103"/>
      <c r="H6" s="103"/>
      <c r="I6" s="103"/>
      <c r="J6" s="103"/>
      <c r="K6" s="103"/>
      <c r="L6" s="104"/>
      <c r="M6" s="435"/>
      <c r="N6" s="435"/>
      <c r="O6" s="435"/>
      <c r="P6" s="435"/>
      <c r="Q6" s="162"/>
      <c r="R6" s="435"/>
      <c r="S6" s="161"/>
      <c r="T6" s="161"/>
      <c r="U6" s="161"/>
      <c r="V6" s="161"/>
      <c r="IW6" s="442">
        <v>14</v>
      </c>
    </row>
    <row r="7" spans="1:257" s="1744" customFormat="1" ht="14.65" customHeight="1">
      <c r="A7" s="1080"/>
      <c r="B7" s="1085"/>
      <c r="C7" s="1080"/>
      <c r="D7" s="1420"/>
      <c r="E7" s="2038" t="s">
        <v>299</v>
      </c>
      <c r="F7" s="2043"/>
      <c r="G7" s="2043"/>
      <c r="H7" s="2043"/>
      <c r="I7" s="2043"/>
      <c r="J7" s="2043"/>
      <c r="K7" s="2043"/>
      <c r="L7" s="2351" t="s">
        <v>300</v>
      </c>
      <c r="M7" s="435"/>
      <c r="N7" s="435"/>
      <c r="O7" s="435"/>
      <c r="P7" s="435"/>
      <c r="Q7" s="162"/>
      <c r="R7" s="435"/>
      <c r="S7" s="161"/>
      <c r="T7" s="161"/>
      <c r="U7" s="161"/>
      <c r="V7" s="161"/>
      <c r="IW7" s="442">
        <v>14</v>
      </c>
    </row>
    <row r="8" spans="1:257" s="1744" customFormat="1" ht="67.150000000000006" customHeight="1">
      <c r="A8" s="1080"/>
      <c r="B8" s="1085"/>
      <c r="C8" s="1080"/>
      <c r="D8" s="1420"/>
      <c r="E8" s="2355" t="s">
        <v>88</v>
      </c>
      <c r="F8" s="2355" t="str">
        <f>"Наименование "&amp;IF(TEMPLATE_SPHERE="TKO","регионального органа регулирования (органа местного самоуправления)","органа "&amp;IF(TEMPLATE_SPHERE="HEAT","тарифного регулирования","регулирования тарифов"))</f>
        <v>Наименование органа тарифного регулирования</v>
      </c>
      <c r="G8" s="2357" t="str">
        <f>"Заседание правления (коллегии) "&amp;IF(TEMPLATE_SPHERE="TKO","регионального органа регулирования (органа местного самоуправления)","органа "&amp;IF(TEMPLATE_SPHERE="HEAT","тарифного регулирования","регулирования тарифов"))&amp;", на котором планируется рассмотрение дел об установлении "&amp;IF(TEMPLATE_SPHERE="TKO","предельных тарифов",IF(TEMPLATE_SPHERE="HEAT","цен (тарифов) в сфере теплоснабжения","тарифов в сфере водоснабжения и водоотведения"))</f>
        <v>Заседание правления (коллегии) органа тарифного регулирования, на котором планируется рассмотрение дел об установлении цен (тарифов) в сфере теплоснабжения</v>
      </c>
      <c r="H8" s="2358"/>
      <c r="I8" s="2359"/>
      <c r="J8" s="2355" t="str">
        <f>"Принятые "&amp;IF(TEMPLATE_SPHERE="TKO","региональным органом регулирования (органом местного самоуправления)","органом "&amp;IF(TEMPLATE_SPHERE="HEAT","тарифного регулирования","регулирования тарифов"))&amp;" решения об установлении "&amp;IF(TEMPLATE_SPHERE="TKO","предельных тарифов",IF(TEMPLATE_SPHERE="HEAT","цен (тарифов) в сфере теплоснабжения, а также решения об утверждении предельного уровня цены на тепловую энергию (мощность), принимаемые в соответствии с Федеральным законом от 27 июля 2010 г. N 190-ФЗ ""О теплоснабжении""","тарифов в сфере водоснабжения и водоотведения"))</f>
        <v>Принятые органом тарифного регулирования решения об установлении цен (тарифов) в сфере теплоснабжения, а также решения об утверждении предельного уровня цены на тепловую энергию (мощность), принимаемые в соответствии с Федеральным законом от 27 июля 2010 г. N 190-ФЗ "О теплоснабжении"</v>
      </c>
      <c r="K8" s="2355" t="str">
        <f>"Протокол заседания правления (коллегии) "&amp;IF(TEMPLATE_SPHERE="TKO","регионального органа регулирования (органа местного самоуправления)","органа "&amp;IF(TEMPLATE_SPHERE="HEAT","тарифного регулирования","регулирования тарифов"))&amp;", оформленный в соответствии "&amp;IF(TEMPLATE_SPHERE="HEAT","с законодательством Российской Федерации",IF(TEMPLATE_SPHERE="TKO","с требованиями, установленными Правилами регулирования тарифов в сфере обращения с твердыми коммунальными отходами, утвержденными постановлением Правительства Российской Федерации от 30 мая 2016 г. N 484","с требованиями, установленными Правилами регулирования тарифов в сфере водоснабжения и водоотведения, утвержденными постановлением Правительства Российской Федерации от 13 мая 2013 г. № 406"))</f>
        <v>Протокол заседания правления (коллегии) органа тарифного регулирования, оформленный в соответствии с законодательством Российской Федерации</v>
      </c>
      <c r="L8" s="2353"/>
      <c r="M8" s="435"/>
      <c r="N8" s="435"/>
      <c r="O8" s="435"/>
      <c r="P8" s="435"/>
      <c r="Q8" s="162"/>
      <c r="R8" s="435"/>
      <c r="S8" s="161"/>
      <c r="T8" s="161"/>
      <c r="U8" s="161"/>
      <c r="V8" s="161"/>
      <c r="IW8" s="442">
        <v>64</v>
      </c>
    </row>
    <row r="9" spans="1:257" s="1744" customFormat="1" ht="29.25" customHeight="1">
      <c r="A9" s="1080"/>
      <c r="B9" s="1085"/>
      <c r="C9" s="1080"/>
      <c r="D9" s="1420"/>
      <c r="E9" s="2356"/>
      <c r="F9" s="2356"/>
      <c r="G9" s="1462" t="s">
        <v>1872</v>
      </c>
      <c r="H9" s="1462" t="s">
        <v>1873</v>
      </c>
      <c r="I9" s="1462" t="s">
        <v>1874</v>
      </c>
      <c r="J9" s="2356"/>
      <c r="K9" s="2356"/>
      <c r="L9" s="2352"/>
      <c r="M9" s="435"/>
      <c r="N9" s="435"/>
      <c r="O9" s="435"/>
      <c r="P9" s="435"/>
      <c r="Q9" s="162"/>
      <c r="R9" s="435"/>
      <c r="S9" s="161"/>
      <c r="T9" s="161"/>
      <c r="U9" s="161"/>
      <c r="V9" s="161"/>
      <c r="IW9" s="442">
        <v>28</v>
      </c>
    </row>
    <row r="10" spans="1:257" s="1774" customFormat="1" ht="23.25" customHeight="1">
      <c r="A10" s="2041"/>
      <c r="B10" s="1085">
        <v>1</v>
      </c>
      <c r="C10" s="1085"/>
      <c r="D10" s="729"/>
      <c r="E10" s="727">
        <v>1</v>
      </c>
      <c r="F10" s="1464" t="str">
        <f>IF(ROIV_INFO_NAME="","",ROIV_INFO_NAME)</f>
        <v>ООО "ЗЕНИТ ЭНЕРГО"</v>
      </c>
      <c r="G10" s="1657" t="s">
        <v>22</v>
      </c>
      <c r="H10" s="1840"/>
      <c r="I10" s="1459"/>
      <c r="J10" s="747"/>
      <c r="K10" s="747"/>
      <c r="L10" s="2319" t="str">
        <f>"В поле «"&amp;F8&amp;"» указывается наименование в соответствии с нормативным правовым актом, на основании которого региональный орган регулирования (орган местного самоуправления) образован."&amp;"
В поле «дата» указывается дата в виде «ДД.ММ.ГГГГ».
В поле «место» указывается адрес места проведения заседания (коллегии).
В полях «"&amp;MID(J8,1,40)&amp;"… » и «"&amp;MID(K8,1,40)&amp;"…» указываются ссылка на документ, предварительно загруженный в хранилище файлов ФГИС ЕИАС."</f>
        <v>В поле «Наименование органа тарифного регулирования» указывается наименование в соответствии с нормативным правовым актом, на основании которого региональный орган регулирования (орган местного самоуправления) образован.
В поле «дата» указывается дата в виде «ДД.ММ.ГГГГ».
В поле «место» указывается адрес места проведения заседания (коллегии).
В полях «Принятые органом тарифного регулирования… » и «Протокол заседания правления (коллегии) …» указываются ссылка на документ, предварительно загруженный в хранилище файлов ФГИС ЕИАС.</v>
      </c>
      <c r="M10" s="1460" t="e">
        <f ca="1">MERGEVALUE(F10)</f>
        <v>#NAME?</v>
      </c>
      <c r="N10" s="446"/>
      <c r="O10" s="446"/>
      <c r="P10" s="435" t="str">
        <f t="array" ref="P10">IF(ISERROR(MATCH(MID(Q10,1,250),MID(note_ter,1,250),0)),"n","y")</f>
        <v>n</v>
      </c>
      <c r="Q10" s="446"/>
      <c r="R10" s="435" t="str">
        <f>G10&amp;"("&amp;L10&amp;")"</f>
        <v>(В поле «Наименование органа тарифного регулирования» указывается наименование в соответствии с нормативным правовым актом, на основании которого региональный орган регулирования (орган местного самоуправления) образован.
В поле «дата» указывается дата в виде «ДД.ММ.ГГГГ».
В поле «место» указывается адрес места проведения заседания (коллегии).
В полях «Принятые органом тарифного регулирования… » и «Протокол заседания правления (коллегии) …» указываются ссылка на документ, предварительно загруженный в хранилище файлов ФГИС ЕИАС.)</v>
      </c>
      <c r="S10" s="1085"/>
      <c r="T10" s="1085"/>
      <c r="U10" s="355"/>
      <c r="V10" s="1085"/>
      <c r="W10" s="1085"/>
      <c r="X10" s="1085"/>
      <c r="Y10" s="357"/>
      <c r="Z10" s="357"/>
      <c r="AA10" s="354"/>
      <c r="AB10" s="354"/>
      <c r="AC10" s="354"/>
      <c r="AD10" s="354"/>
      <c r="AE10" s="354"/>
      <c r="AF10" s="354"/>
      <c r="AG10" s="354"/>
      <c r="AH10" s="354"/>
      <c r="AI10" s="354"/>
      <c r="AJ10" s="354"/>
      <c r="AK10" s="354"/>
      <c r="AL10" s="354"/>
      <c r="AM10" s="354"/>
      <c r="AN10" s="354"/>
      <c r="AO10" s="354"/>
      <c r="AP10" s="354"/>
      <c r="AQ10" s="354"/>
      <c r="AR10" s="354"/>
      <c r="AS10" s="354"/>
      <c r="AT10" s="354"/>
      <c r="AU10" s="354"/>
      <c r="AV10" s="354"/>
      <c r="AW10" s="354"/>
      <c r="AX10" s="354"/>
      <c r="AY10" s="354"/>
      <c r="AZ10" s="354"/>
      <c r="BA10" s="354"/>
      <c r="BB10" s="354"/>
      <c r="BC10" s="354"/>
      <c r="BD10" s="354"/>
      <c r="BE10" s="354"/>
      <c r="BF10" s="354"/>
      <c r="BG10" s="354"/>
      <c r="BH10" s="354"/>
      <c r="BI10" s="354"/>
      <c r="BJ10" s="354"/>
      <c r="BK10" s="354"/>
      <c r="BL10" s="354"/>
      <c r="BM10" s="354"/>
      <c r="BN10" s="354"/>
      <c r="BO10" s="354"/>
      <c r="BP10" s="354"/>
      <c r="BQ10" s="354"/>
      <c r="BR10" s="354"/>
      <c r="BS10" s="354"/>
      <c r="BT10" s="354"/>
      <c r="BU10" s="354"/>
      <c r="BV10" s="357"/>
      <c r="BW10" s="357"/>
      <c r="BX10" s="357"/>
      <c r="BY10" s="357"/>
      <c r="BZ10" s="357"/>
      <c r="CA10" s="357"/>
      <c r="CB10" s="357"/>
      <c r="CC10" s="357"/>
      <c r="CD10" s="357"/>
      <c r="CE10" s="357"/>
      <c r="IW10" s="358">
        <v>22</v>
      </c>
    </row>
    <row r="11" spans="1:257" s="1774" customFormat="1" ht="15.75" customHeight="1">
      <c r="A11" s="2041"/>
      <c r="B11" s="1085"/>
      <c r="C11" s="347"/>
      <c r="D11" s="730"/>
      <c r="E11" s="356"/>
      <c r="F11" s="351" t="s">
        <v>1875</v>
      </c>
      <c r="G11" s="123"/>
      <c r="H11" s="123"/>
      <c r="I11" s="123"/>
      <c r="J11" s="123"/>
      <c r="K11" s="359"/>
      <c r="L11" s="2354"/>
      <c r="M11" s="1461"/>
      <c r="N11" s="446"/>
      <c r="O11" s="446"/>
      <c r="P11" s="446"/>
      <c r="Q11" s="435"/>
      <c r="R11" s="446"/>
      <c r="S11" s="1085"/>
      <c r="T11" s="1085"/>
      <c r="U11" s="355"/>
      <c r="V11" s="1085"/>
      <c r="W11" s="1085"/>
      <c r="X11" s="1085"/>
      <c r="Y11" s="357"/>
      <c r="Z11" s="357"/>
      <c r="AA11" s="354"/>
      <c r="AB11" s="354"/>
      <c r="AC11" s="354"/>
      <c r="AD11" s="354"/>
      <c r="AE11" s="354"/>
      <c r="AF11" s="354"/>
      <c r="AG11" s="354"/>
      <c r="AH11" s="354"/>
      <c r="AI11" s="354"/>
      <c r="AJ11" s="354"/>
      <c r="AK11" s="354"/>
      <c r="AL11" s="354"/>
      <c r="AM11" s="354"/>
      <c r="AN11" s="354"/>
      <c r="AO11" s="354"/>
      <c r="AP11" s="354"/>
      <c r="AQ11" s="354"/>
      <c r="AR11" s="354"/>
      <c r="AS11" s="354"/>
      <c r="AT11" s="354"/>
      <c r="AU11" s="354"/>
      <c r="AV11" s="354"/>
      <c r="AW11" s="354"/>
      <c r="AX11" s="354"/>
      <c r="AY11" s="354"/>
      <c r="AZ11" s="354"/>
      <c r="BA11" s="354"/>
      <c r="BB11" s="354"/>
      <c r="BC11" s="354"/>
      <c r="BD11" s="354"/>
      <c r="BE11" s="354"/>
      <c r="BF11" s="354"/>
      <c r="BG11" s="354"/>
      <c r="BH11" s="354"/>
      <c r="BI11" s="354"/>
      <c r="BJ11" s="354"/>
      <c r="BK11" s="354"/>
      <c r="BL11" s="354"/>
      <c r="BM11" s="354"/>
      <c r="BN11" s="354"/>
      <c r="BO11" s="354"/>
      <c r="BP11" s="354"/>
      <c r="BQ11" s="354"/>
      <c r="BR11" s="354"/>
      <c r="BS11" s="354"/>
      <c r="BT11" s="354"/>
      <c r="BU11" s="354"/>
      <c r="BV11" s="357"/>
      <c r="BW11" s="357"/>
      <c r="BX11" s="357"/>
      <c r="BY11" s="357"/>
      <c r="BZ11" s="357"/>
      <c r="CA11" s="357"/>
      <c r="CB11" s="357"/>
      <c r="CC11" s="357"/>
      <c r="CD11" s="357"/>
      <c r="CE11" s="357"/>
      <c r="IW11" s="358">
        <v>15</v>
      </c>
    </row>
    <row r="12" spans="1:257" s="1744" customFormat="1" ht="21.95" customHeight="1">
      <c r="A12" s="1080"/>
      <c r="B12" s="1085"/>
      <c r="C12" s="1080"/>
      <c r="D12" s="386"/>
      <c r="E12" s="116"/>
      <c r="F12" s="116"/>
      <c r="G12" s="116"/>
      <c r="H12" s="116"/>
      <c r="I12" s="116"/>
      <c r="J12" s="116"/>
      <c r="K12" s="116"/>
      <c r="L12" s="116"/>
      <c r="M12" s="435"/>
      <c r="N12" s="435"/>
      <c r="O12" s="435"/>
      <c r="P12" s="435"/>
      <c r="Q12" s="162"/>
      <c r="R12" s="435"/>
      <c r="S12" s="161"/>
      <c r="T12" s="161"/>
      <c r="U12" s="161"/>
      <c r="V12" s="161"/>
      <c r="IW12" s="442">
        <v>21</v>
      </c>
    </row>
    <row r="13" spans="1:257" s="1744" customFormat="1" ht="14.65" customHeight="1">
      <c r="A13" s="1080"/>
      <c r="B13" s="1085"/>
      <c r="C13" s="1080"/>
      <c r="D13" s="386"/>
      <c r="E13" s="1080"/>
      <c r="F13" s="1080"/>
      <c r="G13" s="1080"/>
      <c r="H13" s="1080"/>
      <c r="I13" s="1080"/>
      <c r="J13" s="1080"/>
      <c r="K13" s="1080"/>
      <c r="L13" s="1080"/>
      <c r="M13" s="435"/>
      <c r="N13" s="435"/>
      <c r="O13" s="435"/>
      <c r="P13" s="435"/>
      <c r="Q13" s="162"/>
      <c r="R13" s="435"/>
      <c r="S13" s="161"/>
      <c r="T13" s="161"/>
      <c r="U13" s="161"/>
      <c r="V13" s="161"/>
      <c r="IW13" s="442">
        <v>14</v>
      </c>
    </row>
    <row r="14" spans="1:257" s="1744" customFormat="1" ht="1.1499999999999999" customHeight="1">
      <c r="A14" s="1080"/>
      <c r="B14" s="1085"/>
      <c r="C14" s="1080"/>
      <c r="D14" s="386"/>
      <c r="E14" s="1080"/>
      <c r="F14" s="1080"/>
      <c r="G14" s="1080"/>
      <c r="H14" s="1080"/>
      <c r="I14" s="1080"/>
      <c r="J14" s="1080"/>
      <c r="K14" s="1080"/>
      <c r="L14" s="1080"/>
      <c r="M14" s="435"/>
      <c r="N14" s="435"/>
      <c r="O14" s="435"/>
      <c r="P14" s="435"/>
      <c r="Q14" s="162"/>
      <c r="R14" s="435"/>
      <c r="S14" s="161"/>
      <c r="T14" s="161"/>
      <c r="U14" s="161"/>
      <c r="V14" s="161"/>
      <c r="IW14" s="442">
        <v>1</v>
      </c>
    </row>
    <row r="15" spans="1:257" ht="22.5" hidden="1" customHeight="1">
      <c r="A15" s="1080" t="s">
        <v>82</v>
      </c>
      <c r="B15" s="1085">
        <v>0</v>
      </c>
      <c r="C15" s="1080">
        <v>0</v>
      </c>
      <c r="D15" s="386">
        <v>3</v>
      </c>
      <c r="E15" s="1080">
        <v>6</v>
      </c>
      <c r="F15" s="1080">
        <v>27</v>
      </c>
      <c r="G15" s="1080">
        <v>16</v>
      </c>
      <c r="H15" s="1080">
        <v>12</v>
      </c>
      <c r="I15" s="1080">
        <v>32</v>
      </c>
      <c r="J15" s="1080">
        <v>41</v>
      </c>
      <c r="K15" s="1080">
        <v>41</v>
      </c>
      <c r="L15" s="1080">
        <v>89</v>
      </c>
      <c r="M15" s="435">
        <v>3</v>
      </c>
      <c r="N15" s="435">
        <v>8</v>
      </c>
      <c r="O15" s="435">
        <v>8</v>
      </c>
      <c r="P15" s="435">
        <v>8</v>
      </c>
      <c r="Q15" s="162">
        <v>25</v>
      </c>
      <c r="R15" s="435">
        <v>14</v>
      </c>
      <c r="S15" s="161">
        <v>8</v>
      </c>
      <c r="T15" s="161">
        <v>8</v>
      </c>
      <c r="U15" s="161">
        <v>8</v>
      </c>
      <c r="V15" s="161">
        <v>8</v>
      </c>
      <c r="W15" s="1080">
        <v>8</v>
      </c>
      <c r="X15" s="1080">
        <v>8</v>
      </c>
      <c r="Y15" s="1080">
        <v>8</v>
      </c>
      <c r="Z15" s="1080">
        <v>8</v>
      </c>
      <c r="AA15" s="1080">
        <v>8</v>
      </c>
      <c r="AB15" s="1080">
        <v>8</v>
      </c>
      <c r="AC15" s="1080">
        <v>8</v>
      </c>
      <c r="AD15" s="1080">
        <v>8</v>
      </c>
      <c r="AE15" s="1080">
        <v>8</v>
      </c>
      <c r="AF15" s="1080">
        <v>8</v>
      </c>
      <c r="AG15" s="1080">
        <v>8</v>
      </c>
      <c r="AH15" s="1080">
        <v>8</v>
      </c>
      <c r="AI15" s="1080">
        <v>8</v>
      </c>
      <c r="AJ15" s="1080">
        <v>8</v>
      </c>
      <c r="AK15" s="1080">
        <v>8</v>
      </c>
      <c r="AL15" s="1080">
        <v>8</v>
      </c>
      <c r="AM15" s="1080">
        <v>8</v>
      </c>
      <c r="AN15" s="1080">
        <v>8</v>
      </c>
      <c r="AO15" s="1080">
        <v>8</v>
      </c>
      <c r="AP15" s="1080">
        <v>8</v>
      </c>
      <c r="AQ15" s="1080">
        <v>8</v>
      </c>
      <c r="AR15" s="1080">
        <v>8</v>
      </c>
      <c r="AS15" s="1080">
        <v>8</v>
      </c>
      <c r="AT15" s="1080">
        <v>8</v>
      </c>
      <c r="AU15" s="1080">
        <v>8</v>
      </c>
      <c r="AV15" s="1080">
        <v>8</v>
      </c>
      <c r="AW15" s="1080">
        <v>8</v>
      </c>
      <c r="AX15" s="1080">
        <v>8</v>
      </c>
      <c r="AY15" s="1080">
        <v>8</v>
      </c>
      <c r="AZ15" s="1080">
        <v>8</v>
      </c>
      <c r="BA15" s="1080">
        <v>8</v>
      </c>
      <c r="BB15" s="1080">
        <v>8</v>
      </c>
      <c r="BC15" s="1080">
        <v>8</v>
      </c>
      <c r="BD15" s="1080">
        <v>8</v>
      </c>
      <c r="BE15" s="1080">
        <v>8</v>
      </c>
      <c r="BF15" s="1080">
        <v>8</v>
      </c>
      <c r="BG15" s="1080">
        <v>8</v>
      </c>
      <c r="BH15" s="1080">
        <v>8</v>
      </c>
      <c r="BI15" s="1080">
        <v>8</v>
      </c>
      <c r="BJ15" s="1080">
        <v>8</v>
      </c>
      <c r="BK15" s="1080">
        <v>8</v>
      </c>
      <c r="BL15" s="1080">
        <v>8</v>
      </c>
      <c r="BM15" s="1080">
        <v>8</v>
      </c>
      <c r="BN15" s="1080">
        <v>8</v>
      </c>
      <c r="BO15" s="1080">
        <v>8</v>
      </c>
      <c r="BP15" s="1080">
        <v>8</v>
      </c>
      <c r="BQ15" s="1080">
        <v>8</v>
      </c>
      <c r="BR15" s="1080">
        <v>8</v>
      </c>
      <c r="BS15" s="1080">
        <v>8</v>
      </c>
      <c r="BT15" s="1080">
        <v>8</v>
      </c>
      <c r="BU15" s="1080">
        <v>8</v>
      </c>
      <c r="BV15" s="1080">
        <v>8</v>
      </c>
      <c r="BW15" s="1080">
        <v>8</v>
      </c>
      <c r="BX15" s="1080">
        <v>8</v>
      </c>
      <c r="BY15" s="1080">
        <v>8</v>
      </c>
      <c r="BZ15" s="1080">
        <v>8</v>
      </c>
      <c r="CA15" s="1080">
        <v>8</v>
      </c>
      <c r="CB15" s="1080">
        <v>8</v>
      </c>
      <c r="CC15" s="1080">
        <v>8</v>
      </c>
      <c r="CD15" s="1080">
        <v>8</v>
      </c>
      <c r="CE15" s="1080">
        <v>8</v>
      </c>
      <c r="CF15" s="1080">
        <v>8</v>
      </c>
      <c r="CG15" s="1080">
        <v>8</v>
      </c>
      <c r="CH15" s="1080">
        <v>8</v>
      </c>
      <c r="CI15" s="1080">
        <v>8</v>
      </c>
      <c r="CJ15" s="1080">
        <v>8</v>
      </c>
      <c r="CK15" s="1080">
        <v>8</v>
      </c>
      <c r="CL15" s="1080">
        <v>8</v>
      </c>
      <c r="CM15" s="1080">
        <v>8</v>
      </c>
      <c r="CN15" s="1080">
        <v>8</v>
      </c>
      <c r="CO15" s="1080">
        <v>8</v>
      </c>
      <c r="CP15" s="1080">
        <v>8</v>
      </c>
      <c r="CQ15" s="1080">
        <v>8</v>
      </c>
      <c r="CR15" s="1080">
        <v>8</v>
      </c>
      <c r="CS15" s="1080">
        <v>8</v>
      </c>
      <c r="CT15" s="1080">
        <v>8</v>
      </c>
      <c r="CU15" s="1080">
        <v>8</v>
      </c>
      <c r="CV15" s="1080">
        <v>8</v>
      </c>
      <c r="CW15" s="1080">
        <v>8</v>
      </c>
      <c r="CX15" s="1080">
        <v>8</v>
      </c>
      <c r="CY15" s="1080">
        <v>8</v>
      </c>
      <c r="CZ15" s="1080">
        <v>8</v>
      </c>
      <c r="DA15" s="1080">
        <v>8</v>
      </c>
      <c r="DB15" s="1080">
        <v>8</v>
      </c>
      <c r="DC15" s="1080">
        <v>8</v>
      </c>
      <c r="DD15" s="1080">
        <v>8</v>
      </c>
      <c r="DE15" s="1080">
        <v>8</v>
      </c>
      <c r="DF15" s="1080">
        <v>8</v>
      </c>
      <c r="DG15" s="1080">
        <v>8</v>
      </c>
      <c r="DH15" s="1080">
        <v>8</v>
      </c>
      <c r="DI15" s="1080">
        <v>8</v>
      </c>
      <c r="DJ15" s="1080">
        <v>8</v>
      </c>
      <c r="DK15" s="1080">
        <v>8</v>
      </c>
      <c r="DL15" s="1080">
        <v>8</v>
      </c>
      <c r="DM15" s="1080">
        <v>8</v>
      </c>
      <c r="DN15" s="1080">
        <v>8</v>
      </c>
      <c r="DO15" s="1080">
        <v>8</v>
      </c>
      <c r="DP15" s="1080">
        <v>8</v>
      </c>
      <c r="DQ15" s="1080">
        <v>8</v>
      </c>
      <c r="DR15" s="1080">
        <v>8</v>
      </c>
      <c r="DS15" s="1080">
        <v>8</v>
      </c>
      <c r="DT15" s="1080">
        <v>8</v>
      </c>
      <c r="DU15" s="1080">
        <v>8</v>
      </c>
      <c r="DV15" s="1080">
        <v>8</v>
      </c>
      <c r="DW15" s="1080">
        <v>8</v>
      </c>
      <c r="DX15" s="1080">
        <v>8</v>
      </c>
      <c r="DY15" s="1080">
        <v>8</v>
      </c>
      <c r="DZ15" s="1080">
        <v>8</v>
      </c>
      <c r="EA15" s="1080">
        <v>8</v>
      </c>
      <c r="EB15" s="1080">
        <v>8</v>
      </c>
      <c r="EC15" s="1080">
        <v>8</v>
      </c>
      <c r="ED15" s="1080">
        <v>8</v>
      </c>
      <c r="EE15" s="1080">
        <v>8</v>
      </c>
      <c r="EF15" s="1080">
        <v>8</v>
      </c>
      <c r="EG15" s="1080">
        <v>8</v>
      </c>
      <c r="EH15" s="1080">
        <v>8</v>
      </c>
      <c r="EI15" s="1080">
        <v>8</v>
      </c>
      <c r="EJ15" s="1080">
        <v>8</v>
      </c>
      <c r="EK15" s="1080">
        <v>8</v>
      </c>
      <c r="EL15" s="1080">
        <v>8</v>
      </c>
      <c r="EM15" s="1080">
        <v>8</v>
      </c>
      <c r="EN15" s="1080">
        <v>8</v>
      </c>
      <c r="EO15" s="1080">
        <v>8</v>
      </c>
      <c r="EP15" s="1080">
        <v>8</v>
      </c>
      <c r="EQ15" s="1080">
        <v>8</v>
      </c>
      <c r="ER15" s="1080">
        <v>8</v>
      </c>
      <c r="ES15" s="1080">
        <v>8</v>
      </c>
      <c r="ET15" s="1080">
        <v>8</v>
      </c>
      <c r="EU15" s="1080">
        <v>8</v>
      </c>
      <c r="EV15" s="1080">
        <v>8</v>
      </c>
      <c r="EW15" s="1080">
        <v>8</v>
      </c>
      <c r="EX15" s="1080">
        <v>8</v>
      </c>
      <c r="EY15" s="1080">
        <v>8</v>
      </c>
      <c r="EZ15" s="1080">
        <v>8</v>
      </c>
      <c r="FA15" s="1080">
        <v>8</v>
      </c>
      <c r="FB15" s="1080">
        <v>8</v>
      </c>
      <c r="FC15" s="1080">
        <v>8</v>
      </c>
      <c r="FD15" s="1080">
        <v>8</v>
      </c>
      <c r="FE15" s="1080">
        <v>8</v>
      </c>
      <c r="FF15" s="1080">
        <v>8</v>
      </c>
      <c r="FG15" s="1080">
        <v>8</v>
      </c>
      <c r="FH15" s="1080">
        <v>8</v>
      </c>
      <c r="FI15" s="1080">
        <v>8</v>
      </c>
      <c r="FJ15" s="1080">
        <v>8</v>
      </c>
      <c r="FK15" s="1080">
        <v>8</v>
      </c>
      <c r="FL15" s="1080">
        <v>8</v>
      </c>
      <c r="FM15" s="1080">
        <v>8</v>
      </c>
      <c r="FN15" s="1080">
        <v>8</v>
      </c>
      <c r="FO15" s="1080">
        <v>8</v>
      </c>
      <c r="FP15" s="1080">
        <v>8</v>
      </c>
      <c r="FQ15" s="1080">
        <v>8</v>
      </c>
      <c r="FR15" s="1080">
        <v>8</v>
      </c>
      <c r="FS15" s="1080">
        <v>8</v>
      </c>
      <c r="FT15" s="1080">
        <v>8</v>
      </c>
      <c r="FU15" s="1080">
        <v>8</v>
      </c>
      <c r="FV15" s="1080">
        <v>8</v>
      </c>
      <c r="FW15" s="1080">
        <v>8</v>
      </c>
      <c r="FX15" s="1080">
        <v>8</v>
      </c>
      <c r="FY15" s="1080">
        <v>8</v>
      </c>
      <c r="FZ15" s="1080">
        <v>8</v>
      </c>
      <c r="GA15" s="1080">
        <v>8</v>
      </c>
      <c r="GB15" s="1080">
        <v>8</v>
      </c>
      <c r="GC15" s="1080">
        <v>8</v>
      </c>
      <c r="GD15" s="1080">
        <v>8</v>
      </c>
      <c r="GE15" s="1080">
        <v>8</v>
      </c>
      <c r="GF15" s="1080">
        <v>8</v>
      </c>
      <c r="GG15" s="1080">
        <v>8</v>
      </c>
      <c r="GH15" s="1080">
        <v>8</v>
      </c>
      <c r="GI15" s="1080">
        <v>8</v>
      </c>
      <c r="GJ15" s="1080">
        <v>8</v>
      </c>
      <c r="GK15" s="1080">
        <v>8</v>
      </c>
      <c r="GL15" s="1080">
        <v>8</v>
      </c>
      <c r="GM15" s="1080">
        <v>8</v>
      </c>
      <c r="GN15" s="1080">
        <v>8</v>
      </c>
      <c r="GO15" s="1080">
        <v>8</v>
      </c>
      <c r="GP15" s="1080">
        <v>8</v>
      </c>
      <c r="GQ15" s="1080">
        <v>8</v>
      </c>
      <c r="GR15" s="1080">
        <v>8</v>
      </c>
      <c r="GS15" s="1080">
        <v>8</v>
      </c>
      <c r="GT15" s="1080">
        <v>8</v>
      </c>
      <c r="GU15" s="1080">
        <v>8</v>
      </c>
      <c r="GV15" s="1080">
        <v>8</v>
      </c>
      <c r="GW15" s="1080">
        <v>8</v>
      </c>
      <c r="GX15" s="1080">
        <v>8</v>
      </c>
      <c r="GY15" s="1080">
        <v>8</v>
      </c>
      <c r="GZ15" s="1080">
        <v>8</v>
      </c>
      <c r="HA15" s="1080">
        <v>8</v>
      </c>
      <c r="HB15" s="1080">
        <v>8</v>
      </c>
      <c r="HC15" s="1080">
        <v>8</v>
      </c>
      <c r="HD15" s="1080">
        <v>8</v>
      </c>
      <c r="HE15" s="1080">
        <v>8</v>
      </c>
      <c r="HF15" s="1080">
        <v>8</v>
      </c>
      <c r="HG15" s="1080">
        <v>8</v>
      </c>
      <c r="HH15" s="1080">
        <v>8</v>
      </c>
      <c r="HI15" s="1080">
        <v>8</v>
      </c>
      <c r="HJ15" s="1080">
        <v>8</v>
      </c>
      <c r="HK15" s="1080">
        <v>8</v>
      </c>
      <c r="HL15" s="1080">
        <v>8</v>
      </c>
      <c r="HM15" s="1080">
        <v>8</v>
      </c>
      <c r="HN15" s="1080">
        <v>8</v>
      </c>
      <c r="HO15" s="1080">
        <v>8</v>
      </c>
      <c r="HP15" s="1080">
        <v>8</v>
      </c>
      <c r="HQ15" s="1080">
        <v>8</v>
      </c>
      <c r="HR15" s="1080">
        <v>8</v>
      </c>
      <c r="HS15" s="1080">
        <v>8</v>
      </c>
      <c r="HT15" s="1080">
        <v>8</v>
      </c>
      <c r="HU15" s="1080">
        <v>8</v>
      </c>
      <c r="HV15" s="1080">
        <v>8</v>
      </c>
      <c r="HW15" s="1080">
        <v>8</v>
      </c>
      <c r="HX15" s="1080">
        <v>8</v>
      </c>
      <c r="HY15" s="1080">
        <v>8</v>
      </c>
      <c r="HZ15" s="1080">
        <v>8</v>
      </c>
      <c r="IA15" s="1080">
        <v>8</v>
      </c>
      <c r="IB15" s="1080">
        <v>8</v>
      </c>
      <c r="IC15" s="1080">
        <v>8</v>
      </c>
      <c r="ID15" s="1080">
        <v>8</v>
      </c>
      <c r="IE15" s="1080">
        <v>8</v>
      </c>
      <c r="IF15" s="1080">
        <v>8</v>
      </c>
      <c r="IG15" s="1080">
        <v>8</v>
      </c>
      <c r="IH15" s="1080">
        <v>8</v>
      </c>
      <c r="II15" s="1080">
        <v>8</v>
      </c>
      <c r="IJ15" s="1080">
        <v>8</v>
      </c>
      <c r="IK15" s="1080">
        <v>8</v>
      </c>
      <c r="IL15" s="1080">
        <v>8</v>
      </c>
      <c r="IM15" s="1080">
        <v>8</v>
      </c>
      <c r="IN15" s="1080">
        <v>8</v>
      </c>
      <c r="IO15" s="1080">
        <v>8</v>
      </c>
      <c r="IP15" s="1080">
        <v>8</v>
      </c>
      <c r="IQ15" s="1080">
        <v>8</v>
      </c>
      <c r="IR15" s="1080">
        <v>8</v>
      </c>
      <c r="IS15" s="1080">
        <v>8</v>
      </c>
      <c r="IT15" s="1080">
        <v>8</v>
      </c>
      <c r="IU15" s="1080">
        <v>8</v>
      </c>
      <c r="IV15" s="1080">
        <v>8</v>
      </c>
      <c r="IW15" s="1080">
        <v>23</v>
      </c>
    </row>
  </sheetData>
  <sheetProtection formatColumns="0" formatRows="0" insertRows="0" deleteColumns="0" deleteRows="0" sort="0" autoFilter="0"/>
  <mergeCells count="10">
    <mergeCell ref="L7:L9"/>
    <mergeCell ref="E7:K7"/>
    <mergeCell ref="A10:A11"/>
    <mergeCell ref="L10:L11"/>
    <mergeCell ref="E5:K5"/>
    <mergeCell ref="F8:F9"/>
    <mergeCell ref="E8:E9"/>
    <mergeCell ref="G8:I8"/>
    <mergeCell ref="J8:J9"/>
    <mergeCell ref="K8:K9"/>
  </mergeCells>
  <dataValidations count="5">
    <dataValidation type="textLength" allowBlank="1" showInputMessage="1" showErrorMessage="1" sqref="H3:I3">
      <formula1>13</formula1>
      <formula2>15</formula2>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G2:G3 G10"/>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J10:K10 J2:K3">
      <formula1>900</formula1>
    </dataValidation>
    <dataValidation type="time" allowBlank="1" showInputMessage="1" showErrorMessage="1" prompt="Укажите время в формате ЧЧ:ММ" sqref="H10 H2">
      <formula1>0</formula1>
      <formula2>0.999305555555555</formula2>
    </dataValidation>
    <dataValidation type="textLength" operator="lessThanOrEqual" allowBlank="1" showInputMessage="1" showErrorMessage="1" sqref="I10 I2">
      <formula1>990</formula1>
    </dataValidation>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5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W15"/>
  <sheetViews>
    <sheetView showGridLines="0" zoomScale="90" workbookViewId="0">
      <pane xSplit="6" ySplit="9" topLeftCell="G10" activePane="bottomRight" state="frozen"/>
      <selection pane="topRight" activeCell="G1" sqref="G1"/>
      <selection pane="bottomLeft" activeCell="A10" sqref="A10"/>
      <selection pane="bottomRight"/>
    </sheetView>
  </sheetViews>
  <sheetFormatPr defaultColWidth="9.140625" defaultRowHeight="14.25" customHeight="1"/>
  <cols>
    <col min="1" max="1" width="9.140625" style="1560" hidden="1"/>
    <col min="2" max="2" width="9.140625" style="1291" hidden="1"/>
    <col min="3" max="3" width="3.7109375" style="1560" hidden="1" customWidth="1"/>
    <col min="4" max="4" width="3" style="1766" customWidth="1"/>
    <col min="5" max="5" width="6" style="1560" customWidth="1"/>
    <col min="6" max="6" width="27" style="1560" customWidth="1"/>
    <col min="7" max="7" width="16" style="1560" customWidth="1"/>
    <col min="8" max="8" width="12" style="1560" customWidth="1"/>
    <col min="9" max="9" width="32" style="1560" customWidth="1"/>
    <col min="10" max="11" width="41" style="1560" customWidth="1"/>
    <col min="12" max="12" width="89" style="1560" customWidth="1"/>
    <col min="13" max="13" width="3" style="1549" customWidth="1"/>
    <col min="14" max="16" width="8" style="1549" customWidth="1"/>
    <col min="17" max="17" width="25" style="1549" customWidth="1"/>
    <col min="18" max="18" width="14" style="1549" customWidth="1"/>
    <col min="19" max="22" width="8" style="161" customWidth="1"/>
    <col min="23" max="256" width="8" style="1560" customWidth="1"/>
    <col min="257" max="257" width="9.140625" style="1560" hidden="1"/>
  </cols>
  <sheetData>
    <row r="1" spans="1:257" ht="22.5" hidden="1" customHeight="1">
      <c r="IW1" s="1556" t="s">
        <v>14</v>
      </c>
    </row>
    <row r="2" spans="1:257" s="1774" customFormat="1" ht="22.5" hidden="1" customHeight="1">
      <c r="A2" s="760"/>
      <c r="B2" s="1291">
        <v>1</v>
      </c>
      <c r="C2" s="1291"/>
      <c r="D2" s="1849" t="s">
        <v>688</v>
      </c>
      <c r="E2" s="1828"/>
      <c r="F2" s="1830" t="str">
        <f>IF(ROIV_INFO_NAME="","",ROIV_INFO_NAME)</f>
        <v>ООО "ЗЕНИТ ЭНЕРГО"</v>
      </c>
      <c r="G2" s="1657" t="s">
        <v>22</v>
      </c>
      <c r="H2" s="1840"/>
      <c r="I2" s="1463"/>
      <c r="J2" s="747"/>
      <c r="K2" s="747"/>
      <c r="L2" s="164"/>
      <c r="M2" s="1460" t="e">
        <f ca="1">MERGEVALUE(F2)</f>
        <v>#NAME?</v>
      </c>
      <c r="N2" s="1561"/>
      <c r="O2" s="1561"/>
      <c r="P2" s="1549" t="str">
        <f t="array" ref="P2">IF(ISERROR(MATCH(MID(Q2,1,250),MID(note_ter,1,250),0)),"n","y")</f>
        <v>n</v>
      </c>
      <c r="Q2" s="1561"/>
      <c r="R2" s="1549" t="str">
        <f>G2&amp;"("&amp;L2&amp;")"</f>
        <v>()</v>
      </c>
      <c r="S2" s="1291"/>
      <c r="T2" s="1291"/>
      <c r="U2" s="355"/>
      <c r="V2" s="1291"/>
      <c r="W2" s="1291"/>
      <c r="X2" s="1291"/>
      <c r="Y2" s="762"/>
      <c r="Z2" s="762"/>
      <c r="AA2" s="562"/>
      <c r="AB2" s="562"/>
      <c r="AC2" s="562"/>
      <c r="AD2" s="562"/>
      <c r="AE2" s="562"/>
      <c r="AF2" s="562"/>
      <c r="AG2" s="562"/>
      <c r="AH2" s="562"/>
      <c r="AI2" s="562"/>
      <c r="AJ2" s="562"/>
      <c r="AK2" s="562"/>
      <c r="AL2" s="562"/>
      <c r="AM2" s="562"/>
      <c r="AN2" s="562"/>
      <c r="AO2" s="562"/>
      <c r="AP2" s="562"/>
      <c r="AQ2" s="562"/>
      <c r="AR2" s="562"/>
      <c r="AS2" s="562"/>
      <c r="AT2" s="562"/>
      <c r="AU2" s="562"/>
      <c r="AV2" s="562"/>
      <c r="AW2" s="562"/>
      <c r="AX2" s="562"/>
      <c r="AY2" s="562"/>
      <c r="AZ2" s="562"/>
      <c r="BA2" s="562"/>
      <c r="BB2" s="562"/>
      <c r="BC2" s="562"/>
      <c r="BD2" s="562"/>
      <c r="BE2" s="562"/>
      <c r="BF2" s="562"/>
      <c r="BG2" s="562"/>
      <c r="BH2" s="562"/>
      <c r="BI2" s="562"/>
      <c r="BJ2" s="562"/>
      <c r="BK2" s="562"/>
      <c r="BL2" s="562"/>
      <c r="BM2" s="562"/>
      <c r="BN2" s="562"/>
      <c r="BO2" s="562"/>
      <c r="BP2" s="562"/>
      <c r="BQ2" s="562"/>
      <c r="BR2" s="562"/>
      <c r="BS2" s="562"/>
      <c r="BT2" s="562"/>
      <c r="BU2" s="562"/>
      <c r="BV2" s="762"/>
      <c r="BW2" s="762"/>
      <c r="BX2" s="762"/>
      <c r="BY2" s="762"/>
      <c r="BZ2" s="762"/>
      <c r="CA2" s="762"/>
      <c r="CB2" s="762"/>
      <c r="CC2" s="762"/>
      <c r="CD2" s="762"/>
      <c r="CE2" s="762"/>
      <c r="IW2" s="559">
        <v>0</v>
      </c>
    </row>
    <row r="3" spans="1:257" s="1567" customFormat="1" ht="5.25" hidden="1" customHeight="1">
      <c r="A3" s="1566"/>
      <c r="D3" s="1817"/>
      <c r="F3" s="184" t="s">
        <v>83</v>
      </c>
      <c r="G3" s="1660" t="s">
        <v>84</v>
      </c>
      <c r="H3" s="1817"/>
      <c r="I3" s="1817"/>
      <c r="J3" s="1817"/>
      <c r="K3" s="1817"/>
      <c r="L3" s="163" t="s">
        <v>85</v>
      </c>
      <c r="M3" s="184" t="s">
        <v>83</v>
      </c>
      <c r="N3" s="184"/>
      <c r="O3" s="184"/>
      <c r="P3" s="184"/>
      <c r="Q3" s="184"/>
      <c r="R3" s="184"/>
      <c r="S3" s="184"/>
      <c r="T3" s="184"/>
      <c r="U3" s="184"/>
      <c r="V3" s="184"/>
      <c r="W3" s="163"/>
      <c r="X3" s="163"/>
      <c r="Y3" s="163"/>
      <c r="Z3" s="163"/>
      <c r="AA3" s="163"/>
      <c r="AB3" s="163"/>
      <c r="AC3" s="163"/>
      <c r="AD3" s="163"/>
      <c r="AE3" s="163"/>
      <c r="AF3" s="163"/>
      <c r="AG3" s="163"/>
      <c r="AH3" s="163"/>
      <c r="AI3" s="163"/>
      <c r="AJ3" s="163"/>
      <c r="AK3" s="163"/>
      <c r="AL3" s="163"/>
      <c r="AM3" s="163"/>
      <c r="AN3" s="163"/>
      <c r="AO3" s="163"/>
      <c r="AP3" s="163"/>
      <c r="AQ3" s="163"/>
      <c r="AR3" s="163"/>
      <c r="AS3" s="163"/>
      <c r="AT3" s="163"/>
      <c r="AU3" s="163"/>
      <c r="AV3" s="163"/>
      <c r="AW3" s="163"/>
      <c r="AX3" s="163"/>
      <c r="AY3" s="163"/>
      <c r="AZ3" s="163"/>
      <c r="BA3" s="163"/>
      <c r="BB3" s="163"/>
      <c r="BC3" s="163"/>
      <c r="BD3" s="163"/>
      <c r="BE3" s="163"/>
      <c r="BF3" s="163"/>
      <c r="BG3" s="163"/>
      <c r="BH3" s="163"/>
      <c r="BI3" s="163"/>
      <c r="BJ3" s="163"/>
      <c r="BK3" s="163"/>
      <c r="BL3" s="163"/>
      <c r="BM3" s="163"/>
      <c r="BN3" s="163"/>
      <c r="BO3" s="163"/>
      <c r="BP3" s="163"/>
      <c r="BQ3" s="163"/>
      <c r="BR3" s="163"/>
      <c r="BS3" s="163"/>
      <c r="BT3" s="163"/>
      <c r="BU3" s="163"/>
      <c r="BV3" s="163"/>
      <c r="BW3" s="163"/>
      <c r="BX3" s="163"/>
      <c r="BY3" s="163"/>
      <c r="BZ3" s="163"/>
      <c r="CA3" s="163"/>
      <c r="CB3" s="163"/>
      <c r="CC3" s="163"/>
      <c r="CD3" s="163"/>
      <c r="CE3" s="163"/>
      <c r="CF3" s="163"/>
      <c r="CG3" s="163"/>
      <c r="CH3" s="163"/>
      <c r="CI3" s="163"/>
      <c r="CJ3" s="163"/>
      <c r="CK3" s="163"/>
      <c r="CL3" s="163"/>
      <c r="CM3" s="163"/>
      <c r="CN3" s="163"/>
      <c r="CO3" s="163"/>
      <c r="CP3" s="163"/>
      <c r="CQ3" s="163"/>
      <c r="CR3" s="163"/>
      <c r="CS3" s="163"/>
      <c r="CT3" s="163"/>
      <c r="CU3" s="163"/>
      <c r="CV3" s="163"/>
      <c r="CW3" s="163"/>
      <c r="CX3" s="163"/>
      <c r="CY3" s="163"/>
      <c r="CZ3" s="163"/>
      <c r="DA3" s="163"/>
      <c r="DB3" s="163"/>
      <c r="DC3" s="163"/>
      <c r="DD3" s="163"/>
      <c r="DE3" s="163"/>
      <c r="DF3" s="163"/>
      <c r="DG3" s="163"/>
      <c r="DH3" s="163"/>
      <c r="DI3" s="163"/>
      <c r="DJ3" s="163"/>
      <c r="DK3" s="163"/>
      <c r="DL3" s="163"/>
      <c r="DM3" s="163"/>
      <c r="DN3" s="163"/>
      <c r="DO3" s="163"/>
      <c r="DP3" s="163"/>
      <c r="DQ3" s="163"/>
      <c r="DR3" s="163"/>
      <c r="DS3" s="163"/>
      <c r="DT3" s="163"/>
      <c r="DU3" s="163"/>
      <c r="DV3" s="163"/>
      <c r="DW3" s="163"/>
      <c r="DX3" s="163"/>
      <c r="DY3" s="163"/>
      <c r="DZ3" s="163"/>
      <c r="EA3" s="163"/>
      <c r="EB3" s="163"/>
      <c r="EC3" s="163"/>
      <c r="ED3" s="163"/>
      <c r="EE3" s="163"/>
      <c r="EF3" s="163"/>
      <c r="EG3" s="163"/>
      <c r="EH3" s="163"/>
      <c r="EI3" s="163"/>
      <c r="EJ3" s="163"/>
      <c r="EK3" s="163"/>
      <c r="EL3" s="163"/>
      <c r="EM3" s="163"/>
      <c r="EN3" s="163"/>
      <c r="EO3" s="163"/>
      <c r="EP3" s="163"/>
      <c r="EQ3" s="163"/>
      <c r="ER3" s="163"/>
      <c r="ES3" s="163"/>
      <c r="ET3" s="163"/>
      <c r="EU3" s="163"/>
      <c r="EV3" s="163"/>
      <c r="EW3" s="163"/>
      <c r="EX3" s="163"/>
      <c r="EY3" s="163"/>
      <c r="EZ3" s="163"/>
      <c r="FA3" s="163"/>
      <c r="FB3" s="163"/>
      <c r="FC3" s="163"/>
      <c r="FD3" s="163"/>
      <c r="FE3" s="163"/>
      <c r="FF3" s="163"/>
      <c r="FG3" s="163"/>
      <c r="FH3" s="163"/>
      <c r="FI3" s="163"/>
      <c r="FJ3" s="163"/>
      <c r="FK3" s="163"/>
      <c r="FL3" s="163"/>
      <c r="FM3" s="163"/>
      <c r="FN3" s="163"/>
      <c r="FO3" s="163"/>
      <c r="FP3" s="163"/>
      <c r="FQ3" s="163"/>
      <c r="FR3" s="163"/>
      <c r="FS3" s="163"/>
      <c r="FT3" s="163"/>
      <c r="FU3" s="163"/>
      <c r="FV3" s="163"/>
      <c r="FW3" s="163"/>
      <c r="FX3" s="163"/>
      <c r="FY3" s="163"/>
      <c r="FZ3" s="163"/>
      <c r="GA3" s="163"/>
      <c r="GB3" s="163"/>
      <c r="GC3" s="163"/>
      <c r="GD3" s="163"/>
      <c r="GE3" s="163"/>
      <c r="GF3" s="163"/>
      <c r="GG3" s="163"/>
      <c r="GH3" s="163"/>
      <c r="GI3" s="163"/>
      <c r="GJ3" s="163"/>
      <c r="GK3" s="163"/>
      <c r="GL3" s="163"/>
      <c r="GM3" s="163"/>
      <c r="GN3" s="163"/>
      <c r="GO3" s="163"/>
      <c r="GP3" s="163"/>
      <c r="GQ3" s="163"/>
      <c r="GR3" s="163"/>
      <c r="GS3" s="163"/>
      <c r="GT3" s="163"/>
      <c r="GU3" s="163"/>
      <c r="GV3" s="163"/>
      <c r="GW3" s="163"/>
      <c r="GX3" s="163"/>
      <c r="GY3" s="163"/>
      <c r="GZ3" s="163"/>
      <c r="HA3" s="163"/>
      <c r="HB3" s="163"/>
      <c r="HC3" s="163"/>
      <c r="HD3" s="163"/>
      <c r="HE3" s="163"/>
      <c r="HF3" s="163"/>
      <c r="HG3" s="163"/>
      <c r="HH3" s="163"/>
      <c r="HI3" s="163"/>
      <c r="HJ3" s="163"/>
      <c r="HK3" s="163"/>
      <c r="HL3" s="163"/>
      <c r="HM3" s="163"/>
      <c r="HN3" s="163"/>
      <c r="HO3" s="163"/>
      <c r="HP3" s="163"/>
      <c r="HQ3" s="163"/>
      <c r="HR3" s="163"/>
      <c r="HS3" s="163"/>
      <c r="HT3" s="163"/>
      <c r="HU3" s="163"/>
      <c r="HV3" s="163"/>
      <c r="HW3" s="163"/>
      <c r="HX3" s="163"/>
      <c r="HY3" s="163"/>
      <c r="HZ3" s="163"/>
      <c r="IA3" s="163"/>
      <c r="IB3" s="163"/>
      <c r="IC3" s="163"/>
      <c r="ID3" s="163"/>
      <c r="IE3" s="163"/>
      <c r="IF3" s="163"/>
      <c r="IG3" s="163"/>
      <c r="IH3" s="163"/>
      <c r="II3" s="163"/>
      <c r="IJ3" s="163"/>
      <c r="IK3" s="163"/>
      <c r="IL3" s="163"/>
      <c r="IM3" s="163"/>
      <c r="IN3" s="163"/>
      <c r="IO3" s="163"/>
      <c r="IP3" s="163"/>
      <c r="IQ3" s="163"/>
      <c r="IR3" s="163"/>
      <c r="IS3" s="163"/>
      <c r="IT3" s="163"/>
      <c r="IU3" s="163"/>
      <c r="IV3" s="163"/>
      <c r="IW3" s="1561">
        <v>0</v>
      </c>
    </row>
    <row r="4" spans="1:257" s="1744" customFormat="1" ht="14.65" customHeight="1">
      <c r="A4" s="1556"/>
      <c r="B4" s="1291"/>
      <c r="C4" s="1556"/>
      <c r="D4" s="1440"/>
      <c r="E4" s="1560"/>
      <c r="F4" s="1560"/>
      <c r="G4" s="1560"/>
      <c r="H4" s="1560"/>
      <c r="I4" s="1560"/>
      <c r="J4" s="1560"/>
      <c r="K4" s="1560"/>
      <c r="L4" s="1819"/>
      <c r="M4" s="184"/>
      <c r="N4" s="1549"/>
      <c r="O4" s="1549"/>
      <c r="P4" s="1549"/>
      <c r="Q4" s="1549"/>
      <c r="R4" s="1549"/>
      <c r="S4" s="161"/>
      <c r="T4" s="161"/>
      <c r="U4" s="161"/>
      <c r="V4" s="161"/>
      <c r="IW4" s="1534">
        <v>14</v>
      </c>
    </row>
    <row r="5" spans="1:257" s="1744" customFormat="1" ht="27.4" customHeight="1">
      <c r="A5" s="1556"/>
      <c r="B5" s="1291"/>
      <c r="C5" s="1556"/>
      <c r="D5" s="1440"/>
      <c r="E5" s="2042" t="str">
        <f>"Форма "&amp;IF(TEMPLATE_SPHERE="HEAT","4","3")&amp;". Информация о рассмотрении дел об установлении "&amp;IF(TEMPLATE_SPHERE="TKO","предельных тарифов","тарифов в сфере "&amp;TEMPLATE_SPHERE_RUS)</f>
        <v>Форма 4. Информация о рассмотрении дел об установлении тарифов в сфере теплоснабжения</v>
      </c>
      <c r="F5" s="2042"/>
      <c r="G5" s="2042"/>
      <c r="H5" s="2042"/>
      <c r="I5" s="2042"/>
      <c r="J5" s="2042"/>
      <c r="K5" s="2042"/>
      <c r="L5" s="1560"/>
      <c r="M5" s="184"/>
      <c r="N5" s="1549"/>
      <c r="O5" s="1549"/>
      <c r="P5" s="1549"/>
      <c r="Q5" s="1549"/>
      <c r="R5" s="1549"/>
      <c r="S5" s="161"/>
      <c r="T5" s="161"/>
      <c r="U5" s="161"/>
      <c r="V5" s="161"/>
      <c r="IW5" s="1534">
        <v>26</v>
      </c>
    </row>
    <row r="6" spans="1:257" s="1744" customFormat="1" ht="14.65" customHeight="1">
      <c r="A6" s="1556"/>
      <c r="B6" s="1291"/>
      <c r="C6" s="1556"/>
      <c r="D6" s="1440"/>
      <c r="E6" s="1560"/>
      <c r="F6" s="551"/>
      <c r="G6" s="551"/>
      <c r="H6" s="551"/>
      <c r="I6" s="551"/>
      <c r="J6" s="551"/>
      <c r="K6" s="551"/>
      <c r="L6" s="1177"/>
      <c r="M6" s="1549"/>
      <c r="N6" s="1549"/>
      <c r="O6" s="1549"/>
      <c r="P6" s="1549"/>
      <c r="Q6" s="1549"/>
      <c r="R6" s="1549"/>
      <c r="S6" s="161"/>
      <c r="T6" s="161"/>
      <c r="U6" s="161"/>
      <c r="V6" s="161"/>
      <c r="IW6" s="1534">
        <v>14</v>
      </c>
    </row>
    <row r="7" spans="1:257" s="1744" customFormat="1" ht="14.65" customHeight="1">
      <c r="A7" s="1556"/>
      <c r="B7" s="1291"/>
      <c r="C7" s="1556"/>
      <c r="D7" s="1440"/>
      <c r="E7" s="2038" t="s">
        <v>299</v>
      </c>
      <c r="F7" s="2043"/>
      <c r="G7" s="2043"/>
      <c r="H7" s="2043"/>
      <c r="I7" s="2043"/>
      <c r="J7" s="2043"/>
      <c r="K7" s="2043"/>
      <c r="L7" s="2351" t="s">
        <v>300</v>
      </c>
      <c r="M7" s="1549"/>
      <c r="N7" s="1549"/>
      <c r="O7" s="1549"/>
      <c r="P7" s="1549"/>
      <c r="Q7" s="1549"/>
      <c r="R7" s="1549"/>
      <c r="S7" s="161"/>
      <c r="T7" s="161"/>
      <c r="U7" s="161"/>
      <c r="V7" s="161"/>
      <c r="IW7" s="1534">
        <v>14</v>
      </c>
    </row>
    <row r="8" spans="1:257" s="1744" customFormat="1" ht="67.150000000000006" customHeight="1">
      <c r="A8" s="1556"/>
      <c r="B8" s="1291"/>
      <c r="C8" s="1556"/>
      <c r="D8" s="1440"/>
      <c r="E8" s="2355" t="s">
        <v>88</v>
      </c>
      <c r="F8" s="2355" t="s">
        <v>1876</v>
      </c>
      <c r="G8" s="2357" t="s">
        <v>1877</v>
      </c>
      <c r="H8" s="2358"/>
      <c r="I8" s="2359"/>
      <c r="J8" s="2355" t="s">
        <v>1878</v>
      </c>
      <c r="K8" s="2355" t="str">
        <f>"Протокол заседания правления (коллегии) "&amp;IF(TEMPLATE_SPHERE="TKO","регионального органа регулирования (органа местного самоуправления)","органа "&amp;IF(TEMPLATE_SPHERE="HEAT","тарифного регулирования","регулирования тарифов"))&amp;", оформленный в соответствии "&amp;IF(TEMPLATE_SPHERE="HEAT","с законодательством Российской Федерации",IF(TEMPLATE_SPHERE="TKO","с требованиями, установленными Правилами регулирования тарифов в сфере обращения с твердыми коммунальными отходами, утвержденными постановлением Правительства Российской Федерации от 30 мая 2016 г. N 484","с требованиями, установленными Правилами регулирования тарифов в сфере водоснабжения и водоотведения, утвержденными постановлением Правительства Российской Федерации от 13 мая 2013 г. № 406"))</f>
        <v>Протокол заседания правления (коллегии) органа тарифного регулирования, оформленный в соответствии с законодательством Российской Федерации</v>
      </c>
      <c r="L8" s="2353"/>
      <c r="M8" s="1549"/>
      <c r="N8" s="1549"/>
      <c r="O8" s="1549"/>
      <c r="P8" s="1549"/>
      <c r="Q8" s="1549"/>
      <c r="R8" s="1549"/>
      <c r="S8" s="161"/>
      <c r="T8" s="161"/>
      <c r="U8" s="161"/>
      <c r="V8" s="161"/>
      <c r="IW8" s="1534">
        <v>64</v>
      </c>
    </row>
    <row r="9" spans="1:257" s="1744" customFormat="1" ht="29.25" customHeight="1">
      <c r="A9" s="1556"/>
      <c r="B9" s="1291"/>
      <c r="C9" s="1556"/>
      <c r="D9" s="1440"/>
      <c r="E9" s="2356"/>
      <c r="F9" s="2356"/>
      <c r="G9" s="1818" t="s">
        <v>1872</v>
      </c>
      <c r="H9" s="1818" t="s">
        <v>1873</v>
      </c>
      <c r="I9" s="1818" t="s">
        <v>1874</v>
      </c>
      <c r="J9" s="2356"/>
      <c r="K9" s="2356"/>
      <c r="L9" s="2352"/>
      <c r="M9" s="1549"/>
      <c r="N9" s="1549"/>
      <c r="O9" s="1549"/>
      <c r="P9" s="1549"/>
      <c r="Q9" s="1549"/>
      <c r="R9" s="1549"/>
      <c r="S9" s="161"/>
      <c r="T9" s="161"/>
      <c r="U9" s="161"/>
      <c r="V9" s="161"/>
      <c r="IW9" s="1534">
        <v>28</v>
      </c>
    </row>
    <row r="10" spans="1:257" s="1774" customFormat="1" ht="1.1499999999999999" customHeight="1">
      <c r="A10" s="2041"/>
      <c r="B10" s="1291">
        <v>1</v>
      </c>
      <c r="C10" s="1291"/>
      <c r="D10" s="729"/>
      <c r="E10" s="724">
        <v>0</v>
      </c>
      <c r="F10" s="1815" t="str">
        <f>IF(ROIV_INFO_NAME="","",ROIV_INFO_NAME)</f>
        <v>ООО "ЗЕНИТ ЭНЕРГО"</v>
      </c>
      <c r="G10" s="1658" t="s">
        <v>22</v>
      </c>
      <c r="H10" s="1827"/>
      <c r="I10" s="1827"/>
      <c r="J10" s="454"/>
      <c r="K10" s="454"/>
      <c r="L10" s="2319" t="str">
        <f>"В поле «"&amp;F8&amp;"» указывается наименование в соответствии с нормативным правовым актом, на основании которого региональный орган регулирования (орган местного самоуправления) образован."&amp;"
В поле «дата» указывается дата в виде «ДД.ММ.ГГГГ».
В поле «место» указывается адрес места проведения заседания (коллегии).
В полях «"&amp;MID(J8,1,40)&amp;"… » и «"&amp;MID(K8,1,40)&amp;"…» указываются ссылка на документ, предварительно загруженный в хранилище файлов ФГИС ЕИАС."</f>
        <v>В поле «Наименование органа тарифного регулирования» указывается наименование в соответствии с нормативным правовым актом, на основании которого региональный орган регулирования (орган местного самоуправления) образован.
В поле «дата» указывается дата в виде «ДД.ММ.ГГГГ».
В поле «место» указывается адрес места проведения заседания (коллегии).
В полях «Принятые органом тарифного регулирования… » и «Протокол заседания правления (коллегии) …» указываются ссылка на документ, предварительно загруженный в хранилище файлов ФГИС ЕИАС.</v>
      </c>
      <c r="M10" s="1460" t="e">
        <f ca="1">MERGEVALUE(F10)</f>
        <v>#NAME?</v>
      </c>
      <c r="N10" s="1561"/>
      <c r="O10" s="1561"/>
      <c r="P10" s="1549" t="str">
        <f t="array" ref="P10">IF(ISERROR(MATCH(MID(Q10,1,250),MID(note_ter,1,250),0)),"n","y")</f>
        <v>n</v>
      </c>
      <c r="Q10" s="1561"/>
      <c r="R10" s="1549" t="str">
        <f>G10&amp;"("&amp;L10&amp;")"</f>
        <v>(В поле «Наименование органа тарифного регулирования» указывается наименование в соответствии с нормативным правовым актом, на основании которого региональный орган регулирования (орган местного самоуправления) образован.
В поле «дата» указывается дата в виде «ДД.ММ.ГГГГ».
В поле «место» указывается адрес места проведения заседания (коллегии).
В полях «Принятые органом тарифного регулирования… » и «Протокол заседания правления (коллегии) …» указываются ссылка на документ, предварительно загруженный в хранилище файлов ФГИС ЕИАС.)</v>
      </c>
      <c r="S10" s="1291"/>
      <c r="T10" s="1291"/>
      <c r="U10" s="355"/>
      <c r="V10" s="1291"/>
      <c r="W10" s="1291"/>
      <c r="X10" s="1291"/>
      <c r="Y10" s="762"/>
      <c r="Z10" s="762"/>
      <c r="AA10" s="562"/>
      <c r="AB10" s="562"/>
      <c r="AC10" s="562"/>
      <c r="AD10" s="562"/>
      <c r="AE10" s="562"/>
      <c r="AF10" s="562"/>
      <c r="AG10" s="562"/>
      <c r="AH10" s="562"/>
      <c r="AI10" s="562"/>
      <c r="AJ10" s="562"/>
      <c r="AK10" s="562"/>
      <c r="AL10" s="562"/>
      <c r="AM10" s="562"/>
      <c r="AN10" s="562"/>
      <c r="AO10" s="562"/>
      <c r="AP10" s="562"/>
      <c r="AQ10" s="562"/>
      <c r="AR10" s="562"/>
      <c r="AS10" s="562"/>
      <c r="AT10" s="562"/>
      <c r="AU10" s="562"/>
      <c r="AV10" s="562"/>
      <c r="AW10" s="562"/>
      <c r="AX10" s="562"/>
      <c r="AY10" s="562"/>
      <c r="AZ10" s="562"/>
      <c r="BA10" s="562"/>
      <c r="BB10" s="562"/>
      <c r="BC10" s="562"/>
      <c r="BD10" s="562"/>
      <c r="BE10" s="562"/>
      <c r="BF10" s="562"/>
      <c r="BG10" s="562"/>
      <c r="BH10" s="562"/>
      <c r="BI10" s="562"/>
      <c r="BJ10" s="562"/>
      <c r="BK10" s="562"/>
      <c r="BL10" s="562"/>
      <c r="BM10" s="562"/>
      <c r="BN10" s="562"/>
      <c r="BO10" s="562"/>
      <c r="BP10" s="562"/>
      <c r="BQ10" s="562"/>
      <c r="BR10" s="562"/>
      <c r="BS10" s="562"/>
      <c r="BT10" s="562"/>
      <c r="BU10" s="562"/>
      <c r="BV10" s="762"/>
      <c r="BW10" s="762"/>
      <c r="BX10" s="762"/>
      <c r="BY10" s="762"/>
      <c r="BZ10" s="762"/>
      <c r="CA10" s="762"/>
      <c r="CB10" s="762"/>
      <c r="CC10" s="762"/>
      <c r="CD10" s="762"/>
      <c r="CE10" s="762"/>
      <c r="IW10" s="559">
        <v>1</v>
      </c>
    </row>
    <row r="11" spans="1:257" s="1774" customFormat="1" ht="15.75" customHeight="1">
      <c r="A11" s="2041"/>
      <c r="B11" s="1291"/>
      <c r="C11" s="347"/>
      <c r="D11" s="730"/>
      <c r="E11" s="356"/>
      <c r="F11" s="586" t="s">
        <v>1875</v>
      </c>
      <c r="G11" s="123"/>
      <c r="H11" s="123"/>
      <c r="I11" s="123"/>
      <c r="J11" s="123"/>
      <c r="K11" s="359"/>
      <c r="L11" s="2354"/>
      <c r="M11" s="1461"/>
      <c r="N11" s="1561"/>
      <c r="O11" s="1561"/>
      <c r="P11" s="1561"/>
      <c r="Q11" s="1549"/>
      <c r="R11" s="1561"/>
      <c r="S11" s="1291"/>
      <c r="T11" s="1291"/>
      <c r="U11" s="355"/>
      <c r="V11" s="1291"/>
      <c r="W11" s="1291"/>
      <c r="X11" s="1291"/>
      <c r="Y11" s="762"/>
      <c r="Z11" s="762"/>
      <c r="AA11" s="562"/>
      <c r="AB11" s="562"/>
      <c r="AC11" s="562"/>
      <c r="AD11" s="562"/>
      <c r="AE11" s="562"/>
      <c r="AF11" s="562"/>
      <c r="AG11" s="562"/>
      <c r="AH11" s="562"/>
      <c r="AI11" s="562"/>
      <c r="AJ11" s="562"/>
      <c r="AK11" s="562"/>
      <c r="AL11" s="562"/>
      <c r="AM11" s="562"/>
      <c r="AN11" s="562"/>
      <c r="AO11" s="562"/>
      <c r="AP11" s="562"/>
      <c r="AQ11" s="562"/>
      <c r="AR11" s="562"/>
      <c r="AS11" s="562"/>
      <c r="AT11" s="562"/>
      <c r="AU11" s="562"/>
      <c r="AV11" s="562"/>
      <c r="AW11" s="562"/>
      <c r="AX11" s="562"/>
      <c r="AY11" s="562"/>
      <c r="AZ11" s="562"/>
      <c r="BA11" s="562"/>
      <c r="BB11" s="562"/>
      <c r="BC11" s="562"/>
      <c r="BD11" s="562"/>
      <c r="BE11" s="562"/>
      <c r="BF11" s="562"/>
      <c r="BG11" s="562"/>
      <c r="BH11" s="562"/>
      <c r="BI11" s="562"/>
      <c r="BJ11" s="562"/>
      <c r="BK11" s="562"/>
      <c r="BL11" s="562"/>
      <c r="BM11" s="562"/>
      <c r="BN11" s="562"/>
      <c r="BO11" s="562"/>
      <c r="BP11" s="562"/>
      <c r="BQ11" s="562"/>
      <c r="BR11" s="562"/>
      <c r="BS11" s="562"/>
      <c r="BT11" s="562"/>
      <c r="BU11" s="562"/>
      <c r="BV11" s="762"/>
      <c r="BW11" s="762"/>
      <c r="BX11" s="762"/>
      <c r="BY11" s="762"/>
      <c r="BZ11" s="762"/>
      <c r="CA11" s="762"/>
      <c r="CB11" s="762"/>
      <c r="CC11" s="762"/>
      <c r="CD11" s="762"/>
      <c r="CE11" s="762"/>
      <c r="IW11" s="559">
        <v>15</v>
      </c>
    </row>
    <row r="12" spans="1:257" s="1744" customFormat="1" ht="21.95" customHeight="1">
      <c r="A12" s="1556"/>
      <c r="B12" s="1291"/>
      <c r="C12" s="1556"/>
      <c r="D12" s="1558"/>
      <c r="E12" s="116"/>
      <c r="F12" s="116"/>
      <c r="G12" s="116"/>
      <c r="H12" s="116"/>
      <c r="I12" s="116"/>
      <c r="J12" s="116"/>
      <c r="K12" s="116"/>
      <c r="L12" s="116"/>
      <c r="M12" s="1549"/>
      <c r="N12" s="1549"/>
      <c r="O12" s="1549"/>
      <c r="P12" s="1549"/>
      <c r="Q12" s="1549"/>
      <c r="R12" s="1549"/>
      <c r="S12" s="161"/>
      <c r="T12" s="161"/>
      <c r="U12" s="161"/>
      <c r="V12" s="161"/>
      <c r="IW12" s="1534">
        <v>21</v>
      </c>
    </row>
    <row r="13" spans="1:257" s="1744" customFormat="1" ht="14.65" customHeight="1">
      <c r="A13" s="1556"/>
      <c r="B13" s="1291"/>
      <c r="C13" s="1556"/>
      <c r="D13" s="1558"/>
      <c r="E13" s="1556"/>
      <c r="F13" s="1556"/>
      <c r="G13" s="1556"/>
      <c r="H13" s="1556"/>
      <c r="I13" s="1556"/>
      <c r="J13" s="1556"/>
      <c r="K13" s="1556"/>
      <c r="L13" s="1556"/>
      <c r="M13" s="1549"/>
      <c r="N13" s="1549"/>
      <c r="O13" s="1549"/>
      <c r="P13" s="1549"/>
      <c r="Q13" s="1549"/>
      <c r="R13" s="1549"/>
      <c r="S13" s="161"/>
      <c r="T13" s="161"/>
      <c r="U13" s="161"/>
      <c r="V13" s="161"/>
      <c r="IW13" s="1534">
        <v>14</v>
      </c>
    </row>
    <row r="14" spans="1:257" s="1744" customFormat="1" ht="1.1499999999999999" customHeight="1">
      <c r="A14" s="1556"/>
      <c r="B14" s="1291"/>
      <c r="C14" s="1556"/>
      <c r="D14" s="1558"/>
      <c r="E14" s="1556"/>
      <c r="F14" s="1556"/>
      <c r="G14" s="1556"/>
      <c r="H14" s="1556"/>
      <c r="I14" s="1556"/>
      <c r="J14" s="1556"/>
      <c r="K14" s="1556"/>
      <c r="L14" s="1556"/>
      <c r="M14" s="1549"/>
      <c r="N14" s="1549"/>
      <c r="O14" s="1549"/>
      <c r="P14" s="1549"/>
      <c r="Q14" s="1549"/>
      <c r="R14" s="1549"/>
      <c r="S14" s="161"/>
      <c r="T14" s="161"/>
      <c r="U14" s="161"/>
      <c r="V14" s="161"/>
      <c r="IW14" s="1534">
        <v>1</v>
      </c>
    </row>
    <row r="15" spans="1:257" ht="22.5" hidden="1" customHeight="1">
      <c r="A15" s="1556" t="s">
        <v>82</v>
      </c>
      <c r="B15" s="1291">
        <v>0</v>
      </c>
      <c r="C15" s="1556">
        <v>0</v>
      </c>
      <c r="D15" s="1558">
        <v>3</v>
      </c>
      <c r="E15" s="1556">
        <v>6</v>
      </c>
      <c r="F15" s="1556">
        <v>27</v>
      </c>
      <c r="G15" s="1556">
        <v>16</v>
      </c>
      <c r="H15" s="1556">
        <v>12</v>
      </c>
      <c r="I15" s="1556">
        <v>32</v>
      </c>
      <c r="J15" s="1556">
        <v>41</v>
      </c>
      <c r="K15" s="1556">
        <v>41</v>
      </c>
      <c r="L15" s="1556">
        <v>89</v>
      </c>
      <c r="M15" s="1549">
        <v>3</v>
      </c>
      <c r="N15" s="1549">
        <v>8</v>
      </c>
      <c r="O15" s="1549">
        <v>8</v>
      </c>
      <c r="P15" s="1549">
        <v>8</v>
      </c>
      <c r="Q15" s="1549">
        <v>25</v>
      </c>
      <c r="R15" s="1549">
        <v>14</v>
      </c>
      <c r="S15" s="161">
        <v>8</v>
      </c>
      <c r="T15" s="161">
        <v>8</v>
      </c>
      <c r="U15" s="161">
        <v>8</v>
      </c>
      <c r="V15" s="161">
        <v>8</v>
      </c>
      <c r="W15" s="1556">
        <v>8</v>
      </c>
      <c r="X15" s="1556">
        <v>8</v>
      </c>
      <c r="Y15" s="1556">
        <v>8</v>
      </c>
      <c r="Z15" s="1556">
        <v>8</v>
      </c>
      <c r="AA15" s="1556">
        <v>8</v>
      </c>
      <c r="AB15" s="1556">
        <v>8</v>
      </c>
      <c r="AC15" s="1556">
        <v>8</v>
      </c>
      <c r="AD15" s="1556">
        <v>8</v>
      </c>
      <c r="AE15" s="1556">
        <v>8</v>
      </c>
      <c r="AF15" s="1556">
        <v>8</v>
      </c>
      <c r="AG15" s="1556">
        <v>8</v>
      </c>
      <c r="AH15" s="1556">
        <v>8</v>
      </c>
      <c r="AI15" s="1556">
        <v>8</v>
      </c>
      <c r="AJ15" s="1556">
        <v>8</v>
      </c>
      <c r="AK15" s="1556">
        <v>8</v>
      </c>
      <c r="AL15" s="1556">
        <v>8</v>
      </c>
      <c r="AM15" s="1556">
        <v>8</v>
      </c>
      <c r="AN15" s="1556">
        <v>8</v>
      </c>
      <c r="AO15" s="1556">
        <v>8</v>
      </c>
      <c r="AP15" s="1556">
        <v>8</v>
      </c>
      <c r="AQ15" s="1556">
        <v>8</v>
      </c>
      <c r="AR15" s="1556">
        <v>8</v>
      </c>
      <c r="AS15" s="1556">
        <v>8</v>
      </c>
      <c r="AT15" s="1556">
        <v>8</v>
      </c>
      <c r="AU15" s="1556">
        <v>8</v>
      </c>
      <c r="AV15" s="1556">
        <v>8</v>
      </c>
      <c r="AW15" s="1556">
        <v>8</v>
      </c>
      <c r="AX15" s="1556">
        <v>8</v>
      </c>
      <c r="AY15" s="1556">
        <v>8</v>
      </c>
      <c r="AZ15" s="1556">
        <v>8</v>
      </c>
      <c r="BA15" s="1556">
        <v>8</v>
      </c>
      <c r="BB15" s="1556">
        <v>8</v>
      </c>
      <c r="BC15" s="1556">
        <v>8</v>
      </c>
      <c r="BD15" s="1556">
        <v>8</v>
      </c>
      <c r="BE15" s="1556">
        <v>8</v>
      </c>
      <c r="BF15" s="1556">
        <v>8</v>
      </c>
      <c r="BG15" s="1556">
        <v>8</v>
      </c>
      <c r="BH15" s="1556">
        <v>8</v>
      </c>
      <c r="BI15" s="1556">
        <v>8</v>
      </c>
      <c r="BJ15" s="1556">
        <v>8</v>
      </c>
      <c r="BK15" s="1556">
        <v>8</v>
      </c>
      <c r="BL15" s="1556">
        <v>8</v>
      </c>
      <c r="BM15" s="1556">
        <v>8</v>
      </c>
      <c r="BN15" s="1556">
        <v>8</v>
      </c>
      <c r="BO15" s="1556">
        <v>8</v>
      </c>
      <c r="BP15" s="1556">
        <v>8</v>
      </c>
      <c r="BQ15" s="1556">
        <v>8</v>
      </c>
      <c r="BR15" s="1556">
        <v>8</v>
      </c>
      <c r="BS15" s="1556">
        <v>8</v>
      </c>
      <c r="BT15" s="1556">
        <v>8</v>
      </c>
      <c r="BU15" s="1556">
        <v>8</v>
      </c>
      <c r="BV15" s="1556">
        <v>8</v>
      </c>
      <c r="BW15" s="1556">
        <v>8</v>
      </c>
      <c r="BX15" s="1556">
        <v>8</v>
      </c>
      <c r="BY15" s="1556">
        <v>8</v>
      </c>
      <c r="BZ15" s="1556">
        <v>8</v>
      </c>
      <c r="CA15" s="1556">
        <v>8</v>
      </c>
      <c r="CB15" s="1556">
        <v>8</v>
      </c>
      <c r="CC15" s="1556">
        <v>8</v>
      </c>
      <c r="CD15" s="1556">
        <v>8</v>
      </c>
      <c r="CE15" s="1556">
        <v>8</v>
      </c>
      <c r="CF15" s="1556">
        <v>8</v>
      </c>
      <c r="CG15" s="1556">
        <v>8</v>
      </c>
      <c r="CH15" s="1556">
        <v>8</v>
      </c>
      <c r="CI15" s="1556">
        <v>8</v>
      </c>
      <c r="CJ15" s="1556">
        <v>8</v>
      </c>
      <c r="CK15" s="1556">
        <v>8</v>
      </c>
      <c r="CL15" s="1556">
        <v>8</v>
      </c>
      <c r="CM15" s="1556">
        <v>8</v>
      </c>
      <c r="CN15" s="1556">
        <v>8</v>
      </c>
      <c r="CO15" s="1556">
        <v>8</v>
      </c>
      <c r="CP15" s="1556">
        <v>8</v>
      </c>
      <c r="CQ15" s="1556">
        <v>8</v>
      </c>
      <c r="CR15" s="1556">
        <v>8</v>
      </c>
      <c r="CS15" s="1556">
        <v>8</v>
      </c>
      <c r="CT15" s="1556">
        <v>8</v>
      </c>
      <c r="CU15" s="1556">
        <v>8</v>
      </c>
      <c r="CV15" s="1556">
        <v>8</v>
      </c>
      <c r="CW15" s="1556">
        <v>8</v>
      </c>
      <c r="CX15" s="1556">
        <v>8</v>
      </c>
      <c r="CY15" s="1556">
        <v>8</v>
      </c>
      <c r="CZ15" s="1556">
        <v>8</v>
      </c>
      <c r="DA15" s="1556">
        <v>8</v>
      </c>
      <c r="DB15" s="1556">
        <v>8</v>
      </c>
      <c r="DC15" s="1556">
        <v>8</v>
      </c>
      <c r="DD15" s="1556">
        <v>8</v>
      </c>
      <c r="DE15" s="1556">
        <v>8</v>
      </c>
      <c r="DF15" s="1556">
        <v>8</v>
      </c>
      <c r="DG15" s="1556">
        <v>8</v>
      </c>
      <c r="DH15" s="1556">
        <v>8</v>
      </c>
      <c r="DI15" s="1556">
        <v>8</v>
      </c>
      <c r="DJ15" s="1556">
        <v>8</v>
      </c>
      <c r="DK15" s="1556">
        <v>8</v>
      </c>
      <c r="DL15" s="1556">
        <v>8</v>
      </c>
      <c r="DM15" s="1556">
        <v>8</v>
      </c>
      <c r="DN15" s="1556">
        <v>8</v>
      </c>
      <c r="DO15" s="1556">
        <v>8</v>
      </c>
      <c r="DP15" s="1556">
        <v>8</v>
      </c>
      <c r="DQ15" s="1556">
        <v>8</v>
      </c>
      <c r="DR15" s="1556">
        <v>8</v>
      </c>
      <c r="DS15" s="1556">
        <v>8</v>
      </c>
      <c r="DT15" s="1556">
        <v>8</v>
      </c>
      <c r="DU15" s="1556">
        <v>8</v>
      </c>
      <c r="DV15" s="1556">
        <v>8</v>
      </c>
      <c r="DW15" s="1556">
        <v>8</v>
      </c>
      <c r="DX15" s="1556">
        <v>8</v>
      </c>
      <c r="DY15" s="1556">
        <v>8</v>
      </c>
      <c r="DZ15" s="1556">
        <v>8</v>
      </c>
      <c r="EA15" s="1556">
        <v>8</v>
      </c>
      <c r="EB15" s="1556">
        <v>8</v>
      </c>
      <c r="EC15" s="1556">
        <v>8</v>
      </c>
      <c r="ED15" s="1556">
        <v>8</v>
      </c>
      <c r="EE15" s="1556">
        <v>8</v>
      </c>
      <c r="EF15" s="1556">
        <v>8</v>
      </c>
      <c r="EG15" s="1556">
        <v>8</v>
      </c>
      <c r="EH15" s="1556">
        <v>8</v>
      </c>
      <c r="EI15" s="1556">
        <v>8</v>
      </c>
      <c r="EJ15" s="1556">
        <v>8</v>
      </c>
      <c r="EK15" s="1556">
        <v>8</v>
      </c>
      <c r="EL15" s="1556">
        <v>8</v>
      </c>
      <c r="EM15" s="1556">
        <v>8</v>
      </c>
      <c r="EN15" s="1556">
        <v>8</v>
      </c>
      <c r="EO15" s="1556">
        <v>8</v>
      </c>
      <c r="EP15" s="1556">
        <v>8</v>
      </c>
      <c r="EQ15" s="1556">
        <v>8</v>
      </c>
      <c r="ER15" s="1556">
        <v>8</v>
      </c>
      <c r="ES15" s="1556">
        <v>8</v>
      </c>
      <c r="ET15" s="1556">
        <v>8</v>
      </c>
      <c r="EU15" s="1556">
        <v>8</v>
      </c>
      <c r="EV15" s="1556">
        <v>8</v>
      </c>
      <c r="EW15" s="1556">
        <v>8</v>
      </c>
      <c r="EX15" s="1556">
        <v>8</v>
      </c>
      <c r="EY15" s="1556">
        <v>8</v>
      </c>
      <c r="EZ15" s="1556">
        <v>8</v>
      </c>
      <c r="FA15" s="1556">
        <v>8</v>
      </c>
      <c r="FB15" s="1556">
        <v>8</v>
      </c>
      <c r="FC15" s="1556">
        <v>8</v>
      </c>
      <c r="FD15" s="1556">
        <v>8</v>
      </c>
      <c r="FE15" s="1556">
        <v>8</v>
      </c>
      <c r="FF15" s="1556">
        <v>8</v>
      </c>
      <c r="FG15" s="1556">
        <v>8</v>
      </c>
      <c r="FH15" s="1556">
        <v>8</v>
      </c>
      <c r="FI15" s="1556">
        <v>8</v>
      </c>
      <c r="FJ15" s="1556">
        <v>8</v>
      </c>
      <c r="FK15" s="1556">
        <v>8</v>
      </c>
      <c r="FL15" s="1556">
        <v>8</v>
      </c>
      <c r="FM15" s="1556">
        <v>8</v>
      </c>
      <c r="FN15" s="1556">
        <v>8</v>
      </c>
      <c r="FO15" s="1556">
        <v>8</v>
      </c>
      <c r="FP15" s="1556">
        <v>8</v>
      </c>
      <c r="FQ15" s="1556">
        <v>8</v>
      </c>
      <c r="FR15" s="1556">
        <v>8</v>
      </c>
      <c r="FS15" s="1556">
        <v>8</v>
      </c>
      <c r="FT15" s="1556">
        <v>8</v>
      </c>
      <c r="FU15" s="1556">
        <v>8</v>
      </c>
      <c r="FV15" s="1556">
        <v>8</v>
      </c>
      <c r="FW15" s="1556">
        <v>8</v>
      </c>
      <c r="FX15" s="1556">
        <v>8</v>
      </c>
      <c r="FY15" s="1556">
        <v>8</v>
      </c>
      <c r="FZ15" s="1556">
        <v>8</v>
      </c>
      <c r="GA15" s="1556">
        <v>8</v>
      </c>
      <c r="GB15" s="1556">
        <v>8</v>
      </c>
      <c r="GC15" s="1556">
        <v>8</v>
      </c>
      <c r="GD15" s="1556">
        <v>8</v>
      </c>
      <c r="GE15" s="1556">
        <v>8</v>
      </c>
      <c r="GF15" s="1556">
        <v>8</v>
      </c>
      <c r="GG15" s="1556">
        <v>8</v>
      </c>
      <c r="GH15" s="1556">
        <v>8</v>
      </c>
      <c r="GI15" s="1556">
        <v>8</v>
      </c>
      <c r="GJ15" s="1556">
        <v>8</v>
      </c>
      <c r="GK15" s="1556">
        <v>8</v>
      </c>
      <c r="GL15" s="1556">
        <v>8</v>
      </c>
      <c r="GM15" s="1556">
        <v>8</v>
      </c>
      <c r="GN15" s="1556">
        <v>8</v>
      </c>
      <c r="GO15" s="1556">
        <v>8</v>
      </c>
      <c r="GP15" s="1556">
        <v>8</v>
      </c>
      <c r="GQ15" s="1556">
        <v>8</v>
      </c>
      <c r="GR15" s="1556">
        <v>8</v>
      </c>
      <c r="GS15" s="1556">
        <v>8</v>
      </c>
      <c r="GT15" s="1556">
        <v>8</v>
      </c>
      <c r="GU15" s="1556">
        <v>8</v>
      </c>
      <c r="GV15" s="1556">
        <v>8</v>
      </c>
      <c r="GW15" s="1556">
        <v>8</v>
      </c>
      <c r="GX15" s="1556">
        <v>8</v>
      </c>
      <c r="GY15" s="1556">
        <v>8</v>
      </c>
      <c r="GZ15" s="1556">
        <v>8</v>
      </c>
      <c r="HA15" s="1556">
        <v>8</v>
      </c>
      <c r="HB15" s="1556">
        <v>8</v>
      </c>
      <c r="HC15" s="1556">
        <v>8</v>
      </c>
      <c r="HD15" s="1556">
        <v>8</v>
      </c>
      <c r="HE15" s="1556">
        <v>8</v>
      </c>
      <c r="HF15" s="1556">
        <v>8</v>
      </c>
      <c r="HG15" s="1556">
        <v>8</v>
      </c>
      <c r="HH15" s="1556">
        <v>8</v>
      </c>
      <c r="HI15" s="1556">
        <v>8</v>
      </c>
      <c r="HJ15" s="1556">
        <v>8</v>
      </c>
      <c r="HK15" s="1556">
        <v>8</v>
      </c>
      <c r="HL15" s="1556">
        <v>8</v>
      </c>
      <c r="HM15" s="1556">
        <v>8</v>
      </c>
      <c r="HN15" s="1556">
        <v>8</v>
      </c>
      <c r="HO15" s="1556">
        <v>8</v>
      </c>
      <c r="HP15" s="1556">
        <v>8</v>
      </c>
      <c r="HQ15" s="1556">
        <v>8</v>
      </c>
      <c r="HR15" s="1556">
        <v>8</v>
      </c>
      <c r="HS15" s="1556">
        <v>8</v>
      </c>
      <c r="HT15" s="1556">
        <v>8</v>
      </c>
      <c r="HU15" s="1556">
        <v>8</v>
      </c>
      <c r="HV15" s="1556">
        <v>8</v>
      </c>
      <c r="HW15" s="1556">
        <v>8</v>
      </c>
      <c r="HX15" s="1556">
        <v>8</v>
      </c>
      <c r="HY15" s="1556">
        <v>8</v>
      </c>
      <c r="HZ15" s="1556">
        <v>8</v>
      </c>
      <c r="IA15" s="1556">
        <v>8</v>
      </c>
      <c r="IB15" s="1556">
        <v>8</v>
      </c>
      <c r="IC15" s="1556">
        <v>8</v>
      </c>
      <c r="ID15" s="1556">
        <v>8</v>
      </c>
      <c r="IE15" s="1556">
        <v>8</v>
      </c>
      <c r="IF15" s="1556">
        <v>8</v>
      </c>
      <c r="IG15" s="1556">
        <v>8</v>
      </c>
      <c r="IH15" s="1556">
        <v>8</v>
      </c>
      <c r="II15" s="1556">
        <v>8</v>
      </c>
      <c r="IJ15" s="1556">
        <v>8</v>
      </c>
      <c r="IK15" s="1556">
        <v>8</v>
      </c>
      <c r="IL15" s="1556">
        <v>8</v>
      </c>
      <c r="IM15" s="1556">
        <v>8</v>
      </c>
      <c r="IN15" s="1556">
        <v>8</v>
      </c>
      <c r="IO15" s="1556">
        <v>8</v>
      </c>
      <c r="IP15" s="1556">
        <v>8</v>
      </c>
      <c r="IQ15" s="1556">
        <v>8</v>
      </c>
      <c r="IR15" s="1556">
        <v>8</v>
      </c>
      <c r="IS15" s="1556">
        <v>8</v>
      </c>
      <c r="IT15" s="1556">
        <v>8</v>
      </c>
      <c r="IU15" s="1556">
        <v>8</v>
      </c>
      <c r="IV15" s="1556">
        <v>8</v>
      </c>
      <c r="IW15" s="1556">
        <v>23</v>
      </c>
    </row>
  </sheetData>
  <sheetProtection insertRows="0" deleteColumns="0" deleteRows="0" sort="0" autoFilter="0"/>
  <mergeCells count="10">
    <mergeCell ref="A10:A11"/>
    <mergeCell ref="L10:L11"/>
    <mergeCell ref="E5:K5"/>
    <mergeCell ref="E7:K7"/>
    <mergeCell ref="L7:L9"/>
    <mergeCell ref="E8:E9"/>
    <mergeCell ref="F8:F9"/>
    <mergeCell ref="G8:I8"/>
    <mergeCell ref="J8:J9"/>
    <mergeCell ref="K8:K9"/>
  </mergeCells>
  <dataValidations count="5">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J2:K3">
      <formula1>900</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G2:G3"/>
    <dataValidation type="textLength" allowBlank="1" showInputMessage="1" showErrorMessage="1" sqref="H3:I3">
      <formula1>13</formula1>
      <formula2>15</formula2>
    </dataValidation>
    <dataValidation type="textLength" operator="lessThanOrEqual" allowBlank="1" showInputMessage="1" showErrorMessage="1" sqref="I2">
      <formula1>990</formula1>
    </dataValidation>
    <dataValidation type="time" allowBlank="1" showInputMessage="1" showErrorMessage="1" prompt="Укажите время в формате ЧЧ:ММ" sqref="H2">
      <formula1>0</formula1>
      <formula2>0.999305555555555</formula2>
    </dataValidation>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5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19"/>
  <sheetViews>
    <sheetView showGridLines="0" zoomScale="90" workbookViewId="0">
      <pane xSplit="10" ySplit="12" topLeftCell="K13" activePane="bottomRight" state="frozen"/>
      <selection pane="topRight" activeCell="K1" sqref="K1"/>
      <selection pane="bottomLeft" activeCell="A13" sqref="A13"/>
      <selection pane="bottomRight"/>
    </sheetView>
  </sheetViews>
  <sheetFormatPr defaultColWidth="9.140625" defaultRowHeight="14.25" customHeight="1"/>
  <cols>
    <col min="1" max="1" width="9.140625" style="1560" hidden="1"/>
    <col min="2" max="2" width="9.140625" style="1291" hidden="1"/>
    <col min="3" max="3" width="3.7109375" style="1560" hidden="1" customWidth="1"/>
    <col min="4" max="4" width="3" style="1766" customWidth="1"/>
    <col min="5" max="5" width="6" style="1560" customWidth="1"/>
    <col min="6" max="6" width="27" style="1560" customWidth="1"/>
    <col min="7" max="7" width="29" style="1560" customWidth="1"/>
    <col min="8" max="8" width="25" style="1560" customWidth="1"/>
    <col min="9" max="9" width="5" style="1560" customWidth="1"/>
    <col min="10" max="10" width="6" style="1560" customWidth="1"/>
    <col min="11" max="11" width="41" style="1560" customWidth="1"/>
    <col min="12" max="12" width="42" style="1560" customWidth="1"/>
    <col min="13" max="13" width="41" style="1560" customWidth="1"/>
    <col min="14" max="14" width="89" style="1560" customWidth="1"/>
    <col min="15" max="15" width="3" style="1549" customWidth="1"/>
    <col min="16" max="16" width="8" style="1549" customWidth="1"/>
    <col min="17" max="17" width="9.140625" style="1560" hidden="1"/>
  </cols>
  <sheetData>
    <row r="1" spans="1:17" ht="22.5" hidden="1" customHeight="1">
      <c r="Q1" s="1080" t="s">
        <v>14</v>
      </c>
    </row>
    <row r="2" spans="1:17" s="1774" customFormat="1" ht="22.5" hidden="1" customHeight="1">
      <c r="A2" s="431"/>
      <c r="B2" s="1085">
        <v>1</v>
      </c>
      <c r="C2" s="1085"/>
      <c r="D2" s="1849" t="s">
        <v>688</v>
      </c>
      <c r="E2" s="2066">
        <v>1</v>
      </c>
      <c r="F2" s="2221" t="str">
        <f>IF(region_name="","",region_name)</f>
        <v>Нижегородская область</v>
      </c>
      <c r="G2" s="2360"/>
      <c r="H2" s="2361"/>
      <c r="I2" s="409"/>
      <c r="J2" s="1834">
        <v>1</v>
      </c>
      <c r="K2" s="1836"/>
      <c r="L2" s="1836"/>
      <c r="M2" s="1836"/>
      <c r="N2" s="427"/>
      <c r="O2" s="1460"/>
      <c r="P2" s="446"/>
      <c r="Q2" s="358">
        <v>0</v>
      </c>
    </row>
    <row r="3" spans="1:17" s="1774" customFormat="1" ht="22.5" hidden="1" customHeight="1">
      <c r="A3" s="760"/>
      <c r="B3" s="1085"/>
      <c r="C3" s="1085"/>
      <c r="D3" s="730"/>
      <c r="E3" s="2066"/>
      <c r="F3" s="2221"/>
      <c r="G3" s="2360"/>
      <c r="H3" s="2362"/>
      <c r="I3" s="356"/>
      <c r="J3" s="1425"/>
      <c r="K3" s="1425" t="s">
        <v>1879</v>
      </c>
      <c r="L3" s="1468"/>
      <c r="M3" s="1844"/>
      <c r="N3" s="1837"/>
      <c r="O3" s="1460"/>
      <c r="P3" s="446"/>
      <c r="Q3" s="358">
        <v>0</v>
      </c>
    </row>
    <row r="4" spans="1:17" s="1567" customFormat="1" ht="5.25" hidden="1" customHeight="1">
      <c r="A4" s="431"/>
      <c r="D4" s="429"/>
      <c r="F4" s="183" t="s">
        <v>83</v>
      </c>
      <c r="G4" s="429" t="s">
        <v>84</v>
      </c>
      <c r="H4" s="429"/>
      <c r="I4" s="1847"/>
      <c r="J4" s="1469"/>
      <c r="K4" s="1835"/>
      <c r="L4" s="1835"/>
      <c r="M4" s="1835"/>
      <c r="N4" s="1831"/>
      <c r="O4" s="183" t="s">
        <v>83</v>
      </c>
      <c r="P4" s="183"/>
      <c r="Q4" s="446">
        <v>0</v>
      </c>
    </row>
    <row r="5" spans="1:17" s="1774" customFormat="1" ht="22.5" hidden="1" customHeight="1">
      <c r="A5" s="1566"/>
      <c r="B5" s="1291">
        <v>1</v>
      </c>
      <c r="C5" s="1291"/>
      <c r="D5" s="730"/>
      <c r="E5" s="1837"/>
      <c r="F5" s="1837"/>
      <c r="G5" s="1837"/>
      <c r="H5" s="1848"/>
      <c r="I5" s="1850" t="s">
        <v>688</v>
      </c>
      <c r="J5" s="1846">
        <v>1</v>
      </c>
      <c r="K5" s="1836"/>
      <c r="L5" s="1836"/>
      <c r="M5" s="1836"/>
      <c r="N5" s="427"/>
      <c r="O5" s="1460"/>
      <c r="P5" s="1561"/>
      <c r="Q5" s="559">
        <v>0</v>
      </c>
    </row>
    <row r="6" spans="1:17" s="1744" customFormat="1" ht="14.65" customHeight="1">
      <c r="A6" s="1080"/>
      <c r="B6" s="1085"/>
      <c r="C6" s="1080"/>
      <c r="D6" s="1420"/>
      <c r="E6" s="444"/>
      <c r="F6" s="444"/>
      <c r="G6" s="444"/>
      <c r="H6" s="444"/>
      <c r="I6" s="444"/>
      <c r="J6" s="444"/>
      <c r="K6" s="444"/>
      <c r="L6" s="444"/>
      <c r="M6" s="444"/>
      <c r="N6" s="1560"/>
      <c r="O6" s="183"/>
      <c r="P6" s="435"/>
      <c r="Q6" s="442">
        <v>14</v>
      </c>
    </row>
    <row r="7" spans="1:17" s="1744" customFormat="1" ht="27.4" customHeight="1">
      <c r="A7" s="1080"/>
      <c r="B7" s="1085"/>
      <c r="C7" s="1080"/>
      <c r="D7" s="1420"/>
      <c r="E7" s="2367" t="str">
        <f>"Форма "&amp;IF(TEMPLATE_SPHERE="HEAT","5","4")&amp;". Информация о привлечении к административной ответственности организаций и должностных лиц за нарушение установленных порядка, способа, сроков раскрытия информации и форм ее предоставления"</f>
        <v>Форма 5. Информация о привлечении к административной ответственности организаций и должностных лиц за нарушение установленных порядка, способа, сроков раскрытия информации и форм ее предоставления</v>
      </c>
      <c r="F7" s="2367"/>
      <c r="G7" s="2367"/>
      <c r="H7" s="2367"/>
      <c r="I7" s="2367"/>
      <c r="J7" s="2367"/>
      <c r="K7" s="2367"/>
      <c r="L7" s="2367"/>
      <c r="M7" s="2367"/>
      <c r="N7" s="1177"/>
      <c r="O7" s="183"/>
      <c r="P7" s="435"/>
      <c r="Q7" s="442">
        <v>26</v>
      </c>
    </row>
    <row r="8" spans="1:17" s="1744" customFormat="1" ht="14.65" customHeight="1">
      <c r="A8" s="1080"/>
      <c r="B8" s="1085"/>
      <c r="C8" s="1080"/>
      <c r="D8" s="1420"/>
      <c r="E8" s="444"/>
      <c r="F8" s="103"/>
      <c r="G8" s="103"/>
      <c r="H8" s="103"/>
      <c r="I8" s="103"/>
      <c r="J8" s="103"/>
      <c r="K8" s="103"/>
      <c r="L8" s="103"/>
      <c r="M8" s="103"/>
      <c r="N8" s="551"/>
      <c r="O8" s="435"/>
      <c r="P8" s="435"/>
      <c r="Q8" s="442">
        <v>14</v>
      </c>
    </row>
    <row r="9" spans="1:17" s="1471" customFormat="1" ht="14.25" hidden="1" customHeight="1">
      <c r="A9" s="1393"/>
      <c r="B9" s="1403"/>
      <c r="C9" s="1393"/>
      <c r="D9" s="1420"/>
      <c r="E9" s="1838"/>
      <c r="F9" s="1838"/>
      <c r="G9" s="1838"/>
      <c r="H9" s="1838"/>
      <c r="I9" s="2370"/>
      <c r="J9" s="2370"/>
      <c r="K9" s="2370"/>
      <c r="L9" s="1838"/>
      <c r="M9" s="1839"/>
      <c r="O9" s="1470"/>
      <c r="P9" s="1470"/>
      <c r="Q9" s="1471">
        <v>0</v>
      </c>
    </row>
    <row r="10" spans="1:17" s="1744" customFormat="1" ht="14.65" customHeight="1">
      <c r="A10" s="1080"/>
      <c r="B10" s="1085"/>
      <c r="C10" s="1080"/>
      <c r="D10" s="1420"/>
      <c r="E10" s="2066" t="s">
        <v>299</v>
      </c>
      <c r="F10" s="2066"/>
      <c r="G10" s="2066"/>
      <c r="H10" s="2066"/>
      <c r="I10" s="2066"/>
      <c r="J10" s="2066"/>
      <c r="K10" s="2066"/>
      <c r="L10" s="2066"/>
      <c r="M10" s="2038"/>
      <c r="N10" s="2355" t="s">
        <v>300</v>
      </c>
      <c r="O10" s="435"/>
      <c r="P10" s="435"/>
      <c r="Q10" s="442">
        <v>14</v>
      </c>
    </row>
    <row r="11" spans="1:17" s="1744" customFormat="1" ht="44.25" customHeight="1">
      <c r="A11" s="1556"/>
      <c r="B11" s="1291"/>
      <c r="C11" s="1556"/>
      <c r="D11" s="1440"/>
      <c r="E11" s="2369" t="s">
        <v>88</v>
      </c>
      <c r="F11" s="2369" t="s">
        <v>303</v>
      </c>
      <c r="G11" s="2369" t="s">
        <v>1880</v>
      </c>
      <c r="H11" s="2369"/>
      <c r="I11" s="2369" t="s">
        <v>1881</v>
      </c>
      <c r="J11" s="2369"/>
      <c r="K11" s="2369"/>
      <c r="L11" s="2369" t="s">
        <v>1882</v>
      </c>
      <c r="M11" s="2357" t="s">
        <v>1883</v>
      </c>
      <c r="N11" s="2368"/>
      <c r="O11" s="1549"/>
      <c r="P11" s="1549"/>
      <c r="Q11" s="1534">
        <v>42</v>
      </c>
    </row>
    <row r="12" spans="1:17" s="1744" customFormat="1" ht="29.25" customHeight="1">
      <c r="A12" s="1080"/>
      <c r="B12" s="1085"/>
      <c r="C12" s="1080"/>
      <c r="D12" s="1420"/>
      <c r="E12" s="2355"/>
      <c r="F12" s="2369"/>
      <c r="G12" s="1833" t="s">
        <v>1884</v>
      </c>
      <c r="H12" s="1833" t="s">
        <v>307</v>
      </c>
      <c r="I12" s="2369"/>
      <c r="J12" s="2369"/>
      <c r="K12" s="2369"/>
      <c r="L12" s="2369"/>
      <c r="M12" s="2357"/>
      <c r="N12" s="2356"/>
      <c r="O12" s="435"/>
      <c r="P12" s="435"/>
      <c r="Q12" s="442">
        <v>28</v>
      </c>
    </row>
    <row r="13" spans="1:17" s="1774" customFormat="1" ht="23.25" customHeight="1">
      <c r="A13" s="2041">
        <v>26379339</v>
      </c>
      <c r="B13" s="1085">
        <v>1</v>
      </c>
      <c r="C13" s="1085"/>
      <c r="D13" s="730"/>
      <c r="E13" s="2066">
        <v>1</v>
      </c>
      <c r="F13" s="2363" t="str">
        <f>IF(region_name="","",region_name)</f>
        <v>Нижегородская область</v>
      </c>
      <c r="G13" s="2364"/>
      <c r="H13" s="2371"/>
      <c r="I13" s="409"/>
      <c r="J13" s="1829">
        <v>1</v>
      </c>
      <c r="K13" s="1842"/>
      <c r="L13" s="1843"/>
      <c r="M13" s="1843"/>
      <c r="N13" s="2365" t="s">
        <v>1885</v>
      </c>
      <c r="O13" s="1460"/>
      <c r="P13" s="446"/>
      <c r="Q13" s="358">
        <v>22</v>
      </c>
    </row>
    <row r="14" spans="1:17" s="1774" customFormat="1" ht="23.25" customHeight="1">
      <c r="A14" s="2041"/>
      <c r="B14" s="1085"/>
      <c r="C14" s="1085"/>
      <c r="D14" s="730"/>
      <c r="E14" s="2066"/>
      <c r="F14" s="2363"/>
      <c r="G14" s="2364"/>
      <c r="H14" s="2372"/>
      <c r="I14" s="356"/>
      <c r="J14" s="1425"/>
      <c r="K14" s="1425" t="s">
        <v>1879</v>
      </c>
      <c r="L14" s="1468"/>
      <c r="M14" s="1468"/>
      <c r="N14" s="2366"/>
      <c r="O14" s="1460"/>
      <c r="P14" s="446"/>
      <c r="Q14" s="358">
        <v>22</v>
      </c>
    </row>
    <row r="15" spans="1:17" s="1774" customFormat="1" ht="23.25" customHeight="1">
      <c r="A15" s="2041"/>
      <c r="B15" s="1085"/>
      <c r="C15" s="347"/>
      <c r="D15" s="730"/>
      <c r="E15" s="356"/>
      <c r="F15" s="1425" t="s">
        <v>1871</v>
      </c>
      <c r="G15" s="1467"/>
      <c r="H15" s="1467"/>
      <c r="I15" s="123"/>
      <c r="J15" s="123"/>
      <c r="K15" s="123"/>
      <c r="L15" s="123"/>
      <c r="M15" s="123"/>
      <c r="N15" s="2366"/>
      <c r="O15" s="1461"/>
      <c r="P15" s="446"/>
      <c r="Q15" s="358">
        <v>22</v>
      </c>
    </row>
    <row r="16" spans="1:17" s="1744" customFormat="1" ht="21.95" customHeight="1">
      <c r="A16" s="1080"/>
      <c r="B16" s="1085"/>
      <c r="C16" s="1080"/>
      <c r="D16" s="386"/>
      <c r="E16" s="116"/>
      <c r="F16" s="116"/>
      <c r="G16" s="116"/>
      <c r="H16" s="116"/>
      <c r="I16" s="116"/>
      <c r="J16" s="116"/>
      <c r="K16" s="116"/>
      <c r="L16" s="116"/>
      <c r="M16" s="444"/>
      <c r="N16" s="1560"/>
      <c r="O16" s="435"/>
      <c r="P16" s="435"/>
      <c r="Q16" s="442">
        <v>21</v>
      </c>
    </row>
    <row r="17" spans="1:17" s="1744" customFormat="1" ht="14.65" customHeight="1">
      <c r="A17" s="1080"/>
      <c r="B17" s="1085"/>
      <c r="C17" s="1080"/>
      <c r="D17" s="386"/>
      <c r="E17" s="1080"/>
      <c r="F17" s="1080"/>
      <c r="G17" s="1080"/>
      <c r="H17" s="1080"/>
      <c r="I17" s="1080"/>
      <c r="J17" s="1080"/>
      <c r="K17" s="1080"/>
      <c r="L17" s="1080"/>
      <c r="M17" s="1080"/>
      <c r="N17" s="1556"/>
      <c r="O17" s="435"/>
      <c r="P17" s="435"/>
      <c r="Q17" s="442">
        <v>14</v>
      </c>
    </row>
    <row r="18" spans="1:17" s="1744" customFormat="1" ht="1.1499999999999999" customHeight="1">
      <c r="A18" s="1080"/>
      <c r="B18" s="1085"/>
      <c r="C18" s="1080"/>
      <c r="D18" s="386"/>
      <c r="E18" s="1080"/>
      <c r="F18" s="1080"/>
      <c r="G18" s="1080"/>
      <c r="H18" s="1080"/>
      <c r="I18" s="1080"/>
      <c r="J18" s="1080"/>
      <c r="K18" s="1080"/>
      <c r="L18" s="1080"/>
      <c r="M18" s="1080"/>
      <c r="N18" s="1556"/>
      <c r="O18" s="435"/>
      <c r="P18" s="435"/>
      <c r="Q18" s="442">
        <v>1</v>
      </c>
    </row>
    <row r="19" spans="1:17" ht="22.5" hidden="1" customHeight="1">
      <c r="A19" s="1080" t="s">
        <v>82</v>
      </c>
      <c r="B19" s="1085">
        <v>0</v>
      </c>
      <c r="C19" s="1080">
        <v>0</v>
      </c>
      <c r="D19" s="386">
        <v>3</v>
      </c>
      <c r="E19" s="1080">
        <v>6</v>
      </c>
      <c r="F19" s="1080">
        <v>27</v>
      </c>
      <c r="G19" s="1080">
        <v>29</v>
      </c>
      <c r="H19" s="1080">
        <v>25</v>
      </c>
      <c r="I19" s="1080">
        <v>5</v>
      </c>
      <c r="J19" s="1080">
        <v>6</v>
      </c>
      <c r="K19" s="1080">
        <v>41</v>
      </c>
      <c r="L19" s="1080">
        <v>42</v>
      </c>
      <c r="M19" s="1080">
        <v>41</v>
      </c>
      <c r="N19" s="1556">
        <v>89</v>
      </c>
      <c r="O19" s="435">
        <v>3</v>
      </c>
      <c r="P19" s="435">
        <v>8</v>
      </c>
      <c r="Q19" s="1080">
        <v>23</v>
      </c>
    </row>
  </sheetData>
  <sheetProtection formatColumns="0" formatRows="0" insertRows="0" deleteColumns="0" deleteRows="0" sort="0" autoFilter="0"/>
  <mergeCells count="20">
    <mergeCell ref="N13:N15"/>
    <mergeCell ref="E10:M10"/>
    <mergeCell ref="E7:M7"/>
    <mergeCell ref="N10:N12"/>
    <mergeCell ref="I11:K12"/>
    <mergeCell ref="L11:L12"/>
    <mergeCell ref="M11:M12"/>
    <mergeCell ref="E11:E12"/>
    <mergeCell ref="F11:F12"/>
    <mergeCell ref="I9:K9"/>
    <mergeCell ref="H13:H14"/>
    <mergeCell ref="G11:H11"/>
    <mergeCell ref="E2:E3"/>
    <mergeCell ref="F2:F3"/>
    <mergeCell ref="G2:G3"/>
    <mergeCell ref="H2:H3"/>
    <mergeCell ref="A13:A15"/>
    <mergeCell ref="F13:F14"/>
    <mergeCell ref="G13:G14"/>
    <mergeCell ref="E13:E14"/>
  </mergeCells>
  <dataValidations count="2">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 sqref="M4">
      <formula1>900</formula1>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L4">
      <formula1>900</formula1>
    </dataValidation>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5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EAEBEE"/>
    <pageSetUpPr fitToPage="1"/>
  </sheetPr>
  <dimension ref="A1:M16"/>
  <sheetViews>
    <sheetView showGridLines="0" zoomScale="90" workbookViewId="0">
      <pane xSplit="4" ySplit="11" topLeftCell="E12" activePane="bottomRight" state="frozen"/>
      <selection pane="topRight" activeCell="E1" sqref="E1"/>
      <selection pane="bottomLeft" activeCell="A12" sqref="A12"/>
      <selection pane="bottomRight"/>
    </sheetView>
  </sheetViews>
  <sheetFormatPr defaultColWidth="9.140625" defaultRowHeight="14.25" customHeight="1"/>
  <cols>
    <col min="1" max="1" width="9.140625" style="293" hidden="1"/>
    <col min="2" max="2" width="9.140625" style="1747" hidden="1"/>
    <col min="3" max="3" width="3" style="58" customWidth="1"/>
    <col min="4" max="4" width="6" style="1747" customWidth="1"/>
    <col min="5" max="5" width="22" style="1747" customWidth="1"/>
    <col min="6" max="6" width="15" style="1747" customWidth="1"/>
    <col min="7" max="7" width="14" style="1747" customWidth="1"/>
    <col min="8" max="8" width="47" style="1747" customWidth="1"/>
    <col min="9" max="9" width="115" style="1747" customWidth="1"/>
    <col min="10" max="10" width="3" style="1747" customWidth="1"/>
    <col min="11" max="12" width="8" style="1747" customWidth="1"/>
    <col min="13" max="13" width="9.140625" style="1747" hidden="1"/>
  </cols>
  <sheetData>
    <row r="1" spans="1:13" ht="14.25" hidden="1" customHeight="1">
      <c r="M1" s="59" t="s">
        <v>14</v>
      </c>
    </row>
    <row r="2" spans="1:13" ht="14.25" hidden="1" customHeight="1">
      <c r="M2" s="59">
        <v>0</v>
      </c>
    </row>
    <row r="3" spans="1:13" ht="14.25" hidden="1" customHeight="1">
      <c r="M3" s="59">
        <v>0</v>
      </c>
    </row>
    <row r="4" spans="1:13" ht="3" customHeight="1">
      <c r="M4" s="59">
        <v>3</v>
      </c>
    </row>
    <row r="5" spans="1:13" s="1560" customFormat="1" ht="31.5" customHeight="1">
      <c r="A5" s="53"/>
      <c r="C5" s="28"/>
      <c r="D5" s="2042" t="s">
        <v>1886</v>
      </c>
      <c r="E5" s="2042"/>
      <c r="F5" s="2042"/>
      <c r="G5" s="2042"/>
      <c r="H5" s="2042"/>
      <c r="I5" s="201"/>
      <c r="M5" s="21">
        <v>30</v>
      </c>
    </row>
    <row r="6" spans="1:13" ht="3" hidden="1" customHeight="1">
      <c r="D6" s="60"/>
      <c r="E6" s="60"/>
      <c r="F6" s="60"/>
      <c r="G6" s="60"/>
      <c r="H6" s="60"/>
      <c r="I6" s="60"/>
      <c r="M6" s="59">
        <v>0</v>
      </c>
    </row>
    <row r="7" spans="1:13" s="293" customFormat="1" ht="14.65" customHeight="1">
      <c r="B7" s="57"/>
      <c r="C7" s="58"/>
      <c r="D7" s="61"/>
      <c r="E7" s="61"/>
      <c r="F7" s="61"/>
      <c r="G7" s="61"/>
      <c r="H7" s="687"/>
      <c r="I7" s="61"/>
      <c r="J7" s="62"/>
      <c r="M7" s="56">
        <v>14</v>
      </c>
    </row>
    <row r="8" spans="1:13" ht="14.65" customHeight="1">
      <c r="D8" s="2145" t="s">
        <v>299</v>
      </c>
      <c r="E8" s="2145"/>
      <c r="F8" s="2145"/>
      <c r="G8" s="2145"/>
      <c r="H8" s="2145"/>
      <c r="I8" s="2145" t="s">
        <v>300</v>
      </c>
      <c r="M8" s="59">
        <v>14</v>
      </c>
    </row>
    <row r="9" spans="1:13" ht="29.25" customHeight="1">
      <c r="D9" s="2145" t="s">
        <v>88</v>
      </c>
      <c r="E9" s="2145" t="s">
        <v>1887</v>
      </c>
      <c r="F9" s="2145"/>
      <c r="G9" s="2145"/>
      <c r="H9" s="2145"/>
      <c r="I9" s="2145"/>
      <c r="M9" s="59">
        <v>28</v>
      </c>
    </row>
    <row r="10" spans="1:13" ht="24" customHeight="1">
      <c r="D10" s="2145"/>
      <c r="E10" s="65" t="s">
        <v>1888</v>
      </c>
      <c r="F10" s="65" t="s">
        <v>1889</v>
      </c>
      <c r="G10" s="65" t="s">
        <v>1890</v>
      </c>
      <c r="H10" s="65" t="s">
        <v>389</v>
      </c>
      <c r="I10" s="2145"/>
      <c r="M10" s="59">
        <v>23</v>
      </c>
    </row>
    <row r="11" spans="1:13" ht="12" hidden="1" customHeight="1">
      <c r="D11" s="25" t="s">
        <v>109</v>
      </c>
      <c r="E11" s="25" t="s">
        <v>91</v>
      </c>
      <c r="F11" s="25" t="s">
        <v>111</v>
      </c>
      <c r="G11" s="25" t="s">
        <v>92</v>
      </c>
      <c r="H11" s="25" t="s">
        <v>93</v>
      </c>
      <c r="I11" s="25" t="s">
        <v>112</v>
      </c>
      <c r="M11" s="59">
        <v>0</v>
      </c>
    </row>
    <row r="12" spans="1:13" s="1747" customFormat="1" ht="26.25" customHeight="1">
      <c r="A12" s="81" t="s">
        <v>90</v>
      </c>
      <c r="B12" s="63" t="s">
        <v>22</v>
      </c>
      <c r="C12" s="64"/>
      <c r="D12" s="66" t="s">
        <v>109</v>
      </c>
      <c r="E12" s="316"/>
      <c r="F12" s="316"/>
      <c r="G12" s="1659" t="s">
        <v>22</v>
      </c>
      <c r="H12" s="317"/>
      <c r="I12" s="2108" t="s">
        <v>1891</v>
      </c>
      <c r="K12" s="208"/>
      <c r="L12" s="209"/>
      <c r="M12" s="55">
        <v>25</v>
      </c>
    </row>
    <row r="13" spans="1:13" ht="15.75" customHeight="1">
      <c r="A13" s="59"/>
      <c r="B13" s="59"/>
      <c r="C13" s="59"/>
      <c r="D13" s="47"/>
      <c r="E13" s="68" t="s">
        <v>467</v>
      </c>
      <c r="F13" s="67"/>
      <c r="G13" s="67"/>
      <c r="H13" s="150"/>
      <c r="I13" s="2110"/>
      <c r="M13" s="59">
        <v>15</v>
      </c>
    </row>
    <row r="14" spans="1:13" ht="3" customHeight="1">
      <c r="A14" s="59"/>
      <c r="B14" s="59"/>
      <c r="C14" s="59"/>
      <c r="M14" s="59">
        <v>3</v>
      </c>
    </row>
    <row r="15" spans="1:13" ht="29.25" customHeight="1">
      <c r="E15" s="2373" t="s">
        <v>1892</v>
      </c>
      <c r="F15" s="2373"/>
      <c r="G15" s="2373"/>
      <c r="H15" s="2373"/>
      <c r="M15" s="59">
        <v>28</v>
      </c>
    </row>
    <row r="16" spans="1:13" ht="14.25" hidden="1" customHeight="1">
      <c r="A16" s="56" t="s">
        <v>82</v>
      </c>
      <c r="B16" s="57">
        <v>0</v>
      </c>
      <c r="C16" s="58">
        <v>3</v>
      </c>
      <c r="D16" s="59">
        <v>6</v>
      </c>
      <c r="E16" s="59">
        <v>22</v>
      </c>
      <c r="F16" s="59">
        <v>15</v>
      </c>
      <c r="G16" s="59">
        <v>14</v>
      </c>
      <c r="H16" s="59">
        <v>47</v>
      </c>
      <c r="I16" s="59">
        <v>115</v>
      </c>
      <c r="J16" s="59">
        <v>3</v>
      </c>
      <c r="K16" s="59">
        <v>8</v>
      </c>
      <c r="L16" s="59">
        <v>8</v>
      </c>
      <c r="M16" s="59">
        <v>14</v>
      </c>
    </row>
  </sheetData>
  <sheetProtection formatColumns="0" formatRows="0" insertRows="0" deleteColumns="0" deleteRows="0" sort="0" autoFilter="0"/>
  <mergeCells count="7">
    <mergeCell ref="E15:H15"/>
    <mergeCell ref="D5:H5"/>
    <mergeCell ref="I12:I13"/>
    <mergeCell ref="D8:H8"/>
    <mergeCell ref="I8:I10"/>
    <mergeCell ref="E9:H9"/>
    <mergeCell ref="D9:D10"/>
  </mergeCells>
  <dataValidations count="3">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G12"/>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H12">
      <formula1>900</formula1>
    </dataValidation>
    <dataValidation type="textLength" operator="lessThanOrEqual" allowBlank="1" showInputMessage="1" showErrorMessage="1" errorTitle="Ошибка" error="Допускается ввод не более 900 символов!" sqref="E12:F12">
      <formula1>900</formula1>
    </dataValidation>
  </dataValidations>
  <printOptions horizontalCentered="1"/>
  <pageMargins left="0.24" right="0.24" top="0.24" bottom="0.24" header="0.24" footer="0.24"/>
  <pageSetup paperSize="9" scale="70" fitToHeight="0" orientation="landscape"/>
  <headerFooter>
    <oddHeader>&amp;L&amp;C&amp;R</oddHeader>
    <oddFooter>&amp;L&amp;C&amp;R</oddFooter>
    <evenHeader>&amp;L&amp;C&amp;R</evenHeader>
    <evenFooter>&amp;L&amp;C&amp;R</evenFooter>
  </headerFooter>
</worksheet>
</file>

<file path=xl/worksheets/sheet5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CCCCFF"/>
    <pageSetUpPr fitToPage="1"/>
  </sheetPr>
  <dimension ref="A1:J16"/>
  <sheetViews>
    <sheetView showGridLines="0" zoomScale="90" workbookViewId="0">
      <pane xSplit="4" ySplit="11" topLeftCell="E12" activePane="bottomRight" state="frozen"/>
      <selection pane="topRight" activeCell="E1" sqref="E1"/>
      <selection pane="bottomLeft" activeCell="A12" sqref="A12"/>
      <selection pane="bottomRight"/>
    </sheetView>
  </sheetViews>
  <sheetFormatPr defaultColWidth="9.140625" defaultRowHeight="14.25" customHeight="1"/>
  <cols>
    <col min="1" max="2" width="9.140625" style="200" hidden="1"/>
    <col min="3" max="3" width="3" style="29" customWidth="1"/>
    <col min="4" max="4" width="6" style="200" customWidth="1"/>
    <col min="5" max="5" width="94" style="200" customWidth="1"/>
    <col min="6" max="9" width="8" style="200" customWidth="1"/>
    <col min="10" max="10" width="9.140625" style="200" hidden="1"/>
  </cols>
  <sheetData>
    <row r="1" spans="1:10" ht="14.25" hidden="1" customHeight="1">
      <c r="J1" s="7" t="s">
        <v>14</v>
      </c>
    </row>
    <row r="2" spans="1:10" ht="14.25" hidden="1" customHeight="1">
      <c r="J2" s="7">
        <v>0</v>
      </c>
    </row>
    <row r="3" spans="1:10" ht="14.25" hidden="1" customHeight="1">
      <c r="J3" s="7">
        <v>0</v>
      </c>
    </row>
    <row r="4" spans="1:10" ht="14.25" hidden="1" customHeight="1">
      <c r="J4" s="7">
        <v>0</v>
      </c>
    </row>
    <row r="5" spans="1:10" ht="14.25" hidden="1" customHeight="1">
      <c r="J5" s="7">
        <v>0</v>
      </c>
    </row>
    <row r="6" spans="1:10" ht="3" customHeight="1">
      <c r="C6" s="30"/>
      <c r="D6" s="8"/>
      <c r="E6" s="8"/>
      <c r="J6" s="7">
        <v>3</v>
      </c>
    </row>
    <row r="7" spans="1:10" ht="23.25" customHeight="1">
      <c r="C7" s="30"/>
      <c r="D7" s="2374" t="s">
        <v>1893</v>
      </c>
      <c r="E7" s="2375"/>
      <c r="F7" s="203"/>
      <c r="J7" s="7">
        <v>22</v>
      </c>
    </row>
    <row r="8" spans="1:10" ht="3" customHeight="1">
      <c r="C8" s="30"/>
      <c r="D8" s="8"/>
      <c r="E8" s="8"/>
      <c r="J8" s="7">
        <v>3</v>
      </c>
    </row>
    <row r="9" spans="1:10" ht="16.899999999999999" customHeight="1">
      <c r="C9" s="30"/>
      <c r="D9" s="43" t="s">
        <v>88</v>
      </c>
      <c r="E9" s="196" t="s">
        <v>1894</v>
      </c>
      <c r="J9" s="7">
        <v>16</v>
      </c>
    </row>
    <row r="10" spans="1:10" ht="1.1499999999999999" customHeight="1">
      <c r="C10" s="30"/>
      <c r="D10" s="25"/>
      <c r="E10" s="25"/>
      <c r="J10" s="7">
        <v>1</v>
      </c>
    </row>
    <row r="11" spans="1:10" ht="11.25" hidden="1" customHeight="1">
      <c r="C11" s="30"/>
      <c r="D11" s="86">
        <v>0</v>
      </c>
      <c r="E11" s="197"/>
      <c r="J11" s="7">
        <v>0</v>
      </c>
    </row>
    <row r="12" spans="1:10" ht="15.75" customHeight="1">
      <c r="C12" s="73"/>
      <c r="D12" s="51">
        <v>1</v>
      </c>
      <c r="E12" s="312"/>
      <c r="J12" s="7">
        <v>15</v>
      </c>
    </row>
    <row r="13" spans="1:10" ht="12.75" customHeight="1">
      <c r="C13" s="30"/>
      <c r="D13" s="198"/>
      <c r="E13" s="199" t="s">
        <v>1895</v>
      </c>
      <c r="J13" s="7">
        <v>12</v>
      </c>
    </row>
    <row r="14" spans="1:10" ht="3" customHeight="1">
      <c r="J14" s="7">
        <v>3</v>
      </c>
    </row>
    <row r="15" spans="1:10" ht="23.25" customHeight="1">
      <c r="C15" s="74"/>
      <c r="D15" s="2373" t="s">
        <v>1896</v>
      </c>
      <c r="E15" s="2373"/>
      <c r="F15" s="75"/>
      <c r="G15" s="75"/>
      <c r="H15" s="75"/>
      <c r="I15" s="75"/>
      <c r="J15" s="7">
        <v>22</v>
      </c>
    </row>
    <row r="16" spans="1:10" ht="14.25" hidden="1" customHeight="1">
      <c r="A16" s="7" t="s">
        <v>82</v>
      </c>
      <c r="B16" s="7">
        <v>0</v>
      </c>
      <c r="C16" s="29">
        <v>3</v>
      </c>
      <c r="D16" s="7">
        <v>6</v>
      </c>
      <c r="E16" s="7">
        <v>94</v>
      </c>
      <c r="F16" s="7">
        <v>8</v>
      </c>
      <c r="G16" s="7">
        <v>8</v>
      </c>
      <c r="H16" s="7">
        <v>8</v>
      </c>
      <c r="I16" s="7">
        <v>8</v>
      </c>
      <c r="J16" s="7">
        <v>14</v>
      </c>
    </row>
  </sheetData>
  <sheetProtection formatColumns="0" formatRows="0" insertRows="0" deleteColumns="0" deleteRows="0" sort="0" autoFilter="0"/>
  <mergeCells count="2">
    <mergeCell ref="D7:E7"/>
    <mergeCell ref="D15:E15"/>
  </mergeCells>
  <dataValidations count="1">
    <dataValidation type="textLength" operator="lessThanOrEqual" allowBlank="1" showInputMessage="1" showErrorMessage="1" errorTitle="Ошибка" error="Допускается ввод не более 900 символов!" sqref="E11:E12">
      <formula1>900</formula1>
    </dataValidation>
  </dataValidations>
  <pageMargins left="0.75" right="0.75" top="1" bottom="1" header="0.5" footer="0.5"/>
  <pageSetup paperSize="9" scale="94" orientation="portrait"/>
  <headerFooter>
    <oddHeader>&amp;L&amp;C&amp;R</oddHeader>
    <oddFooter>&amp;L&amp;C&amp;R</oddFooter>
    <evenHeader>&amp;L&amp;C&amp;R</evenHeader>
    <evenFooter>&amp;L&amp;C&amp;R</evenFooter>
  </headerFooter>
</worksheet>
</file>

<file path=xl/worksheets/sheet5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CCCCFF"/>
    <pageSetUpPr fitToPage="1"/>
  </sheetPr>
  <dimension ref="A1:M13"/>
  <sheetViews>
    <sheetView showGridLines="0" topLeftCell="C6" zoomScale="90" workbookViewId="0"/>
  </sheetViews>
  <sheetFormatPr defaultColWidth="9.140625" defaultRowHeight="14.25" customHeight="1"/>
  <cols>
    <col min="1" max="2" width="9.140625" style="200" hidden="1"/>
    <col min="3" max="3" width="3" style="29" customWidth="1"/>
    <col min="4" max="4" width="6" style="200" customWidth="1"/>
    <col min="5" max="5" width="94" style="200" customWidth="1"/>
    <col min="6" max="12" width="8" style="200" customWidth="1"/>
    <col min="13" max="13" width="9.140625" style="200" hidden="1"/>
  </cols>
  <sheetData>
    <row r="1" spans="1:13" ht="14.25" hidden="1" customHeight="1">
      <c r="M1" s="7" t="s">
        <v>14</v>
      </c>
    </row>
    <row r="2" spans="1:13" ht="14.25" hidden="1" customHeight="1">
      <c r="M2" s="7">
        <v>0</v>
      </c>
    </row>
    <row r="3" spans="1:13" ht="14.25" hidden="1" customHeight="1">
      <c r="M3" s="7">
        <v>0</v>
      </c>
    </row>
    <row r="4" spans="1:13" ht="14.25" hidden="1" customHeight="1">
      <c r="M4" s="7">
        <v>0</v>
      </c>
    </row>
    <row r="5" spans="1:13" ht="14.25" hidden="1" customHeight="1">
      <c r="M5" s="7">
        <v>0</v>
      </c>
    </row>
    <row r="6" spans="1:13" ht="3" customHeight="1">
      <c r="C6" s="30"/>
      <c r="D6" s="8"/>
      <c r="E6" s="8"/>
      <c r="M6" s="7">
        <v>3</v>
      </c>
    </row>
    <row r="7" spans="1:13" ht="23.25" customHeight="1">
      <c r="C7" s="30"/>
      <c r="D7" s="2042" t="s">
        <v>1897</v>
      </c>
      <c r="E7" s="2042"/>
      <c r="F7" s="203"/>
      <c r="M7" s="7">
        <v>22</v>
      </c>
    </row>
    <row r="8" spans="1:13" ht="3" customHeight="1">
      <c r="C8" s="30"/>
      <c r="D8" s="8"/>
      <c r="E8" s="8"/>
      <c r="M8" s="7">
        <v>3</v>
      </c>
    </row>
    <row r="9" spans="1:13" ht="16.899999999999999" customHeight="1">
      <c r="C9" s="30"/>
      <c r="D9" s="43" t="s">
        <v>88</v>
      </c>
      <c r="E9" s="46" t="s">
        <v>286</v>
      </c>
      <c r="M9" s="7">
        <v>16</v>
      </c>
    </row>
    <row r="10" spans="1:13" ht="12.75" customHeight="1">
      <c r="C10" s="30"/>
      <c r="D10" s="25" t="s">
        <v>109</v>
      </c>
      <c r="E10" s="25" t="s">
        <v>110</v>
      </c>
      <c r="M10" s="7">
        <v>12</v>
      </c>
    </row>
    <row r="11" spans="1:13" ht="15" hidden="1" customHeight="1">
      <c r="C11" s="30"/>
      <c r="D11" s="51">
        <v>0</v>
      </c>
      <c r="E11" s="85"/>
      <c r="M11" s="7">
        <v>0</v>
      </c>
    </row>
    <row r="12" spans="1:13" ht="14.65" customHeight="1">
      <c r="C12" s="30"/>
      <c r="D12" s="47"/>
      <c r="E12" s="45" t="s">
        <v>1895</v>
      </c>
      <c r="M12" s="7">
        <v>14</v>
      </c>
    </row>
    <row r="13" spans="1:13" ht="14.25" hidden="1" customHeight="1">
      <c r="A13" s="7" t="s">
        <v>82</v>
      </c>
      <c r="B13" s="7">
        <v>0</v>
      </c>
      <c r="C13" s="29">
        <v>3</v>
      </c>
      <c r="D13" s="7">
        <v>6</v>
      </c>
      <c r="E13" s="7">
        <v>94</v>
      </c>
      <c r="F13" s="7">
        <v>8</v>
      </c>
      <c r="G13" s="7">
        <v>8</v>
      </c>
      <c r="H13" s="7">
        <v>8</v>
      </c>
      <c r="I13" s="7">
        <v>8</v>
      </c>
      <c r="J13" s="7">
        <v>8</v>
      </c>
      <c r="K13" s="7">
        <v>8</v>
      </c>
      <c r="L13" s="7">
        <v>8</v>
      </c>
      <c r="M13" s="7">
        <v>14</v>
      </c>
    </row>
  </sheetData>
  <sheetProtection formatColumns="0" formatRows="0" insertRows="0" deleteColumns="0" deleteRows="0" sort="0" autoFilter="0"/>
  <mergeCells count="1">
    <mergeCell ref="D7:E7"/>
  </mergeCells>
  <dataValidations count="1">
    <dataValidation type="textLength" operator="lessThanOrEqual" allowBlank="1" showInputMessage="1" showErrorMessage="1" errorTitle="Ошибка" error="Допускается ввод не более 900 символов!" sqref="E11">
      <formula1>900</formula1>
    </dataValidation>
  </dataValidations>
  <pageMargins left="0.75" right="0.75" top="1" bottom="1" header="0.5" footer="0.5"/>
  <pageSetup paperSize="9" scale="94" orientation="portrait"/>
  <headerFooter>
    <oddHeader>&amp;L&amp;C&amp;R</oddHeader>
    <oddFooter>&amp;L&amp;C&amp;R</oddFooter>
    <evenHeader>&amp;L&amp;C&amp;R</evenHeader>
    <evenFooter>&amp;L&amp;C&amp;R</evenFooter>
  </headerFooter>
</worksheet>
</file>

<file path=xl/worksheets/sheet6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CCCCFF"/>
  </sheetPr>
  <dimension ref="A1:F5"/>
  <sheetViews>
    <sheetView showGridLines="0" zoomScale="90" workbookViewId="0"/>
  </sheetViews>
  <sheetFormatPr defaultColWidth="9.140625" defaultRowHeight="11.25" customHeight="1"/>
  <cols>
    <col min="1" max="1" width="1.7109375" style="1774" customWidth="1"/>
    <col min="2" max="2" width="34.5703125" style="1774" customWidth="1"/>
    <col min="3" max="3" width="85" style="1774" customWidth="1"/>
    <col min="4" max="4" width="17" style="1774" customWidth="1"/>
    <col min="5" max="5" width="8" style="1774" customWidth="1"/>
    <col min="6" max="6" width="9.140625" style="1774" hidden="1"/>
  </cols>
  <sheetData>
    <row r="1" spans="1:6" ht="3" customHeight="1">
      <c r="F1" s="27" t="s">
        <v>14</v>
      </c>
    </row>
    <row r="2" spans="1:6" ht="22.5" customHeight="1">
      <c r="B2" s="2376" t="s">
        <v>1898</v>
      </c>
      <c r="C2" s="2376"/>
      <c r="D2" s="2376"/>
      <c r="E2" s="204"/>
      <c r="F2" s="27">
        <v>22</v>
      </c>
    </row>
    <row r="3" spans="1:6" ht="3" customHeight="1">
      <c r="F3" s="27">
        <v>3</v>
      </c>
    </row>
    <row r="4" spans="1:6" ht="23.25" customHeight="1">
      <c r="B4" s="2003" t="s">
        <v>1899</v>
      </c>
      <c r="C4" s="318" t="s">
        <v>1900</v>
      </c>
      <c r="D4" s="318" t="s">
        <v>1901</v>
      </c>
      <c r="F4" s="27">
        <v>22</v>
      </c>
    </row>
    <row r="5" spans="1:6" ht="11.25" hidden="1" customHeight="1">
      <c r="A5" s="27" t="s">
        <v>82</v>
      </c>
      <c r="B5" s="27">
        <v>34</v>
      </c>
      <c r="C5" s="27">
        <v>85</v>
      </c>
      <c r="D5" s="27">
        <v>17</v>
      </c>
      <c r="E5" s="27">
        <v>8</v>
      </c>
      <c r="F5" s="27">
        <v>11</v>
      </c>
    </row>
  </sheetData>
  <sheetProtection formatColumns="0" formatRows="0" insertRows="0" deleteColumns="0" deleteRows="0" sort="0" autoFilter="0"/>
  <autoFilter ref="B4:D4"/>
  <mergeCells count="1">
    <mergeCell ref="B2:D2"/>
  </mergeCell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6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CC99"/>
  </sheetPr>
  <dimension ref="A2:GB215"/>
  <sheetViews>
    <sheetView showGridLines="0" zoomScale="85" workbookViewId="0"/>
  </sheetViews>
  <sheetFormatPr defaultColWidth="9.140625" defaultRowHeight="17.100000000000001" customHeight="1"/>
  <cols>
    <col min="1" max="1" width="26.5703125" style="1774" customWidth="1"/>
    <col min="2" max="2" width="10" style="1774" customWidth="1"/>
    <col min="3" max="3" width="9.140625" style="1774"/>
    <col min="4" max="4" width="11.140625" style="1774" customWidth="1"/>
    <col min="5" max="5" width="16.5703125" style="1774" customWidth="1"/>
    <col min="6" max="6" width="16.28515625" style="1774" customWidth="1"/>
    <col min="7" max="7" width="19.140625" style="1774" customWidth="1"/>
    <col min="8" max="11" width="10" style="1774" customWidth="1"/>
    <col min="12" max="12" width="12.7109375" style="1774" customWidth="1"/>
    <col min="13" max="13" width="61.28515625" style="1774" customWidth="1"/>
    <col min="14" max="14" width="10" style="1774" customWidth="1"/>
    <col min="15" max="17" width="23.7109375" style="1774" customWidth="1"/>
    <col min="18" max="18" width="11.7109375" style="1774" customWidth="1"/>
    <col min="19" max="19" width="8.5703125" style="1774" customWidth="1"/>
    <col min="20" max="20" width="11.7109375" style="1774" customWidth="1"/>
    <col min="21" max="21" width="8.5703125" style="1774" customWidth="1"/>
    <col min="22" max="22" width="4.7109375" style="1774" customWidth="1"/>
    <col min="23" max="23" width="115.7109375" style="1774" customWidth="1"/>
    <col min="24" max="24" width="115.28515625" style="1774" customWidth="1"/>
    <col min="25" max="27" width="9.140625" style="1774"/>
    <col min="28" max="28" width="115.7109375" style="1774" customWidth="1"/>
    <col min="29" max="29" width="9.140625" style="1774"/>
    <col min="30" max="90" width="115.7109375" style="1774" customWidth="1"/>
    <col min="91" max="184" width="9.140625" style="1774"/>
  </cols>
  <sheetData>
    <row r="2" spans="1:80" s="1740" customFormat="1" ht="17.25" customHeight="1">
      <c r="A2" s="1740" t="s">
        <v>1902</v>
      </c>
    </row>
    <row r="4" spans="1:80" s="200" customFormat="1" ht="15" customHeight="1">
      <c r="C4" s="1741"/>
      <c r="D4" s="51"/>
      <c r="E4" s="312"/>
    </row>
    <row r="6" spans="1:80" s="1740" customFormat="1" ht="17.25" customHeight="1">
      <c r="A6" s="1740" t="s">
        <v>1903</v>
      </c>
    </row>
    <row r="8" spans="1:80" s="200" customFormat="1" ht="17.25" customHeight="1">
      <c r="C8" s="1742"/>
      <c r="D8" s="51"/>
      <c r="E8" s="52"/>
    </row>
    <row r="11" spans="1:80" s="1740" customFormat="1" ht="17.25" customHeight="1">
      <c r="A11" s="1740" t="s">
        <v>1904</v>
      </c>
    </row>
    <row r="13" spans="1:80" s="1744" customFormat="1" ht="15" customHeight="1">
      <c r="A13" s="2153">
        <v>1</v>
      </c>
      <c r="B13" s="1085"/>
      <c r="C13" s="730" t="s">
        <v>688</v>
      </c>
      <c r="D13" s="1743"/>
      <c r="E13" s="1730">
        <f>A13</f>
        <v>1</v>
      </c>
      <c r="F13" s="733"/>
      <c r="G13" s="475" t="str">
        <f>"Территория "&amp;E13</f>
        <v>Территория 1</v>
      </c>
      <c r="H13" s="721"/>
      <c r="I13" s="721"/>
      <c r="J13" s="718"/>
      <c r="K13" s="1549"/>
      <c r="L13" s="1549"/>
      <c r="M13" s="1549"/>
      <c r="N13" s="162"/>
      <c r="O13" s="1549"/>
      <c r="P13" s="161"/>
      <c r="Q13" s="161"/>
      <c r="R13" s="161"/>
      <c r="S13" s="161"/>
    </row>
    <row r="14" spans="1:80" s="1774" customFormat="1" ht="15" customHeight="1">
      <c r="A14" s="2153"/>
      <c r="B14" s="1085">
        <v>1</v>
      </c>
      <c r="C14" s="1085"/>
      <c r="D14" s="729"/>
      <c r="E14" s="1738" t="str">
        <f>A13&amp;"."&amp;B14</f>
        <v>1.1</v>
      </c>
      <c r="F14" s="732">
        <f>$F$20</f>
        <v>0</v>
      </c>
      <c r="G14" s="722"/>
      <c r="H14" s="722"/>
      <c r="I14" s="720"/>
      <c r="J14" s="1549"/>
      <c r="K14" s="1561"/>
      <c r="L14" s="1561"/>
      <c r="M14" s="1549" t="str">
        <f t="array" ref="M14">IF(ISERROR(MATCH(MID(N14,1,250),MID(note_ter,1,250),0)),"n","y")</f>
        <v>n</v>
      </c>
      <c r="N14" s="1561"/>
      <c r="O14" s="1549" t="str">
        <f>H14&amp;"("&amp;I14&amp;")"</f>
        <v>()</v>
      </c>
      <c r="P14" s="1085"/>
      <c r="Q14" s="1085"/>
      <c r="R14" s="355"/>
      <c r="S14" s="1085"/>
      <c r="T14" s="1085"/>
      <c r="U14" s="1085"/>
      <c r="V14" s="357"/>
      <c r="W14" s="357"/>
      <c r="X14" s="354"/>
      <c r="Y14" s="354"/>
      <c r="Z14" s="354"/>
      <c r="AA14" s="354"/>
      <c r="AB14" s="354"/>
      <c r="AC14" s="354"/>
      <c r="AD14" s="354"/>
      <c r="AE14" s="354"/>
      <c r="AF14" s="354"/>
      <c r="AG14" s="354"/>
      <c r="AH14" s="354"/>
      <c r="AI14" s="354"/>
      <c r="AJ14" s="354"/>
      <c r="AK14" s="354"/>
      <c r="AL14" s="354"/>
      <c r="AM14" s="354"/>
      <c r="AN14" s="354"/>
      <c r="AO14" s="354"/>
      <c r="AP14" s="354"/>
      <c r="AQ14" s="354"/>
      <c r="AR14" s="354"/>
      <c r="AS14" s="354"/>
      <c r="AT14" s="354"/>
      <c r="AU14" s="354"/>
      <c r="AV14" s="354"/>
      <c r="AW14" s="354"/>
      <c r="AX14" s="354"/>
      <c r="AY14" s="354"/>
      <c r="AZ14" s="354"/>
      <c r="BA14" s="354"/>
      <c r="BB14" s="354"/>
      <c r="BC14" s="354"/>
      <c r="BD14" s="354"/>
      <c r="BE14" s="354"/>
      <c r="BF14" s="354"/>
      <c r="BG14" s="354"/>
      <c r="BH14" s="354"/>
      <c r="BI14" s="354"/>
      <c r="BJ14" s="354"/>
      <c r="BK14" s="354"/>
      <c r="BL14" s="354"/>
      <c r="BM14" s="354"/>
      <c r="BN14" s="354"/>
      <c r="BO14" s="354"/>
      <c r="BP14" s="354"/>
      <c r="BQ14" s="354"/>
      <c r="BR14" s="354"/>
      <c r="BS14" s="357"/>
      <c r="BT14" s="357"/>
      <c r="BU14" s="357"/>
      <c r="BV14" s="357"/>
      <c r="BW14" s="357"/>
      <c r="BX14" s="357"/>
      <c r="BY14" s="357"/>
      <c r="BZ14" s="357"/>
      <c r="CA14" s="357"/>
      <c r="CB14" s="357"/>
    </row>
    <row r="15" spans="1:80" s="1774" customFormat="1" ht="15" customHeight="1">
      <c r="A15" s="2153"/>
      <c r="B15" s="1085"/>
      <c r="C15" s="347"/>
      <c r="D15" s="730"/>
      <c r="E15" s="356"/>
      <c r="F15" s="113"/>
      <c r="G15" s="350" t="s">
        <v>102</v>
      </c>
      <c r="H15" s="123"/>
      <c r="I15" s="359"/>
      <c r="J15" s="1561"/>
      <c r="K15" s="1561"/>
      <c r="L15" s="1561"/>
      <c r="M15" s="1561"/>
      <c r="N15" s="1549"/>
      <c r="O15" s="1561"/>
      <c r="P15" s="1085"/>
      <c r="Q15" s="1085"/>
      <c r="R15" s="355"/>
      <c r="S15" s="1085"/>
      <c r="T15" s="1085"/>
      <c r="U15" s="1085"/>
      <c r="V15" s="357"/>
      <c r="W15" s="357"/>
      <c r="X15" s="354"/>
      <c r="Y15" s="354"/>
      <c r="Z15" s="354"/>
      <c r="AA15" s="354"/>
      <c r="AB15" s="354"/>
      <c r="AC15" s="354"/>
      <c r="AD15" s="354"/>
      <c r="AE15" s="354"/>
      <c r="AF15" s="354"/>
      <c r="AG15" s="354"/>
      <c r="AH15" s="354"/>
      <c r="AI15" s="354"/>
      <c r="AJ15" s="354"/>
      <c r="AK15" s="354"/>
      <c r="AL15" s="354"/>
      <c r="AM15" s="354"/>
      <c r="AN15" s="354"/>
      <c r="AO15" s="354"/>
      <c r="AP15" s="354"/>
      <c r="AQ15" s="354"/>
      <c r="AR15" s="354"/>
      <c r="AS15" s="354"/>
      <c r="AT15" s="354"/>
      <c r="AU15" s="354"/>
      <c r="AV15" s="354"/>
      <c r="AW15" s="354"/>
      <c r="AX15" s="354"/>
      <c r="AY15" s="354"/>
      <c r="AZ15" s="354"/>
      <c r="BA15" s="354"/>
      <c r="BB15" s="354"/>
      <c r="BC15" s="354"/>
      <c r="BD15" s="354"/>
      <c r="BE15" s="354"/>
      <c r="BF15" s="354"/>
      <c r="BG15" s="354"/>
      <c r="BH15" s="354"/>
      <c r="BI15" s="354"/>
      <c r="BJ15" s="354"/>
      <c r="BK15" s="354"/>
      <c r="BL15" s="354"/>
      <c r="BM15" s="354"/>
      <c r="BN15" s="354"/>
      <c r="BO15" s="354"/>
      <c r="BP15" s="354"/>
      <c r="BQ15" s="354"/>
      <c r="BR15" s="354"/>
      <c r="BS15" s="357"/>
      <c r="BT15" s="357"/>
      <c r="BU15" s="357"/>
      <c r="BV15" s="357"/>
      <c r="BW15" s="357"/>
      <c r="BX15" s="357"/>
      <c r="BY15" s="357"/>
      <c r="BZ15" s="357"/>
      <c r="CA15" s="357"/>
      <c r="CB15" s="357"/>
    </row>
    <row r="17" spans="1:80" s="1740" customFormat="1" ht="17.25" customHeight="1">
      <c r="A17" s="1740" t="s">
        <v>1905</v>
      </c>
    </row>
    <row r="19" spans="1:80" s="1774" customFormat="1" ht="15" customHeight="1">
      <c r="A19" s="1806"/>
      <c r="B19" s="1291">
        <v>1</v>
      </c>
      <c r="C19" s="1291"/>
      <c r="D19" s="729" t="s">
        <v>688</v>
      </c>
      <c r="E19" s="1802"/>
      <c r="F19" s="1807">
        <f>$F$20</f>
        <v>0</v>
      </c>
      <c r="G19" s="1811"/>
      <c r="H19" s="1811"/>
      <c r="I19" s="1809"/>
      <c r="J19" s="1549"/>
      <c r="K19" s="1561"/>
      <c r="L19" s="1561"/>
      <c r="M19" s="1549" t="str">
        <f t="array" ref="M19">IF(ISERROR(MATCH(MID(N19,1,250),MID(note_ter,1,250),0)),"n","y")</f>
        <v>n</v>
      </c>
      <c r="N19" s="1561"/>
      <c r="O19" s="1549" t="str">
        <f>H19&amp;"("&amp;I19&amp;")"</f>
        <v>()</v>
      </c>
      <c r="P19" s="1291"/>
      <c r="Q19" s="1291"/>
      <c r="R19" s="355"/>
      <c r="S19" s="1291"/>
      <c r="T19" s="1291"/>
      <c r="U19" s="1291"/>
      <c r="V19" s="762"/>
      <c r="W19" s="762"/>
      <c r="X19" s="562"/>
      <c r="Y19" s="562"/>
      <c r="Z19" s="562"/>
      <c r="AA19" s="562"/>
      <c r="AB19" s="562"/>
      <c r="AC19" s="562"/>
      <c r="AD19" s="562"/>
      <c r="AE19" s="562"/>
      <c r="AF19" s="562"/>
      <c r="AG19" s="562"/>
      <c r="AH19" s="562"/>
      <c r="AI19" s="562"/>
      <c r="AJ19" s="562"/>
      <c r="AK19" s="562"/>
      <c r="AL19" s="562"/>
      <c r="AM19" s="562"/>
      <c r="AN19" s="562"/>
      <c r="AO19" s="562"/>
      <c r="AP19" s="562"/>
      <c r="AQ19" s="562"/>
      <c r="AR19" s="562"/>
      <c r="AS19" s="562"/>
      <c r="AT19" s="562"/>
      <c r="AU19" s="562"/>
      <c r="AV19" s="562"/>
      <c r="AW19" s="562"/>
      <c r="AX19" s="562"/>
      <c r="AY19" s="562"/>
      <c r="AZ19" s="562"/>
      <c r="BA19" s="562"/>
      <c r="BB19" s="562"/>
      <c r="BC19" s="562"/>
      <c r="BD19" s="562"/>
      <c r="BE19" s="562"/>
      <c r="BF19" s="562"/>
      <c r="BG19" s="562"/>
      <c r="BH19" s="562"/>
      <c r="BI19" s="562"/>
      <c r="BJ19" s="562"/>
      <c r="BK19" s="562"/>
      <c r="BL19" s="562"/>
      <c r="BM19" s="562"/>
      <c r="BN19" s="562"/>
      <c r="BO19" s="562"/>
      <c r="BP19" s="562"/>
      <c r="BQ19" s="562"/>
      <c r="BR19" s="562"/>
      <c r="BS19" s="762"/>
      <c r="BT19" s="762"/>
      <c r="BU19" s="762"/>
      <c r="BV19" s="762"/>
      <c r="BW19" s="762"/>
      <c r="BX19" s="762"/>
      <c r="BY19" s="762"/>
      <c r="BZ19" s="762"/>
      <c r="CA19" s="762"/>
      <c r="CB19" s="762"/>
    </row>
    <row r="21" spans="1:80" s="1774" customFormat="1" ht="15" customHeight="1">
      <c r="A21" s="1740" t="s">
        <v>1906</v>
      </c>
      <c r="B21" s="1740"/>
      <c r="C21" s="1740"/>
      <c r="D21" s="1740"/>
      <c r="E21" s="1740"/>
      <c r="F21" s="1740"/>
      <c r="G21" s="1740"/>
      <c r="H21" s="1740"/>
      <c r="I21" s="1740"/>
      <c r="J21" s="1740"/>
      <c r="K21" s="1740"/>
      <c r="L21" s="1740"/>
      <c r="M21" s="1740"/>
      <c r="N21" s="1740"/>
      <c r="O21" s="1740"/>
      <c r="P21" s="1740"/>
      <c r="Q21" s="1740"/>
      <c r="R21" s="1740"/>
      <c r="S21" s="1740"/>
      <c r="T21" s="1740"/>
      <c r="U21" s="120"/>
      <c r="V21" s="1740"/>
      <c r="W21" s="1740"/>
    </row>
    <row r="22" spans="1:80" s="1774" customFormat="1" ht="15" customHeight="1">
      <c r="U22" s="121"/>
    </row>
    <row r="23" spans="1:80" s="1777" customFormat="1" ht="15" customHeight="1">
      <c r="A23" s="358"/>
      <c r="B23" s="358"/>
      <c r="C23" s="1653" t="s">
        <v>688</v>
      </c>
      <c r="D23" s="2048" t="s">
        <v>109</v>
      </c>
      <c r="E23" s="2049"/>
      <c r="F23" s="2047" t="s">
        <v>19</v>
      </c>
      <c r="G23" s="2424"/>
      <c r="H23" s="2066">
        <v>1</v>
      </c>
      <c r="I23" s="2426" t="str">
        <f>IF(U23="","",INDEX(TERRITORY_MR_LIST,MATCH(U23,TERRITORY_LIST_ID,0)))</f>
        <v/>
      </c>
      <c r="J23" s="2047" t="s">
        <v>19</v>
      </c>
      <c r="K23" s="761"/>
      <c r="L23" s="1707" t="s">
        <v>109</v>
      </c>
      <c r="M23" s="538"/>
      <c r="N23" s="539"/>
      <c r="O23" s="539"/>
      <c r="P23" s="539"/>
      <c r="Q23" s="539"/>
      <c r="R23" s="539"/>
      <c r="S23" s="539"/>
      <c r="T23" s="539"/>
      <c r="U23" s="540"/>
      <c r="V23" s="539"/>
      <c r="W23" s="539"/>
      <c r="X23" s="530"/>
      <c r="Y23" s="530" t="s">
        <v>119</v>
      </c>
      <c r="Z23" s="530">
        <v>1705000</v>
      </c>
      <c r="AA23" s="530"/>
      <c r="AB23" s="530"/>
      <c r="AC23" s="530"/>
      <c r="AD23" s="530"/>
      <c r="AE23" s="530"/>
      <c r="AF23" s="530"/>
      <c r="AG23" s="530"/>
      <c r="AH23" s="530"/>
      <c r="AI23" s="530"/>
      <c r="AJ23" s="530"/>
      <c r="AK23" s="530"/>
      <c r="AL23" s="530"/>
    </row>
    <row r="24" spans="1:80" s="1777" customFormat="1" ht="15" customHeight="1">
      <c r="A24" s="358"/>
      <c r="B24" s="358"/>
      <c r="C24" s="112"/>
      <c r="D24" s="2048"/>
      <c r="E24" s="2050"/>
      <c r="F24" s="2047"/>
      <c r="G24" s="2425"/>
      <c r="H24" s="2066"/>
      <c r="I24" s="2427"/>
      <c r="J24" s="2047"/>
      <c r="K24" s="356"/>
      <c r="L24" s="113"/>
      <c r="M24" s="542" t="s">
        <v>120</v>
      </c>
      <c r="N24" s="539"/>
      <c r="O24" s="539"/>
      <c r="P24" s="539"/>
      <c r="Q24" s="539"/>
      <c r="R24" s="539"/>
      <c r="S24" s="539"/>
      <c r="T24" s="539"/>
      <c r="U24" s="540"/>
      <c r="V24" s="539"/>
      <c r="W24" s="539"/>
      <c r="X24" s="530"/>
      <c r="Y24" s="530"/>
      <c r="Z24" s="530"/>
      <c r="AA24" s="530"/>
      <c r="AB24" s="530"/>
      <c r="AC24" s="530"/>
      <c r="AD24" s="530"/>
      <c r="AE24" s="530"/>
      <c r="AF24" s="530"/>
      <c r="AG24" s="530"/>
      <c r="AH24" s="530"/>
      <c r="AI24" s="530"/>
      <c r="AJ24" s="530"/>
      <c r="AK24" s="530"/>
      <c r="AL24" s="530"/>
    </row>
    <row r="25" spans="1:80" s="1777" customFormat="1" ht="15" customHeight="1">
      <c r="A25" s="358"/>
      <c r="B25" s="358"/>
      <c r="C25" s="112"/>
      <c r="D25" s="2048"/>
      <c r="E25" s="2051"/>
      <c r="F25" s="2047"/>
      <c r="G25" s="356"/>
      <c r="H25" s="113"/>
      <c r="I25" s="515" t="s">
        <v>121</v>
      </c>
      <c r="J25" s="113"/>
      <c r="K25" s="113"/>
      <c r="L25" s="113"/>
      <c r="M25" s="543"/>
      <c r="N25" s="539"/>
      <c r="O25" s="539"/>
      <c r="P25" s="539"/>
      <c r="Q25" s="539"/>
      <c r="R25" s="539"/>
      <c r="S25" s="539"/>
      <c r="T25" s="539"/>
      <c r="U25" s="540"/>
      <c r="V25" s="539"/>
      <c r="W25" s="539"/>
      <c r="X25" s="530"/>
      <c r="Y25" s="530"/>
      <c r="Z25" s="530"/>
      <c r="AA25" s="530"/>
      <c r="AB25" s="530"/>
      <c r="AC25" s="530"/>
      <c r="AD25" s="530"/>
      <c r="AE25" s="530"/>
      <c r="AF25" s="530"/>
      <c r="AG25" s="530"/>
      <c r="AH25" s="530"/>
      <c r="AI25" s="530"/>
      <c r="AJ25" s="530"/>
      <c r="AK25" s="530"/>
      <c r="AL25" s="530"/>
    </row>
    <row r="26" spans="1:80" s="1774" customFormat="1" ht="15" customHeight="1">
      <c r="U26" s="121"/>
    </row>
    <row r="27" spans="1:80" s="1774" customFormat="1" ht="15" customHeight="1">
      <c r="A27" s="1740" t="s">
        <v>1907</v>
      </c>
      <c r="B27" s="1740"/>
      <c r="C27" s="1740"/>
      <c r="D27" s="1740"/>
      <c r="E27" s="1740"/>
      <c r="F27" s="1740"/>
      <c r="G27" s="1740"/>
      <c r="H27" s="1740"/>
      <c r="I27" s="1740"/>
      <c r="J27" s="1740"/>
      <c r="K27" s="1740"/>
      <c r="L27" s="1740"/>
      <c r="M27" s="1740"/>
      <c r="N27" s="1740"/>
      <c r="O27" s="1740"/>
      <c r="P27" s="1740"/>
      <c r="Q27" s="1740"/>
      <c r="R27" s="1740"/>
      <c r="S27" s="1740"/>
      <c r="T27" s="1740"/>
      <c r="U27" s="120"/>
      <c r="V27" s="1740"/>
      <c r="W27" s="1740"/>
    </row>
    <row r="28" spans="1:80" s="1774" customFormat="1" ht="15" customHeight="1">
      <c r="U28" s="121"/>
    </row>
    <row r="29" spans="1:80" s="1777" customFormat="1" ht="15" customHeight="1">
      <c r="A29" s="358"/>
      <c r="B29" s="358"/>
      <c r="C29" s="112"/>
      <c r="D29" s="1745"/>
      <c r="E29" s="1745"/>
      <c r="F29" s="1745"/>
      <c r="G29" s="2428" t="s">
        <v>688</v>
      </c>
      <c r="H29" s="2037">
        <v>1</v>
      </c>
      <c r="I29" s="2429" t="str">
        <f>IF(U29="","",INDEX(TERRITORY_MR_LIST,MATCH(U29,TERRITORY_LIST_ID,0)))</f>
        <v/>
      </c>
      <c r="J29" s="2047" t="s">
        <v>19</v>
      </c>
      <c r="K29" s="761"/>
      <c r="L29" s="1707" t="s">
        <v>109</v>
      </c>
      <c r="M29" s="538"/>
      <c r="N29" s="539"/>
      <c r="O29" s="539"/>
      <c r="P29" s="539"/>
      <c r="Q29" s="539"/>
      <c r="R29" s="539"/>
      <c r="S29" s="539"/>
      <c r="T29" s="539"/>
      <c r="U29" s="540"/>
      <c r="V29" s="539"/>
      <c r="W29" s="539"/>
      <c r="X29" s="530"/>
      <c r="Y29" s="530" t="s">
        <v>119</v>
      </c>
      <c r="Z29" s="530">
        <v>1705000</v>
      </c>
      <c r="AA29" s="530"/>
      <c r="AB29" s="530"/>
      <c r="AC29" s="530"/>
      <c r="AD29" s="530"/>
      <c r="AE29" s="530"/>
      <c r="AF29" s="530"/>
      <c r="AG29" s="530"/>
      <c r="AH29" s="530"/>
      <c r="AI29" s="530"/>
      <c r="AJ29" s="530"/>
      <c r="AK29" s="530"/>
      <c r="AL29" s="530"/>
    </row>
    <row r="30" spans="1:80" s="1777" customFormat="1" ht="15" customHeight="1">
      <c r="A30" s="358"/>
      <c r="B30" s="358"/>
      <c r="C30" s="112"/>
      <c r="D30" s="1745"/>
      <c r="E30" s="1745"/>
      <c r="F30" s="1745"/>
      <c r="G30" s="2428"/>
      <c r="H30" s="2037"/>
      <c r="I30" s="2429"/>
      <c r="J30" s="2047"/>
      <c r="K30" s="356"/>
      <c r="L30" s="113"/>
      <c r="M30" s="542" t="s">
        <v>120</v>
      </c>
      <c r="N30" s="539"/>
      <c r="O30" s="539"/>
      <c r="P30" s="539"/>
      <c r="Q30" s="539"/>
      <c r="R30" s="539"/>
      <c r="S30" s="539"/>
      <c r="T30" s="539"/>
      <c r="U30" s="540"/>
      <c r="V30" s="539"/>
      <c r="W30" s="539"/>
      <c r="X30" s="530"/>
      <c r="Y30" s="530"/>
      <c r="Z30" s="530"/>
      <c r="AA30" s="530"/>
      <c r="AB30" s="530"/>
      <c r="AC30" s="530"/>
      <c r="AD30" s="530"/>
      <c r="AE30" s="530"/>
      <c r="AF30" s="530"/>
      <c r="AG30" s="530"/>
      <c r="AH30" s="530"/>
      <c r="AI30" s="530"/>
      <c r="AJ30" s="530"/>
      <c r="AK30" s="530"/>
      <c r="AL30" s="530"/>
    </row>
    <row r="31" spans="1:80" s="1774" customFormat="1" ht="15" customHeight="1">
      <c r="U31" s="121"/>
    </row>
    <row r="32" spans="1:80" s="1774" customFormat="1" ht="15" customHeight="1">
      <c r="A32" s="1740" t="s">
        <v>1908</v>
      </c>
      <c r="B32" s="1740"/>
      <c r="C32" s="1740"/>
      <c r="D32" s="1740"/>
      <c r="E32" s="1740"/>
      <c r="F32" s="1740"/>
      <c r="G32" s="1740"/>
      <c r="H32" s="1740"/>
      <c r="I32" s="1740"/>
      <c r="J32" s="1740"/>
      <c r="K32" s="1740"/>
      <c r="L32" s="1740"/>
      <c r="M32" s="1740"/>
      <c r="N32" s="1740"/>
      <c r="O32" s="1740"/>
      <c r="P32" s="1740"/>
      <c r="Q32" s="1740"/>
      <c r="R32" s="1740"/>
      <c r="S32" s="1740"/>
      <c r="T32" s="1740"/>
      <c r="U32" s="120"/>
      <c r="V32" s="1740"/>
      <c r="W32" s="1740"/>
    </row>
    <row r="33" spans="1:38" s="1774" customFormat="1" ht="15" customHeight="1">
      <c r="U33" s="121"/>
    </row>
    <row r="34" spans="1:38" s="1777" customFormat="1" ht="15" customHeight="1">
      <c r="A34" s="358"/>
      <c r="B34" s="358"/>
      <c r="C34" s="112"/>
      <c r="D34" s="1745"/>
      <c r="E34" s="1745"/>
      <c r="F34" s="1745"/>
      <c r="G34" s="1745"/>
      <c r="H34" s="1745"/>
      <c r="I34" s="1745"/>
      <c r="J34" s="1745"/>
      <c r="K34" s="1724" t="s">
        <v>688</v>
      </c>
      <c r="L34" s="1654" t="s">
        <v>109</v>
      </c>
      <c r="M34" s="740"/>
      <c r="N34" s="741"/>
      <c r="O34" s="539"/>
      <c r="P34" s="539"/>
      <c r="Q34" s="539"/>
      <c r="R34" s="539"/>
      <c r="S34" s="539"/>
      <c r="T34" s="539"/>
      <c r="U34" s="540"/>
      <c r="V34" s="539"/>
      <c r="W34" s="539"/>
      <c r="X34" s="530"/>
      <c r="Y34" s="530" t="s">
        <v>119</v>
      </c>
      <c r="Z34" s="530">
        <v>1705000</v>
      </c>
      <c r="AA34" s="530"/>
      <c r="AB34" s="530"/>
      <c r="AC34" s="530"/>
      <c r="AD34" s="530"/>
      <c r="AE34" s="530"/>
      <c r="AF34" s="530"/>
      <c r="AG34" s="530"/>
      <c r="AH34" s="530"/>
      <c r="AI34" s="530"/>
      <c r="AJ34" s="530"/>
      <c r="AK34" s="530"/>
      <c r="AL34" s="530"/>
    </row>
    <row r="35" spans="1:38" s="1774" customFormat="1" ht="15" customHeight="1">
      <c r="U35" s="121"/>
    </row>
    <row r="36" spans="1:38" s="1774" customFormat="1" ht="15" customHeight="1">
      <c r="U36" s="121"/>
    </row>
    <row r="37" spans="1:38" s="1740" customFormat="1" ht="11.25" customHeight="1">
      <c r="A37" s="1740" t="s">
        <v>1909</v>
      </c>
    </row>
    <row r="38" spans="1:38" ht="11.25" customHeight="1"/>
    <row r="39" spans="1:38" s="390" customFormat="1" ht="22.5" customHeight="1">
      <c r="A39" s="1716"/>
      <c r="B39" s="392"/>
      <c r="C39" s="788"/>
      <c r="D39" s="375"/>
      <c r="E39" s="789"/>
      <c r="F39" s="1737"/>
      <c r="G39" s="1746"/>
      <c r="H39" s="410"/>
    </row>
    <row r="40" spans="1:38" ht="11.25" customHeight="1"/>
    <row r="41" spans="1:38" s="1740" customFormat="1" ht="11.25" customHeight="1">
      <c r="A41" s="1740" t="s">
        <v>1910</v>
      </c>
    </row>
    <row r="42" spans="1:38" ht="11.25" customHeight="1"/>
    <row r="43" spans="1:38" s="390" customFormat="1" ht="22.5" customHeight="1">
      <c r="A43" s="392"/>
      <c r="B43" s="392"/>
      <c r="C43" s="392"/>
      <c r="D43" s="375"/>
      <c r="E43" s="789"/>
      <c r="F43" s="790"/>
      <c r="G43" s="1746"/>
      <c r="H43" s="410"/>
    </row>
    <row r="44" spans="1:38" ht="11.25" customHeight="1"/>
    <row r="45" spans="1:38" s="1740" customFormat="1" ht="11.25" customHeight="1">
      <c r="A45" s="1740" t="s">
        <v>1911</v>
      </c>
    </row>
    <row r="46" spans="1:38" ht="11.25" customHeight="1"/>
    <row r="47" spans="1:38" s="390" customFormat="1" ht="24" customHeight="1">
      <c r="A47" s="2138" t="s">
        <v>312</v>
      </c>
      <c r="B47" s="437"/>
      <c r="C47" s="2149"/>
      <c r="D47" s="380" t="str">
        <f>A47</f>
        <v>5.1</v>
      </c>
      <c r="E47" s="377" t="s">
        <v>313</v>
      </c>
      <c r="F47" s="1897" t="s">
        <v>305</v>
      </c>
      <c r="G47" s="379" t="s">
        <v>314</v>
      </c>
      <c r="H47" s="410"/>
      <c r="I47" s="781"/>
    </row>
    <row r="48" spans="1:38" s="390" customFormat="1" ht="22.5" customHeight="1">
      <c r="A48" s="2138"/>
      <c r="B48" s="437"/>
      <c r="C48" s="2149"/>
      <c r="D48" s="375" t="str">
        <f>D47&amp;".1"</f>
        <v>5.1.1</v>
      </c>
      <c r="E48" s="374" t="s">
        <v>315</v>
      </c>
      <c r="F48" s="1898" t="s">
        <v>22</v>
      </c>
      <c r="G48" s="409"/>
      <c r="H48" s="410"/>
      <c r="I48" s="781"/>
    </row>
    <row r="49" spans="1:45" s="390" customFormat="1" ht="22.5" customHeight="1">
      <c r="A49" s="2138"/>
      <c r="B49" s="437"/>
      <c r="C49" s="2149"/>
      <c r="D49" s="375" t="str">
        <f>D47&amp;".2"</f>
        <v>5.1.2</v>
      </c>
      <c r="E49" s="374" t="s">
        <v>316</v>
      </c>
      <c r="F49" s="1657" t="s">
        <v>22</v>
      </c>
      <c r="G49" s="379" t="s">
        <v>317</v>
      </c>
      <c r="H49" s="410"/>
      <c r="I49" s="781"/>
    </row>
    <row r="50" spans="1:45" s="390" customFormat="1" ht="22.5" customHeight="1">
      <c r="A50" s="2138"/>
      <c r="B50" s="437"/>
      <c r="C50" s="2149"/>
      <c r="D50" s="375" t="str">
        <f>D47&amp;".3"</f>
        <v>5.1.3</v>
      </c>
      <c r="E50" s="374" t="s">
        <v>318</v>
      </c>
      <c r="F50" s="1898" t="s">
        <v>22</v>
      </c>
      <c r="G50" s="409"/>
      <c r="H50" s="410"/>
      <c r="I50" s="781"/>
    </row>
    <row r="51" spans="1:45" s="390" customFormat="1" ht="22.5" customHeight="1">
      <c r="A51" s="2138"/>
      <c r="B51" s="437"/>
      <c r="C51" s="2149"/>
      <c r="D51" s="375" t="str">
        <f>D47&amp;".4"</f>
        <v>5.1.4</v>
      </c>
      <c r="E51" s="374" t="s">
        <v>319</v>
      </c>
      <c r="F51" s="1898" t="s">
        <v>22</v>
      </c>
      <c r="G51" s="379" t="s">
        <v>320</v>
      </c>
      <c r="H51" s="410"/>
      <c r="I51" s="781"/>
    </row>
    <row r="54" spans="1:45" s="1740" customFormat="1" ht="17.25" customHeight="1">
      <c r="A54" s="1740" t="s">
        <v>1912</v>
      </c>
    </row>
    <row r="56" spans="1:45" s="1537" customFormat="1" ht="18.75" customHeight="1">
      <c r="A56" s="27"/>
      <c r="B56" s="1747"/>
      <c r="C56" s="1747"/>
      <c r="D56" s="1748"/>
      <c r="E56" s="1734"/>
      <c r="F56" s="797">
        <v>13</v>
      </c>
      <c r="G56" s="796"/>
      <c r="H56" s="722"/>
      <c r="I56" s="720"/>
      <c r="J56" s="455" t="s">
        <v>66</v>
      </c>
      <c r="K56" s="1749" t="s">
        <v>22</v>
      </c>
      <c r="L56" s="27"/>
      <c r="M56" s="1561"/>
      <c r="N56" s="1561"/>
      <c r="O56" s="1561"/>
      <c r="P56" s="451" t="s">
        <v>391</v>
      </c>
      <c r="Q56" s="451" t="s">
        <v>392</v>
      </c>
      <c r="R56" s="452" t="s">
        <v>393</v>
      </c>
      <c r="S56" s="1561" t="s">
        <v>394</v>
      </c>
      <c r="T56" s="1561"/>
      <c r="U56" s="1561"/>
      <c r="V56" s="1561"/>
    </row>
    <row r="58" spans="1:45" s="1740" customFormat="1" ht="11.25" customHeight="1">
      <c r="A58" s="1740" t="s">
        <v>1913</v>
      </c>
    </row>
    <row r="60" spans="1:45" s="1560" customFormat="1" ht="14.25" customHeight="1">
      <c r="C60" s="1613"/>
      <c r="D60" s="1793"/>
      <c r="E60" s="1702" t="s">
        <v>22</v>
      </c>
      <c r="F60" s="1792"/>
      <c r="G60" s="785"/>
      <c r="H60" s="1703"/>
      <c r="I60" s="1703"/>
      <c r="J60" s="368"/>
      <c r="K60" s="1787"/>
      <c r="L60" s="367"/>
      <c r="M60" s="1787"/>
      <c r="N60" s="368"/>
      <c r="O60" s="1787"/>
      <c r="P60" s="368"/>
      <c r="Q60" s="1787"/>
      <c r="R60" s="368"/>
      <c r="S60" s="783"/>
      <c r="T60" s="1703"/>
      <c r="U60" s="368"/>
      <c r="V60" s="368"/>
      <c r="W60" s="1791"/>
      <c r="X60" s="1703"/>
      <c r="Y60" s="368"/>
      <c r="Z60" s="368"/>
      <c r="AA60" s="1791"/>
      <c r="AB60" s="1703"/>
      <c r="AC60" s="368"/>
      <c r="AD60" s="1791"/>
      <c r="AE60" s="27"/>
      <c r="AF60" s="27"/>
      <c r="AG60" s="27"/>
      <c r="AH60" s="27"/>
      <c r="AJ60" s="1561"/>
      <c r="AK60" s="1561"/>
      <c r="AL60" s="1561"/>
      <c r="AM60" s="1561"/>
      <c r="AN60" s="1561"/>
      <c r="AO60" s="1561"/>
      <c r="AP60" s="1549" t="s">
        <v>380</v>
      </c>
      <c r="AQ60" s="1549" t="s">
        <v>380</v>
      </c>
      <c r="AR60" s="1561"/>
      <c r="AS60" s="1561"/>
    </row>
    <row r="62" spans="1:45" s="1740" customFormat="1" ht="11.25" customHeight="1">
      <c r="A62" s="1740" t="s">
        <v>1914</v>
      </c>
    </row>
    <row r="64" spans="1:45" s="1747" customFormat="1" ht="15" customHeight="1">
      <c r="A64" s="81" t="s">
        <v>90</v>
      </c>
      <c r="B64" s="63" t="s">
        <v>22</v>
      </c>
      <c r="C64" s="1750"/>
      <c r="D64" s="66"/>
      <c r="E64" s="316"/>
      <c r="F64" s="316"/>
      <c r="G64" s="1728"/>
      <c r="H64" s="1749"/>
      <c r="I64" s="1729"/>
      <c r="K64" s="208"/>
      <c r="L64" s="209"/>
    </row>
    <row r="66" spans="1:30" s="1740" customFormat="1" ht="11.25" customHeight="1">
      <c r="A66" s="1740" t="s">
        <v>1915</v>
      </c>
    </row>
    <row r="68" spans="1:30" s="1560" customFormat="1" ht="14.25" customHeight="1">
      <c r="A68" s="279"/>
      <c r="B68" s="1085"/>
      <c r="C68" s="311"/>
      <c r="D68" s="1735"/>
      <c r="E68" s="814"/>
      <c r="F68" s="1749"/>
      <c r="G68" s="27"/>
      <c r="I68" s="1549"/>
      <c r="J68" s="1549"/>
    </row>
    <row r="70" spans="1:30" s="1740" customFormat="1" ht="11.25" customHeight="1">
      <c r="A70" s="1740" t="s">
        <v>1916</v>
      </c>
    </row>
    <row r="72" spans="1:30" s="1560" customFormat="1" ht="27" customHeight="1">
      <c r="A72" s="1091"/>
      <c r="B72" s="1091"/>
      <c r="C72" s="1091"/>
      <c r="D72" s="1085"/>
      <c r="E72" s="1751"/>
      <c r="F72" s="2440"/>
      <c r="G72" s="2441"/>
      <c r="H72" s="2442" t="s">
        <v>66</v>
      </c>
      <c r="I72" s="2444"/>
      <c r="J72" s="2419"/>
      <c r="K72" s="2446"/>
      <c r="L72" s="2421"/>
      <c r="M72" s="2421"/>
      <c r="N72" s="2422"/>
      <c r="O72" s="2422"/>
      <c r="P72" s="2423" t="e">
        <f>DATEDIF(DATEVALUE(N72),DATEVALUE(O72),"y")&amp;"г. "&amp;DATEDIF(DATEVALUE(N72),DATEVALUE(O72),"ym")&amp;"мес. "&amp;DATEVALUE(O72)-DATE(YEAR(DATEVALUE(O72)),MONTH(DATEVALUE(O72)),1)&amp;"дн. "</f>
        <v>#VALUE!</v>
      </c>
      <c r="Q72" s="2418"/>
      <c r="R72" s="2418"/>
      <c r="S72" s="2418"/>
      <c r="T72" s="2419"/>
      <c r="U72" s="2418"/>
      <c r="V72" s="2418"/>
      <c r="W72" s="2418"/>
      <c r="X72" s="2419"/>
      <c r="Y72" s="2416" t="s">
        <v>66</v>
      </c>
      <c r="Z72" s="1733"/>
      <c r="AA72" s="1717">
        <v>1</v>
      </c>
      <c r="AB72" s="1167"/>
      <c r="AD72" s="1561" t="s">
        <v>1917</v>
      </c>
    </row>
    <row r="73" spans="1:30" s="1560" customFormat="1" ht="10.5" customHeight="1">
      <c r="A73" s="1091"/>
      <c r="B73" s="1091"/>
      <c r="C73" s="1091"/>
      <c r="D73" s="1085"/>
      <c r="E73" s="875"/>
      <c r="F73" s="2440"/>
      <c r="G73" s="2441"/>
      <c r="H73" s="2443"/>
      <c r="I73" s="2445"/>
      <c r="J73" s="2420"/>
      <c r="K73" s="2446"/>
      <c r="L73" s="2421"/>
      <c r="M73" s="2421"/>
      <c r="N73" s="2422"/>
      <c r="O73" s="2422"/>
      <c r="P73" s="2423"/>
      <c r="Q73" s="2418"/>
      <c r="R73" s="2418"/>
      <c r="S73" s="2418"/>
      <c r="T73" s="2420"/>
      <c r="U73" s="2418"/>
      <c r="V73" s="2418"/>
      <c r="W73" s="2418"/>
      <c r="X73" s="2420"/>
      <c r="Y73" s="2417"/>
      <c r="Z73" s="283"/>
      <c r="AA73" s="507"/>
      <c r="AB73" s="587" t="s">
        <v>1918</v>
      </c>
    </row>
    <row r="75" spans="1:30" s="1740" customFormat="1" ht="11.25" customHeight="1">
      <c r="A75" s="1740" t="s">
        <v>1919</v>
      </c>
    </row>
    <row r="77" spans="1:30" s="1560" customFormat="1" ht="27" customHeight="1">
      <c r="A77" s="1091"/>
      <c r="B77" s="1091"/>
      <c r="C77" s="1091"/>
      <c r="D77" s="1085"/>
      <c r="E77" s="1751"/>
      <c r="F77" s="1722"/>
      <c r="G77" s="1672"/>
      <c r="H77" s="1673"/>
      <c r="I77" s="1674"/>
      <c r="J77" s="1675"/>
      <c r="K77" s="1676"/>
      <c r="L77" s="1677"/>
      <c r="M77" s="1677"/>
      <c r="N77" s="1678"/>
      <c r="O77" s="1678"/>
      <c r="P77" s="1679"/>
      <c r="Q77" s="1680"/>
      <c r="R77" s="1680"/>
      <c r="S77" s="1680"/>
      <c r="T77" s="1675"/>
      <c r="U77" s="1680"/>
      <c r="V77" s="1680"/>
      <c r="W77" s="1680"/>
      <c r="X77" s="1675"/>
      <c r="Y77" s="1673"/>
      <c r="Z77" s="1733"/>
      <c r="AA77" s="1717">
        <v>1</v>
      </c>
      <c r="AB77" s="1167"/>
      <c r="AD77" s="1561" t="s">
        <v>1917</v>
      </c>
    </row>
    <row r="79" spans="1:30" s="1740" customFormat="1" ht="11.25" customHeight="1">
      <c r="A79" s="1740" t="s">
        <v>1920</v>
      </c>
    </row>
    <row r="80" spans="1:30" ht="17.25" customHeight="1"/>
    <row r="81" spans="1:58" s="1560" customFormat="1" ht="21" customHeight="1">
      <c r="A81" s="1092"/>
      <c r="B81" s="1091"/>
      <c r="C81" s="1091"/>
      <c r="D81" s="1085"/>
      <c r="E81" s="1095"/>
      <c r="F81" s="1047" t="e">
        <f>INDEX(IP_MAIN_LIST_NAME_IP,MATCH(A81,IP_MAIN_LIST_IP_ID,0))&amp;" ("&amp;INDEX(IP_MAIN_START_DATE,MATCH(A81,IP_MAIN_LIST_IP_ID,0))&amp;"-"&amp;INDEX(IP_MAIN_END_DATE,MATCH(A81,IP_MAIN_LIST_IP_ID,0))&amp;")"</f>
        <v>#N/A</v>
      </c>
      <c r="G81" s="1048"/>
      <c r="H81" s="1048"/>
      <c r="I81" s="1110"/>
      <c r="J81" s="1110"/>
      <c r="K81" s="1111"/>
      <c r="L81" s="1111"/>
      <c r="M81" s="1111"/>
      <c r="N81" s="1112"/>
      <c r="O81" s="1112"/>
      <c r="P81" s="1112"/>
      <c r="Q81" s="1112"/>
      <c r="R81" s="1112"/>
      <c r="S81" s="1112"/>
      <c r="T81" s="1112"/>
      <c r="U81" s="1112"/>
      <c r="V81" s="1112"/>
      <c r="W81" s="1112"/>
      <c r="X81" s="1112"/>
      <c r="Y81" s="1112"/>
      <c r="Z81" s="1112"/>
      <c r="AA81" s="1112"/>
      <c r="AB81" s="1112"/>
      <c r="AC81" s="1112"/>
      <c r="AD81" s="1112"/>
      <c r="AE81" s="1113"/>
      <c r="AF81" s="1111"/>
      <c r="AG81" s="1111"/>
      <c r="AH81" s="1111"/>
      <c r="AI81" s="1111"/>
      <c r="AJ81" s="1111"/>
      <c r="AK81" s="1111"/>
      <c r="AL81" s="1909"/>
      <c r="AM81" s="1747"/>
      <c r="AN81" s="1747"/>
      <c r="AO81" s="1747"/>
      <c r="AP81" s="1747"/>
      <c r="AQ81" s="1747"/>
      <c r="AR81" s="1747"/>
      <c r="AS81" s="1747"/>
      <c r="AT81" s="1747"/>
      <c r="AU81" s="1747"/>
      <c r="AV81" s="1747"/>
      <c r="AW81" s="1747"/>
      <c r="AX81" s="1747"/>
      <c r="AY81" s="1747"/>
      <c r="AZ81" s="1747"/>
      <c r="BA81" s="1747"/>
      <c r="BB81" s="1747"/>
      <c r="BC81" s="1747"/>
      <c r="BD81" s="1747"/>
      <c r="BE81" s="1747"/>
      <c r="BF81" s="1747"/>
    </row>
    <row r="82" spans="1:58" s="1560" customFormat="1" ht="0.75" customHeight="1">
      <c r="A82" s="1091"/>
      <c r="B82" s="1091"/>
      <c r="C82" s="1091"/>
      <c r="D82" s="1085"/>
      <c r="E82" s="1095"/>
      <c r="F82" s="2408"/>
      <c r="G82" s="2318"/>
      <c r="H82" s="2412" t="s">
        <v>375</v>
      </c>
      <c r="I82" s="2413"/>
      <c r="J82" s="2411"/>
      <c r="K82" s="2411"/>
      <c r="L82" s="2406"/>
      <c r="M82" s="2192"/>
      <c r="N82" s="1957"/>
      <c r="O82" s="1956"/>
      <c r="P82" s="1957"/>
      <c r="Q82" s="1957"/>
      <c r="R82" s="1957"/>
      <c r="S82" s="1957"/>
      <c r="T82" s="1957"/>
      <c r="U82" s="1957"/>
      <c r="V82" s="1957"/>
      <c r="W82" s="1957"/>
      <c r="X82" s="1957"/>
      <c r="Y82" s="1957"/>
      <c r="Z82" s="1957"/>
      <c r="AA82" s="1957"/>
      <c r="AB82" s="1957"/>
      <c r="AC82" s="1957"/>
      <c r="AD82" s="1957"/>
      <c r="AE82" s="1957"/>
      <c r="AF82" s="2410"/>
      <c r="AG82" s="2406"/>
      <c r="AH82" s="2406"/>
      <c r="AI82" s="2410"/>
      <c r="AJ82" s="2406"/>
      <c r="AK82" s="2406"/>
      <c r="AL82" s="1909"/>
      <c r="AM82" s="1747"/>
      <c r="AN82" s="1747"/>
      <c r="AO82" s="1747"/>
      <c r="AP82" s="1747"/>
      <c r="AQ82" s="1747"/>
      <c r="AR82" s="1747"/>
      <c r="AS82" s="1747"/>
      <c r="AT82" s="1747"/>
      <c r="AU82" s="1747"/>
      <c r="AV82" s="1747"/>
      <c r="AW82" s="1747"/>
      <c r="AX82" s="1747"/>
      <c r="AY82" s="1747"/>
      <c r="AZ82" s="1747"/>
      <c r="BA82" s="1747"/>
      <c r="BB82" s="1747"/>
      <c r="BC82" s="1747"/>
      <c r="BD82" s="1747"/>
      <c r="BE82" s="1747"/>
      <c r="BF82" s="1747"/>
    </row>
    <row r="83" spans="1:58" s="1560" customFormat="1" ht="0.75" customHeight="1">
      <c r="A83" s="1091"/>
      <c r="B83" s="1091"/>
      <c r="C83" s="1091"/>
      <c r="D83" s="1085"/>
      <c r="E83" s="1095"/>
      <c r="F83" s="2408"/>
      <c r="G83" s="2318"/>
      <c r="H83" s="2412"/>
      <c r="I83" s="2413"/>
      <c r="J83" s="2411"/>
      <c r="K83" s="2411"/>
      <c r="L83" s="2406"/>
      <c r="M83" s="2192"/>
      <c r="N83" s="2414"/>
      <c r="O83" s="2415"/>
      <c r="P83" s="2447"/>
      <c r="Q83" s="2411"/>
      <c r="R83" s="2411"/>
      <c r="S83" s="2411"/>
      <c r="T83" s="2411"/>
      <c r="U83" s="2411"/>
      <c r="V83" s="2411"/>
      <c r="W83" s="2411"/>
      <c r="X83" s="2411"/>
      <c r="Y83" s="2411"/>
      <c r="Z83" s="1958"/>
      <c r="AA83" s="1959"/>
      <c r="AB83" s="1959"/>
      <c r="AC83" s="1960"/>
      <c r="AD83" s="1960"/>
      <c r="AE83" s="1961"/>
      <c r="AF83" s="2410"/>
      <c r="AG83" s="2406"/>
      <c r="AH83" s="2406"/>
      <c r="AI83" s="2410"/>
      <c r="AJ83" s="2406"/>
      <c r="AK83" s="2406"/>
      <c r="AL83" s="1909"/>
      <c r="AM83" s="1747"/>
      <c r="AN83" s="1747"/>
      <c r="AO83" s="1747"/>
      <c r="AP83" s="1747"/>
      <c r="AQ83" s="1747"/>
      <c r="AR83" s="1747"/>
      <c r="AS83" s="1747"/>
      <c r="AT83" s="1747"/>
      <c r="AU83" s="1747"/>
      <c r="AV83" s="1747"/>
      <c r="AW83" s="1747"/>
      <c r="AX83" s="1747"/>
      <c r="AY83" s="1747"/>
      <c r="AZ83" s="1747"/>
      <c r="BA83" s="1747"/>
      <c r="BB83" s="1747"/>
      <c r="BC83" s="1747"/>
      <c r="BD83" s="1747"/>
      <c r="BE83" s="1747"/>
      <c r="BF83" s="1747"/>
    </row>
    <row r="84" spans="1:58" s="1560" customFormat="1" ht="0.75" customHeight="1">
      <c r="A84" s="1091"/>
      <c r="B84" s="1091"/>
      <c r="C84" s="1091"/>
      <c r="D84" s="1085"/>
      <c r="E84" s="1095"/>
      <c r="F84" s="2408"/>
      <c r="G84" s="2318"/>
      <c r="H84" s="2412"/>
      <c r="I84" s="2413"/>
      <c r="J84" s="2411"/>
      <c r="K84" s="2411"/>
      <c r="L84" s="2406"/>
      <c r="M84" s="2192"/>
      <c r="N84" s="2414"/>
      <c r="O84" s="2415"/>
      <c r="P84" s="2448"/>
      <c r="Q84" s="2411"/>
      <c r="R84" s="2411"/>
      <c r="S84" s="2411"/>
      <c r="T84" s="2411"/>
      <c r="U84" s="2411"/>
      <c r="V84" s="2411"/>
      <c r="W84" s="2411"/>
      <c r="X84" s="2411"/>
      <c r="Y84" s="2411"/>
      <c r="Z84" s="1962"/>
      <c r="AA84" s="1963"/>
      <c r="AB84" s="1964"/>
      <c r="AC84" s="1965"/>
      <c r="AD84" s="1964"/>
      <c r="AE84" s="1965"/>
      <c r="AF84" s="2410"/>
      <c r="AG84" s="2406"/>
      <c r="AH84" s="2406"/>
      <c r="AI84" s="2410"/>
      <c r="AJ84" s="2406"/>
      <c r="AK84" s="2406"/>
      <c r="AL84" s="1909"/>
      <c r="AM84" s="1747"/>
      <c r="AN84" s="1747"/>
      <c r="AO84" s="1747"/>
      <c r="AP84" s="1747"/>
      <c r="AQ84" s="1747"/>
      <c r="AR84" s="1747"/>
      <c r="AS84" s="1747"/>
      <c r="AT84" s="1747"/>
      <c r="AU84" s="1747"/>
      <c r="AV84" s="1747"/>
      <c r="AW84" s="1747"/>
      <c r="AX84" s="1747"/>
      <c r="AY84" s="1747"/>
      <c r="AZ84" s="1747"/>
      <c r="BA84" s="1747"/>
      <c r="BB84" s="1747"/>
      <c r="BC84" s="1747"/>
      <c r="BD84" s="1747"/>
      <c r="BE84" s="1747"/>
      <c r="BF84" s="1747"/>
    </row>
    <row r="85" spans="1:58" s="1560" customFormat="1" ht="0.75" customHeight="1">
      <c r="A85" s="1091"/>
      <c r="B85" s="1091"/>
      <c r="C85" s="1091"/>
      <c r="D85" s="1085"/>
      <c r="E85" s="1095"/>
      <c r="F85" s="2408"/>
      <c r="G85" s="2318"/>
      <c r="H85" s="2412"/>
      <c r="I85" s="2413"/>
      <c r="J85" s="2411"/>
      <c r="K85" s="2411"/>
      <c r="L85" s="2406"/>
      <c r="M85" s="2192"/>
      <c r="N85" s="2414"/>
      <c r="O85" s="2415"/>
      <c r="P85" s="2449"/>
      <c r="Q85" s="2411"/>
      <c r="R85" s="2411"/>
      <c r="S85" s="2411"/>
      <c r="T85" s="2411"/>
      <c r="U85" s="2411"/>
      <c r="V85" s="2411"/>
      <c r="W85" s="2411"/>
      <c r="X85" s="2411"/>
      <c r="Y85" s="2411"/>
      <c r="Z85" s="1958"/>
      <c r="AA85" s="1959"/>
      <c r="AB85" s="1966"/>
      <c r="AC85" s="1960"/>
      <c r="AD85" s="1960"/>
      <c r="AE85" s="1967"/>
      <c r="AF85" s="2410"/>
      <c r="AG85" s="2406"/>
      <c r="AH85" s="2406"/>
      <c r="AI85" s="2410"/>
      <c r="AJ85" s="2406"/>
      <c r="AK85" s="2406"/>
      <c r="AL85" s="1909"/>
      <c r="AM85" s="1747"/>
      <c r="AN85" s="1747"/>
      <c r="AO85" s="1747"/>
      <c r="AP85" s="1747"/>
      <c r="AQ85" s="1747"/>
      <c r="AR85" s="1747"/>
      <c r="AS85" s="1747"/>
      <c r="AT85" s="1747"/>
      <c r="AU85" s="1747"/>
      <c r="AV85" s="1747"/>
      <c r="AW85" s="1747"/>
      <c r="AX85" s="1747"/>
      <c r="AY85" s="1747"/>
      <c r="AZ85" s="1747"/>
      <c r="BA85" s="1747"/>
      <c r="BB85" s="1747"/>
      <c r="BC85" s="1747"/>
      <c r="BD85" s="1747"/>
      <c r="BE85" s="1747"/>
      <c r="BF85" s="1747"/>
    </row>
    <row r="86" spans="1:58" s="1560" customFormat="1" ht="0.75" customHeight="1">
      <c r="A86" s="1091"/>
      <c r="B86" s="1091"/>
      <c r="C86" s="1091"/>
      <c r="D86" s="1085"/>
      <c r="E86" s="1095"/>
      <c r="F86" s="2408"/>
      <c r="G86" s="2318"/>
      <c r="H86" s="2412"/>
      <c r="I86" s="2413"/>
      <c r="J86" s="2411"/>
      <c r="K86" s="2411"/>
      <c r="L86" s="2406"/>
      <c r="M86" s="2192"/>
      <c r="N86" s="1959"/>
      <c r="O86" s="1959"/>
      <c r="P86" s="1966"/>
      <c r="Q86" s="1959"/>
      <c r="R86" s="1959"/>
      <c r="S86" s="1959"/>
      <c r="T86" s="1959"/>
      <c r="U86" s="1959"/>
      <c r="V86" s="1959"/>
      <c r="W86" s="1959"/>
      <c r="X86" s="1959"/>
      <c r="Y86" s="1959"/>
      <c r="Z86" s="1959"/>
      <c r="AA86" s="1959"/>
      <c r="AB86" s="1959"/>
      <c r="AC86" s="1959"/>
      <c r="AD86" s="1959"/>
      <c r="AE86" s="1968"/>
      <c r="AF86" s="2410"/>
      <c r="AG86" s="2406"/>
      <c r="AH86" s="2406"/>
      <c r="AI86" s="2410"/>
      <c r="AJ86" s="2406"/>
      <c r="AK86" s="2406"/>
      <c r="AL86" s="1909"/>
      <c r="AM86" s="1747"/>
      <c r="AN86" s="1747"/>
      <c r="AO86" s="1747"/>
      <c r="AP86" s="1747"/>
      <c r="AQ86" s="1747"/>
      <c r="AR86" s="1747"/>
      <c r="AS86" s="1747"/>
      <c r="AT86" s="1747"/>
      <c r="AU86" s="1747"/>
      <c r="AV86" s="1747"/>
      <c r="AW86" s="1747"/>
      <c r="AX86" s="1747"/>
      <c r="AY86" s="1747"/>
      <c r="AZ86" s="1747"/>
      <c r="BA86" s="1747"/>
      <c r="BB86" s="1747"/>
      <c r="BC86" s="1747"/>
      <c r="BD86" s="1747"/>
      <c r="BE86" s="1747"/>
      <c r="BF86" s="1747"/>
    </row>
    <row r="87" spans="1:58" s="1560" customFormat="1" ht="12" customHeight="1">
      <c r="A87" s="1091"/>
      <c r="B87" s="1091"/>
      <c r="C87" s="1091"/>
      <c r="D87" s="1085"/>
      <c r="E87" s="1095"/>
      <c r="F87" s="2409"/>
      <c r="G87" s="1115"/>
      <c r="H87" s="1115"/>
      <c r="I87" s="2407" t="s">
        <v>1921</v>
      </c>
      <c r="J87" s="2407"/>
      <c r="K87" s="2407"/>
      <c r="L87" s="1098"/>
      <c r="M87" s="1098"/>
      <c r="N87" s="1099"/>
      <c r="O87" s="1099"/>
      <c r="P87" s="1099"/>
      <c r="Q87" s="1099"/>
      <c r="R87" s="1099"/>
      <c r="S87" s="1099"/>
      <c r="T87" s="1099"/>
      <c r="U87" s="1099"/>
      <c r="V87" s="1099"/>
      <c r="W87" s="1099"/>
      <c r="X87" s="1099"/>
      <c r="Y87" s="1099"/>
      <c r="Z87" s="1099"/>
      <c r="AA87" s="1099"/>
      <c r="AB87" s="1099"/>
      <c r="AC87" s="1099"/>
      <c r="AD87" s="1099"/>
      <c r="AE87" s="1099"/>
      <c r="AF87" s="1099"/>
      <c r="AG87" s="1098"/>
      <c r="AH87" s="1098"/>
      <c r="AI87" s="1099"/>
      <c r="AJ87" s="1098"/>
      <c r="AK87" s="1099"/>
      <c r="AL87" s="1909"/>
      <c r="AM87" s="1747"/>
      <c r="AN87" s="1747"/>
      <c r="AO87" s="1747"/>
      <c r="AP87" s="1747"/>
      <c r="AQ87" s="1747"/>
      <c r="AR87" s="1747"/>
      <c r="AS87" s="1747"/>
      <c r="AT87" s="1747"/>
      <c r="AU87" s="1747"/>
      <c r="AV87" s="1747"/>
      <c r="AW87" s="1747"/>
      <c r="AX87" s="1747"/>
      <c r="AY87" s="1747"/>
      <c r="AZ87" s="1747"/>
      <c r="BA87" s="1747"/>
      <c r="BB87" s="1747"/>
      <c r="BC87" s="1747"/>
      <c r="BD87" s="1747"/>
      <c r="BE87" s="1747"/>
      <c r="BF87" s="1747"/>
    </row>
    <row r="89" spans="1:58" s="1740" customFormat="1" ht="11.25" customHeight="1">
      <c r="A89" s="1740" t="s">
        <v>1922</v>
      </c>
    </row>
    <row r="91" spans="1:58" s="1560" customFormat="1" ht="11.25" customHeight="1">
      <c r="A91" s="1091"/>
      <c r="B91" s="1091"/>
      <c r="C91" s="1091"/>
      <c r="D91" s="1085"/>
      <c r="E91" s="1095"/>
      <c r="F91" s="1753"/>
      <c r="G91" s="1754"/>
      <c r="H91" s="1754"/>
      <c r="I91" s="1689"/>
      <c r="J91" s="1689"/>
      <c r="K91" s="1755"/>
      <c r="L91" s="1689"/>
      <c r="M91" s="1754"/>
      <c r="N91" s="2383"/>
      <c r="O91" s="2450">
        <v>1</v>
      </c>
      <c r="P91" s="2385" t="s">
        <v>19</v>
      </c>
      <c r="Q91" s="2300" t="s">
        <v>22</v>
      </c>
      <c r="R91" s="2300" t="s">
        <v>22</v>
      </c>
      <c r="S91" s="2300" t="s">
        <v>22</v>
      </c>
      <c r="T91" s="2300" t="s">
        <v>22</v>
      </c>
      <c r="U91" s="2300" t="s">
        <v>22</v>
      </c>
      <c r="V91" s="2300" t="s">
        <v>22</v>
      </c>
      <c r="W91" s="2300" t="s">
        <v>22</v>
      </c>
      <c r="X91" s="2300" t="s">
        <v>22</v>
      </c>
      <c r="Y91" s="2300"/>
      <c r="Z91" s="1100"/>
      <c r="AA91" s="1101"/>
      <c r="AB91" s="1101"/>
      <c r="AC91" s="1105"/>
      <c r="AD91" s="1105"/>
      <c r="AE91" s="1105"/>
      <c r="AF91" s="1756"/>
      <c r="AG91" s="1684"/>
      <c r="AH91" s="1684"/>
      <c r="AI91" s="1756"/>
      <c r="AJ91" s="1684"/>
      <c r="AK91" s="1908"/>
      <c r="AL91" s="1909"/>
      <c r="AM91" s="1747"/>
      <c r="AN91" s="1747"/>
      <c r="AO91" s="1747"/>
      <c r="AP91" s="1747"/>
      <c r="AQ91" s="1747"/>
      <c r="AR91" s="1747"/>
      <c r="AS91" s="1747"/>
      <c r="AT91" s="1747"/>
      <c r="AU91" s="1747"/>
      <c r="AV91" s="1747"/>
      <c r="AW91" s="1747"/>
      <c r="AX91" s="1747"/>
      <c r="AY91" s="1747"/>
      <c r="AZ91" s="1747"/>
      <c r="BA91" s="1747"/>
      <c r="BB91" s="1747"/>
      <c r="BC91" s="1747"/>
      <c r="BD91" s="1747"/>
      <c r="BE91" s="1747"/>
      <c r="BF91" s="1747"/>
    </row>
    <row r="92" spans="1:58" s="1560" customFormat="1" ht="11.25" customHeight="1">
      <c r="A92" s="1091"/>
      <c r="B92" s="1091"/>
      <c r="C92" s="1091"/>
      <c r="D92" s="1085"/>
      <c r="E92" s="1095"/>
      <c r="F92" s="1753"/>
      <c r="G92" s="1754"/>
      <c r="H92" s="1754"/>
      <c r="I92" s="1690"/>
      <c r="J92" s="1690"/>
      <c r="K92" s="1755"/>
      <c r="L92" s="1690"/>
      <c r="M92" s="1754"/>
      <c r="N92" s="2383"/>
      <c r="O92" s="2450"/>
      <c r="P92" s="2386"/>
      <c r="Q92" s="2300"/>
      <c r="R92" s="2300"/>
      <c r="S92" s="2388"/>
      <c r="T92" s="2300"/>
      <c r="U92" s="2300"/>
      <c r="V92" s="2300"/>
      <c r="W92" s="2300"/>
      <c r="X92" s="2300"/>
      <c r="Y92" s="2300"/>
      <c r="Z92" s="1752"/>
      <c r="AA92" s="1719">
        <v>1</v>
      </c>
      <c r="AB92" s="1104"/>
      <c r="AC92" s="1094"/>
      <c r="AD92" s="1104">
        <f>AB92</f>
        <v>0</v>
      </c>
      <c r="AE92" s="659"/>
      <c r="AF92" s="1755"/>
      <c r="AG92" s="1684"/>
      <c r="AH92" s="1684"/>
      <c r="AI92" s="1755"/>
      <c r="AJ92" s="1684"/>
      <c r="AK92" s="1908"/>
      <c r="AL92" s="1909"/>
      <c r="AM92" s="1747"/>
      <c r="AN92" s="1747"/>
      <c r="AO92" s="1747"/>
      <c r="AP92" s="1747"/>
      <c r="AQ92" s="1747"/>
      <c r="AR92" s="1747"/>
      <c r="AS92" s="1747"/>
      <c r="AT92" s="1747"/>
      <c r="AU92" s="1747"/>
      <c r="AV92" s="1747"/>
      <c r="AW92" s="1747"/>
      <c r="AX92" s="1747"/>
      <c r="AY92" s="1747"/>
      <c r="AZ92" s="1747"/>
      <c r="BA92" s="1747"/>
      <c r="BB92" s="1747"/>
      <c r="BC92" s="1747"/>
      <c r="BD92" s="1747"/>
      <c r="BE92" s="1747"/>
      <c r="BF92" s="1747"/>
    </row>
    <row r="93" spans="1:58" s="1560" customFormat="1" ht="11.25" customHeight="1">
      <c r="A93" s="1091"/>
      <c r="B93" s="1091"/>
      <c r="C93" s="1091"/>
      <c r="D93" s="1085"/>
      <c r="E93" s="1095"/>
      <c r="F93" s="1753"/>
      <c r="G93" s="1754"/>
      <c r="H93" s="1754"/>
      <c r="I93" s="1691"/>
      <c r="J93" s="1691"/>
      <c r="K93" s="1755"/>
      <c r="L93" s="1691"/>
      <c r="M93" s="1754"/>
      <c r="N93" s="2383"/>
      <c r="O93" s="2450"/>
      <c r="P93" s="2387"/>
      <c r="Q93" s="2300"/>
      <c r="R93" s="2300"/>
      <c r="S93" s="2388"/>
      <c r="T93" s="2300"/>
      <c r="U93" s="2300"/>
      <c r="V93" s="2300"/>
      <c r="W93" s="2300"/>
      <c r="X93" s="2300"/>
      <c r="Y93" s="2300"/>
      <c r="Z93" s="1100"/>
      <c r="AA93" s="1101"/>
      <c r="AB93" s="1166" t="s">
        <v>1923</v>
      </c>
      <c r="AC93" s="1105"/>
      <c r="AD93" s="1105"/>
      <c r="AE93" s="1105"/>
      <c r="AF93" s="1757"/>
      <c r="AG93" s="1684"/>
      <c r="AH93" s="1684"/>
      <c r="AI93" s="1757"/>
      <c r="AJ93" s="1684"/>
      <c r="AK93" s="1908"/>
      <c r="AL93" s="1909"/>
      <c r="AM93" s="1747"/>
      <c r="AN93" s="1747"/>
      <c r="AO93" s="1747"/>
      <c r="AP93" s="1747"/>
      <c r="AQ93" s="1747"/>
      <c r="AR93" s="1747"/>
      <c r="AS93" s="1747"/>
      <c r="AT93" s="1747"/>
      <c r="AU93" s="1747"/>
      <c r="AV93" s="1747"/>
      <c r="AW93" s="1747"/>
      <c r="AX93" s="1747"/>
      <c r="AY93" s="1747"/>
      <c r="AZ93" s="1747"/>
      <c r="BA93" s="1747"/>
      <c r="BB93" s="1747"/>
      <c r="BC93" s="1747"/>
      <c r="BD93" s="1747"/>
      <c r="BE93" s="1747"/>
      <c r="BF93" s="1747"/>
    </row>
    <row r="95" spans="1:58" s="1740" customFormat="1" ht="11.25" customHeight="1">
      <c r="A95" s="1740" t="s">
        <v>1924</v>
      </c>
    </row>
    <row r="97" spans="1:184" s="1560" customFormat="1" ht="11.25" customHeight="1">
      <c r="A97" s="1091"/>
      <c r="B97" s="1091"/>
      <c r="C97" s="1091"/>
      <c r="D97" s="1085"/>
      <c r="E97" s="1095"/>
      <c r="F97" s="1754"/>
      <c r="G97" s="1754"/>
      <c r="H97" s="1754"/>
      <c r="I97" s="1754"/>
      <c r="J97" s="1754"/>
      <c r="K97" s="1754"/>
      <c r="L97" s="1754"/>
      <c r="M97" s="1754"/>
      <c r="N97" s="1754"/>
      <c r="O97" s="1754"/>
      <c r="P97" s="1754"/>
      <c r="Q97" s="1754"/>
      <c r="R97" s="1754"/>
      <c r="S97" s="1754"/>
      <c r="T97" s="1754"/>
      <c r="U97" s="1754"/>
      <c r="V97" s="1754"/>
      <c r="W97" s="1754"/>
      <c r="X97" s="1754"/>
      <c r="Y97" s="1754"/>
      <c r="Z97" s="1758"/>
      <c r="AA97" s="1739">
        <v>1</v>
      </c>
      <c r="AB97" s="1104"/>
      <c r="AC97" s="1094"/>
      <c r="AD97" s="1104">
        <f>AB97</f>
        <v>0</v>
      </c>
      <c r="AE97" s="1094"/>
      <c r="AF97" s="1755"/>
      <c r="AG97" s="1684"/>
      <c r="AH97" s="1684"/>
      <c r="AI97" s="1755"/>
      <c r="AJ97" s="1684"/>
      <c r="AK97" s="1908"/>
      <c r="AL97" s="1909"/>
      <c r="AM97" s="1747"/>
      <c r="AN97" s="1747"/>
      <c r="AO97" s="1747"/>
      <c r="AP97" s="1747"/>
      <c r="AQ97" s="1747"/>
      <c r="AR97" s="1747"/>
      <c r="AS97" s="1747"/>
      <c r="AT97" s="1747"/>
      <c r="AU97" s="1747"/>
      <c r="AV97" s="1747"/>
      <c r="AW97" s="1747"/>
      <c r="AX97" s="1747"/>
      <c r="AY97" s="1747"/>
      <c r="AZ97" s="1747"/>
      <c r="BA97" s="1747"/>
      <c r="BB97" s="1747"/>
      <c r="BC97" s="1747"/>
      <c r="BD97" s="1747"/>
      <c r="BE97" s="1747"/>
      <c r="BF97" s="1747"/>
    </row>
    <row r="99" spans="1:184" s="1740" customFormat="1" ht="11.25" customHeight="1">
      <c r="A99" s="1740" t="s">
        <v>1925</v>
      </c>
    </row>
    <row r="101" spans="1:184" s="1560" customFormat="1" ht="11.25" customHeight="1">
      <c r="A101" s="1091"/>
      <c r="B101" s="1091"/>
      <c r="C101" s="1091"/>
      <c r="D101" s="1085"/>
      <c r="E101" s="1095"/>
      <c r="F101" s="1753"/>
      <c r="G101" s="1754"/>
      <c r="H101" s="2318" t="s">
        <v>109</v>
      </c>
      <c r="I101" s="2389"/>
      <c r="J101" s="2362"/>
      <c r="K101" s="2390"/>
      <c r="L101" s="2047" t="s">
        <v>19</v>
      </c>
      <c r="M101" s="2048"/>
      <c r="N101" s="1907"/>
      <c r="O101" s="1102" t="s">
        <v>375</v>
      </c>
      <c r="P101" s="1103"/>
      <c r="Q101" s="1103"/>
      <c r="R101" s="1103"/>
      <c r="S101" s="1103"/>
      <c r="T101" s="1103"/>
      <c r="U101" s="1103"/>
      <c r="V101" s="1103"/>
      <c r="W101" s="1103"/>
      <c r="X101" s="1103"/>
      <c r="Y101" s="1103"/>
      <c r="Z101" s="1103"/>
      <c r="AA101" s="1103"/>
      <c r="AB101" s="1103"/>
      <c r="AC101" s="1103"/>
      <c r="AD101" s="1103"/>
      <c r="AE101" s="1103"/>
      <c r="AF101" s="2381"/>
      <c r="AG101" s="2382"/>
      <c r="AH101" s="2382"/>
      <c r="AI101" s="2381"/>
      <c r="AJ101" s="2382"/>
      <c r="AK101" s="2382"/>
      <c r="AL101" s="1909"/>
      <c r="AM101" s="1747"/>
      <c r="AN101" s="1747"/>
      <c r="AO101" s="1747"/>
      <c r="AP101" s="1747"/>
      <c r="AQ101" s="1747"/>
      <c r="AR101" s="1747"/>
      <c r="AS101" s="1747"/>
      <c r="AT101" s="1747"/>
      <c r="AU101" s="1747"/>
      <c r="AV101" s="1747"/>
      <c r="AW101" s="1747"/>
      <c r="AX101" s="1747"/>
      <c r="AY101" s="1747"/>
      <c r="AZ101" s="1747"/>
      <c r="BA101" s="1747"/>
      <c r="BB101" s="1747"/>
      <c r="BC101" s="1747"/>
      <c r="BD101" s="1747"/>
      <c r="BE101" s="1747"/>
      <c r="BF101" s="1747"/>
    </row>
    <row r="102" spans="1:184" s="1560" customFormat="1" ht="11.25" customHeight="1">
      <c r="A102" s="1091"/>
      <c r="B102" s="1091"/>
      <c r="C102" s="1091"/>
      <c r="D102" s="1085"/>
      <c r="E102" s="1095"/>
      <c r="F102" s="1753"/>
      <c r="G102" s="1754"/>
      <c r="H102" s="2318"/>
      <c r="I102" s="2389"/>
      <c r="J102" s="2362"/>
      <c r="K102" s="2390"/>
      <c r="L102" s="2047"/>
      <c r="M102" s="2048"/>
      <c r="N102" s="2383"/>
      <c r="O102" s="2384">
        <v>1</v>
      </c>
      <c r="P102" s="2385" t="s">
        <v>19</v>
      </c>
      <c r="Q102" s="2300" t="s">
        <v>22</v>
      </c>
      <c r="R102" s="2300" t="s">
        <v>22</v>
      </c>
      <c r="S102" s="2300" t="s">
        <v>22</v>
      </c>
      <c r="T102" s="2300" t="s">
        <v>22</v>
      </c>
      <c r="U102" s="2300" t="s">
        <v>22</v>
      </c>
      <c r="V102" s="2300" t="s">
        <v>22</v>
      </c>
      <c r="W102" s="2300" t="s">
        <v>22</v>
      </c>
      <c r="X102" s="2300" t="s">
        <v>22</v>
      </c>
      <c r="Y102" s="2300"/>
      <c r="Z102" s="1100"/>
      <c r="AA102" s="1101"/>
      <c r="AB102" s="1101"/>
      <c r="AC102" s="1105"/>
      <c r="AD102" s="1105"/>
      <c r="AE102" s="1106"/>
      <c r="AF102" s="2381"/>
      <c r="AG102" s="2382"/>
      <c r="AH102" s="2382"/>
      <c r="AI102" s="2381"/>
      <c r="AJ102" s="2382"/>
      <c r="AK102" s="2382"/>
      <c r="AL102" s="1909"/>
      <c r="AM102" s="1747"/>
      <c r="AN102" s="1747"/>
      <c r="AO102" s="1747"/>
      <c r="AP102" s="1747"/>
      <c r="AQ102" s="1747"/>
      <c r="AR102" s="1747"/>
      <c r="AS102" s="1747"/>
      <c r="AT102" s="1747"/>
      <c r="AU102" s="1747"/>
      <c r="AV102" s="1747"/>
      <c r="AW102" s="1747"/>
      <c r="AX102" s="1747"/>
      <c r="AY102" s="1747"/>
      <c r="AZ102" s="1747"/>
      <c r="BA102" s="1747"/>
      <c r="BB102" s="1747"/>
      <c r="BC102" s="1747"/>
      <c r="BD102" s="1747"/>
      <c r="BE102" s="1747"/>
      <c r="BF102" s="1747"/>
    </row>
    <row r="103" spans="1:184" s="1560" customFormat="1" ht="11.25" customHeight="1">
      <c r="A103" s="1091"/>
      <c r="B103" s="1091"/>
      <c r="C103" s="1091"/>
      <c r="D103" s="1085"/>
      <c r="E103" s="1095"/>
      <c r="F103" s="1753"/>
      <c r="G103" s="1754"/>
      <c r="H103" s="2318"/>
      <c r="I103" s="2389"/>
      <c r="J103" s="2362"/>
      <c r="K103" s="2390"/>
      <c r="L103" s="2047"/>
      <c r="M103" s="2048"/>
      <c r="N103" s="2383"/>
      <c r="O103" s="2384"/>
      <c r="P103" s="2386"/>
      <c r="Q103" s="2300"/>
      <c r="R103" s="2300"/>
      <c r="S103" s="2388"/>
      <c r="T103" s="2300"/>
      <c r="U103" s="2300"/>
      <c r="V103" s="2300"/>
      <c r="W103" s="2300"/>
      <c r="X103" s="2300"/>
      <c r="Y103" s="2300"/>
      <c r="Z103" s="1752"/>
      <c r="AA103" s="1719">
        <v>1</v>
      </c>
      <c r="AB103" s="1104"/>
      <c r="AC103" s="1094"/>
      <c r="AD103" s="1104">
        <f>AB103</f>
        <v>0</v>
      </c>
      <c r="AE103" s="1094"/>
      <c r="AF103" s="2381"/>
      <c r="AG103" s="2382"/>
      <c r="AH103" s="2382"/>
      <c r="AI103" s="2381"/>
      <c r="AJ103" s="2382"/>
      <c r="AK103" s="2382"/>
      <c r="AL103" s="1909"/>
      <c r="AM103" s="1747"/>
      <c r="AN103" s="1747"/>
      <c r="AO103" s="1747"/>
      <c r="AP103" s="1747"/>
      <c r="AQ103" s="1747"/>
      <c r="AR103" s="1747"/>
      <c r="AS103" s="1747"/>
      <c r="AT103" s="1747"/>
      <c r="AU103" s="1747"/>
      <c r="AV103" s="1747"/>
      <c r="AW103" s="1747"/>
      <c r="AX103" s="1747"/>
      <c r="AY103" s="1747"/>
      <c r="AZ103" s="1747"/>
      <c r="BA103" s="1747"/>
      <c r="BB103" s="1747"/>
      <c r="BC103" s="1747"/>
      <c r="BD103" s="1747"/>
      <c r="BE103" s="1747"/>
      <c r="BF103" s="1747"/>
    </row>
    <row r="104" spans="1:184" s="1560" customFormat="1" ht="11.25" customHeight="1">
      <c r="A104" s="1091"/>
      <c r="B104" s="1091"/>
      <c r="C104" s="1091"/>
      <c r="D104" s="1085"/>
      <c r="E104" s="1095"/>
      <c r="F104" s="1753"/>
      <c r="G104" s="1754"/>
      <c r="H104" s="2318"/>
      <c r="I104" s="2389"/>
      <c r="J104" s="2362"/>
      <c r="K104" s="2390"/>
      <c r="L104" s="2047"/>
      <c r="M104" s="2048"/>
      <c r="N104" s="2383"/>
      <c r="O104" s="2384"/>
      <c r="P104" s="2387"/>
      <c r="Q104" s="2300"/>
      <c r="R104" s="2300"/>
      <c r="S104" s="2388"/>
      <c r="T104" s="2300"/>
      <c r="U104" s="2300"/>
      <c r="V104" s="2300"/>
      <c r="W104" s="2300"/>
      <c r="X104" s="2300"/>
      <c r="Y104" s="2300"/>
      <c r="Z104" s="1100"/>
      <c r="AA104" s="1101"/>
      <c r="AB104" s="1166" t="s">
        <v>1923</v>
      </c>
      <c r="AC104" s="1105"/>
      <c r="AD104" s="1105"/>
      <c r="AE104" s="1107"/>
      <c r="AF104" s="2381"/>
      <c r="AG104" s="2382"/>
      <c r="AH104" s="2382"/>
      <c r="AI104" s="2381"/>
      <c r="AJ104" s="2382"/>
      <c r="AK104" s="2382"/>
      <c r="AL104" s="1909"/>
      <c r="AM104" s="1747"/>
      <c r="AN104" s="1747"/>
      <c r="AO104" s="1747"/>
      <c r="AP104" s="1747"/>
      <c r="AQ104" s="1747"/>
      <c r="AR104" s="1747"/>
      <c r="AS104" s="1747"/>
      <c r="AT104" s="1747"/>
      <c r="AU104" s="1747"/>
      <c r="AV104" s="1747"/>
      <c r="AW104" s="1747"/>
      <c r="AX104" s="1747"/>
      <c r="AY104" s="1747"/>
      <c r="AZ104" s="1747"/>
      <c r="BA104" s="1747"/>
      <c r="BB104" s="1747"/>
      <c r="BC104" s="1747"/>
      <c r="BD104" s="1747"/>
      <c r="BE104" s="1747"/>
      <c r="BF104" s="1747"/>
    </row>
    <row r="105" spans="1:184" s="1560" customFormat="1" ht="11.25" customHeight="1">
      <c r="A105" s="1091"/>
      <c r="B105" s="1091"/>
      <c r="C105" s="1091"/>
      <c r="D105" s="1085"/>
      <c r="E105" s="1095"/>
      <c r="F105" s="1753"/>
      <c r="G105" s="1754"/>
      <c r="H105" s="2318"/>
      <c r="I105" s="2389"/>
      <c r="J105" s="2362"/>
      <c r="K105" s="2390"/>
      <c r="L105" s="2047"/>
      <c r="M105" s="2048"/>
      <c r="N105" s="1100"/>
      <c r="O105" s="1101"/>
      <c r="P105" s="1093" t="s">
        <v>1926</v>
      </c>
      <c r="Q105" s="1101"/>
      <c r="R105" s="1101"/>
      <c r="S105" s="1101"/>
      <c r="T105" s="1101"/>
      <c r="U105" s="1101"/>
      <c r="V105" s="1101"/>
      <c r="W105" s="1101"/>
      <c r="X105" s="1101"/>
      <c r="Y105" s="1101"/>
      <c r="Z105" s="1101"/>
      <c r="AA105" s="1101"/>
      <c r="AB105" s="1101"/>
      <c r="AC105" s="1101"/>
      <c r="AD105" s="1101"/>
      <c r="AE105" s="1108"/>
      <c r="AF105" s="2381"/>
      <c r="AG105" s="2382"/>
      <c r="AH105" s="2382"/>
      <c r="AI105" s="2381"/>
      <c r="AJ105" s="2382"/>
      <c r="AK105" s="2382"/>
      <c r="AL105" s="1909"/>
      <c r="AM105" s="1747"/>
      <c r="AN105" s="1747"/>
      <c r="AO105" s="1747"/>
      <c r="AP105" s="1747"/>
      <c r="AQ105" s="1747"/>
      <c r="AR105" s="1747"/>
      <c r="AS105" s="1747"/>
      <c r="AT105" s="1747"/>
      <c r="AU105" s="1747"/>
      <c r="AV105" s="1747"/>
      <c r="AW105" s="1747"/>
      <c r="AX105" s="1747"/>
      <c r="AY105" s="1747"/>
      <c r="AZ105" s="1747"/>
      <c r="BA105" s="1747"/>
      <c r="BB105" s="1747"/>
      <c r="BC105" s="1747"/>
      <c r="BD105" s="1747"/>
      <c r="BE105" s="1747"/>
      <c r="BF105" s="1747"/>
    </row>
    <row r="107" spans="1:184" s="1740" customFormat="1" ht="11.25" customHeight="1">
      <c r="A107" s="1740" t="s">
        <v>1927</v>
      </c>
    </row>
    <row r="108" spans="1:184" ht="17.25" customHeight="1"/>
    <row r="109" spans="1:184" s="853" customFormat="1" ht="21" customHeight="1">
      <c r="A109" s="1092"/>
      <c r="B109" s="868"/>
      <c r="D109" s="852"/>
      <c r="E109" s="867" t="s">
        <v>22</v>
      </c>
      <c r="F109" s="1046" t="e">
        <f>INDEX(IP_MAIN_LIST_NAME_IP,MATCH(A109,IP_MAIN_LIST_IP_ID,0))&amp;" ("&amp;INDEX(IP_MAIN_START_DATE,MATCH(A109,IP_MAIN_LIST_IP_ID,0))&amp;"-"&amp;INDEX(IP_MAIN_END_DATE,MATCH(A109,IP_MAIN_LIST_IP_ID,0))&amp;")"</f>
        <v>#N/A</v>
      </c>
      <c r="G109" s="1128"/>
      <c r="H109" s="1129"/>
      <c r="I109" s="1129"/>
      <c r="J109" s="1129"/>
      <c r="K109" s="1129"/>
      <c r="L109" s="1129"/>
      <c r="M109" s="1129"/>
      <c r="N109" s="1129"/>
      <c r="O109" s="1128"/>
      <c r="P109" s="1128"/>
      <c r="Q109" s="1128"/>
      <c r="R109" s="1128"/>
      <c r="S109" s="1128"/>
      <c r="T109" s="1128"/>
      <c r="U109" s="1130"/>
      <c r="V109" s="1130"/>
      <c r="W109" s="1130"/>
      <c r="X109" s="1130"/>
      <c r="Y109" s="1130"/>
      <c r="Z109" s="1130"/>
      <c r="AA109" s="1130"/>
      <c r="AB109" s="1128"/>
      <c r="AC109" s="1129"/>
      <c r="AD109" s="1129"/>
      <c r="AE109" s="1129"/>
      <c r="AF109" s="1129"/>
      <c r="AG109" s="1129"/>
      <c r="AH109" s="1129"/>
      <c r="AI109" s="1129"/>
      <c r="AJ109" s="1129"/>
      <c r="AK109" s="1129"/>
      <c r="AL109" s="1129"/>
      <c r="AM109" s="1129"/>
      <c r="AN109" s="1129"/>
      <c r="AO109" s="1129"/>
      <c r="AP109" s="1129"/>
      <c r="AQ109" s="1129"/>
      <c r="AR109" s="1129"/>
      <c r="AS109" s="1129"/>
      <c r="AT109" s="1129"/>
      <c r="AU109" s="1129"/>
      <c r="AV109" s="1129"/>
      <c r="AW109" s="1129"/>
      <c r="AX109" s="1129"/>
      <c r="AY109" s="1129"/>
      <c r="AZ109" s="1129"/>
      <c r="BA109" s="1129"/>
      <c r="BB109" s="1129"/>
      <c r="BC109" s="1129"/>
      <c r="BD109" s="1129"/>
      <c r="BE109" s="1129"/>
      <c r="BF109" s="1129"/>
      <c r="BG109" s="1129"/>
      <c r="BH109" s="1129"/>
      <c r="BI109" s="1129"/>
      <c r="BJ109" s="1129"/>
      <c r="BK109" s="1129"/>
      <c r="BL109" s="1129"/>
      <c r="BM109" s="1129"/>
      <c r="BN109" s="1129"/>
      <c r="BO109" s="1129"/>
      <c r="BP109" s="1129"/>
      <c r="BQ109" s="1129"/>
      <c r="BR109" s="1129"/>
      <c r="BS109" s="1129"/>
      <c r="BT109" s="1129"/>
      <c r="BU109" s="1129"/>
      <c r="BV109" s="1129"/>
      <c r="BW109" s="1129"/>
      <c r="BX109" s="1129"/>
      <c r="BY109" s="1129"/>
      <c r="BZ109" s="1129"/>
      <c r="CA109" s="1129"/>
      <c r="CB109" s="1129"/>
      <c r="CC109" s="1129"/>
      <c r="CD109" s="1129"/>
      <c r="CE109" s="1129"/>
      <c r="CF109" s="1129"/>
      <c r="CG109" s="1129"/>
      <c r="CH109" s="1129"/>
      <c r="CI109" s="1129"/>
      <c r="CJ109" s="1129"/>
      <c r="CK109" s="1129"/>
      <c r="CL109" s="1131"/>
      <c r="CM109" s="1131"/>
      <c r="CN109" s="1131"/>
      <c r="CO109" s="1131"/>
      <c r="CP109" s="1131"/>
      <c r="CQ109" s="1131"/>
      <c r="CR109" s="1131"/>
      <c r="CS109" s="1131"/>
      <c r="CT109" s="1131"/>
      <c r="CU109" s="1131"/>
      <c r="CV109" s="1131"/>
      <c r="CW109" s="1131"/>
      <c r="CX109" s="1131"/>
      <c r="CY109" s="1131"/>
      <c r="CZ109" s="1131"/>
      <c r="DA109" s="1131"/>
      <c r="DB109" s="1131"/>
      <c r="DC109" s="1131"/>
      <c r="DD109" s="1131"/>
      <c r="DE109" s="1131"/>
      <c r="DF109" s="1131"/>
      <c r="DG109" s="1131"/>
      <c r="DH109" s="1131"/>
      <c r="DI109" s="1131"/>
      <c r="DJ109" s="1131"/>
      <c r="DK109" s="1131"/>
      <c r="DL109" s="1131"/>
      <c r="DM109" s="1131"/>
      <c r="DN109" s="1131"/>
      <c r="DO109" s="1131"/>
      <c r="DP109" s="1131"/>
      <c r="DQ109" s="1131"/>
      <c r="DR109" s="1131"/>
      <c r="DS109" s="1131"/>
      <c r="DT109" s="1131"/>
      <c r="DU109" s="1131"/>
      <c r="DV109" s="1131"/>
      <c r="DW109" s="1131"/>
      <c r="DX109" s="1131"/>
      <c r="DY109" s="1131"/>
      <c r="DZ109" s="1131"/>
      <c r="EA109" s="1131"/>
      <c r="EB109" s="1131"/>
      <c r="EC109" s="1131"/>
      <c r="ED109" s="1131"/>
      <c r="EE109" s="1131"/>
      <c r="EF109" s="1131"/>
      <c r="EG109" s="1131"/>
      <c r="EH109" s="1131"/>
      <c r="EI109" s="1131"/>
      <c r="EJ109" s="1131"/>
      <c r="EK109" s="1131"/>
      <c r="EL109" s="1131"/>
      <c r="EM109" s="1131"/>
      <c r="EN109" s="1131"/>
      <c r="EO109" s="1131"/>
      <c r="EP109" s="1131"/>
      <c r="EQ109" s="1131"/>
      <c r="ER109" s="1131"/>
      <c r="ES109" s="1131"/>
      <c r="ET109" s="1131"/>
      <c r="EU109" s="1131"/>
      <c r="EV109" s="1131"/>
      <c r="EW109" s="1131"/>
      <c r="EX109" s="1131"/>
      <c r="EY109" s="1131"/>
      <c r="EZ109" s="1131"/>
      <c r="FA109" s="1131"/>
      <c r="FB109" s="1131"/>
      <c r="FC109" s="1131"/>
      <c r="FD109" s="1131"/>
      <c r="FE109" s="1131"/>
      <c r="FF109" s="1131"/>
      <c r="FG109" s="1131"/>
      <c r="FH109" s="1131"/>
      <c r="FI109" s="1131"/>
      <c r="FJ109" s="1131"/>
      <c r="FK109" s="1131"/>
      <c r="FL109" s="1131"/>
      <c r="FM109" s="1131"/>
      <c r="FN109" s="1131"/>
      <c r="FO109" s="1131"/>
      <c r="FP109" s="1131"/>
      <c r="FQ109" s="1131"/>
      <c r="FR109" s="1131"/>
      <c r="FS109" s="1131"/>
      <c r="FT109" s="1131"/>
      <c r="FU109" s="1131"/>
      <c r="FV109" s="1132"/>
      <c r="FW109" s="1126"/>
      <c r="FX109" s="1127"/>
    </row>
    <row r="110" spans="1:184" s="853" customFormat="1" ht="24.75" customHeight="1">
      <c r="B110" s="851"/>
      <c r="C110" s="852"/>
      <c r="D110" s="852"/>
      <c r="E110" s="1759"/>
      <c r="F110" s="1133">
        <v>1</v>
      </c>
      <c r="G110" s="1134"/>
      <c r="H110" s="1135"/>
      <c r="I110" s="1903"/>
      <c r="J110" s="1136"/>
      <c r="K110" s="1136"/>
      <c r="L110" s="1136"/>
      <c r="M110" s="1136"/>
      <c r="N110" s="1136"/>
      <c r="O110" s="1137"/>
      <c r="P110" s="1137"/>
      <c r="Q110" s="1137"/>
      <c r="R110" s="1137"/>
      <c r="S110" s="1137"/>
      <c r="T110" s="1137"/>
      <c r="U110" s="1137"/>
      <c r="V110" s="1137"/>
      <c r="W110" s="1137"/>
      <c r="X110" s="1137"/>
      <c r="Y110" s="1137"/>
      <c r="Z110" s="1137"/>
      <c r="AA110" s="1137"/>
      <c r="AB110" s="1137"/>
      <c r="AC110" s="1136"/>
      <c r="AD110" s="1136"/>
      <c r="AE110" s="1136"/>
      <c r="AF110" s="1136"/>
      <c r="AG110" s="1136"/>
      <c r="AH110" s="1136"/>
      <c r="AI110" s="1136"/>
      <c r="AJ110" s="1136"/>
      <c r="AK110" s="1136"/>
      <c r="AL110" s="1136"/>
      <c r="AM110" s="1136"/>
      <c r="AN110" s="1136"/>
      <c r="AO110" s="1136"/>
      <c r="AP110" s="1136"/>
      <c r="AQ110" s="1136"/>
      <c r="AR110" s="1136"/>
      <c r="AS110" s="1136"/>
      <c r="AT110" s="1136"/>
      <c r="AU110" s="1136"/>
      <c r="AV110" s="1136"/>
      <c r="AW110" s="1136"/>
      <c r="AX110" s="1136"/>
      <c r="AY110" s="1136"/>
      <c r="AZ110" s="1136"/>
      <c r="BA110" s="1136"/>
      <c r="BB110" s="1136"/>
      <c r="BC110" s="1136"/>
      <c r="BD110" s="1136"/>
      <c r="BE110" s="1136"/>
      <c r="BF110" s="1136"/>
      <c r="BG110" s="1136"/>
      <c r="BH110" s="1136"/>
      <c r="BI110" s="1136"/>
      <c r="BJ110" s="1136"/>
      <c r="BK110" s="1136"/>
      <c r="BL110" s="1136"/>
      <c r="BM110" s="1136"/>
      <c r="BN110" s="1136"/>
      <c r="BO110" s="1136"/>
      <c r="BP110" s="1136"/>
      <c r="BQ110" s="1136"/>
      <c r="BR110" s="1136"/>
      <c r="BS110" s="1136"/>
      <c r="BT110" s="1137"/>
      <c r="BU110" s="1137"/>
      <c r="BV110" s="1137"/>
      <c r="BW110" s="1137"/>
      <c r="BX110" s="1137"/>
      <c r="BY110" s="1137"/>
      <c r="BZ110" s="1137"/>
      <c r="CA110" s="1137"/>
      <c r="CB110" s="1137"/>
      <c r="CC110" s="1137"/>
      <c r="CD110" s="1137"/>
      <c r="CE110" s="1137"/>
      <c r="CF110" s="1137"/>
      <c r="CG110" s="1137"/>
      <c r="CH110" s="1137"/>
      <c r="CI110" s="1137"/>
      <c r="CJ110" s="1137"/>
      <c r="CK110" s="1137"/>
      <c r="CL110" s="1136"/>
      <c r="CM110" s="1136"/>
      <c r="CN110" s="1136"/>
      <c r="CO110" s="1136"/>
      <c r="CP110" s="1136"/>
      <c r="CQ110" s="1136"/>
      <c r="CR110" s="1136"/>
      <c r="CS110" s="1136"/>
      <c r="CT110" s="1136"/>
      <c r="CU110" s="1136"/>
      <c r="CV110" s="1136"/>
      <c r="CW110" s="1136"/>
      <c r="CX110" s="1136"/>
      <c r="CY110" s="1137"/>
      <c r="CZ110" s="1137"/>
      <c r="DA110" s="1137"/>
      <c r="DB110" s="1137"/>
      <c r="DC110" s="1137"/>
      <c r="DD110" s="1137"/>
      <c r="DE110" s="1137"/>
      <c r="DF110" s="1137"/>
      <c r="DG110" s="1137"/>
      <c r="DH110" s="1137"/>
      <c r="DI110" s="1137"/>
      <c r="DJ110" s="1137"/>
      <c r="DK110" s="1136"/>
      <c r="DL110" s="1136"/>
      <c r="DM110" s="1136"/>
      <c r="DN110" s="1136"/>
      <c r="DO110" s="1136"/>
      <c r="DP110" s="1136"/>
      <c r="DQ110" s="1136"/>
      <c r="DR110" s="1136"/>
      <c r="DS110" s="1136"/>
      <c r="DT110" s="1136"/>
      <c r="DU110" s="1136"/>
      <c r="DV110" s="1136"/>
      <c r="DW110" s="1136"/>
      <c r="DX110" s="1136"/>
      <c r="DY110" s="1136"/>
      <c r="DZ110" s="1136"/>
      <c r="EA110" s="1136"/>
      <c r="EB110" s="1136"/>
      <c r="EC110" s="1136"/>
      <c r="ED110" s="1136"/>
      <c r="EE110" s="1136"/>
      <c r="EF110" s="1136"/>
      <c r="EG110" s="1136"/>
      <c r="EH110" s="1136"/>
      <c r="EI110" s="1136"/>
      <c r="EJ110" s="1136"/>
      <c r="EK110" s="1136"/>
      <c r="EL110" s="1136"/>
      <c r="EM110" s="1136"/>
      <c r="EN110" s="1136"/>
      <c r="EO110" s="1136"/>
      <c r="EP110" s="1136"/>
      <c r="EQ110" s="1136"/>
      <c r="ER110" s="1136"/>
      <c r="ES110" s="1136"/>
      <c r="ET110" s="1136"/>
      <c r="EU110" s="1136"/>
      <c r="EV110" s="1136"/>
      <c r="EW110" s="1136"/>
      <c r="EX110" s="1136"/>
      <c r="EY110" s="1136"/>
      <c r="EZ110" s="1136"/>
      <c r="FA110" s="1136"/>
      <c r="FB110" s="1136"/>
      <c r="FC110" s="1136"/>
      <c r="FD110" s="1136"/>
      <c r="FE110" s="1136"/>
      <c r="FF110" s="1136"/>
      <c r="FG110" s="1136"/>
      <c r="FH110" s="1136"/>
      <c r="FI110" s="1136"/>
      <c r="FJ110" s="1136"/>
      <c r="FK110" s="1136"/>
      <c r="FL110" s="1136"/>
      <c r="FM110" s="1136"/>
      <c r="FN110" s="1136"/>
      <c r="FO110" s="1136"/>
      <c r="FP110" s="1136"/>
      <c r="FQ110" s="1136"/>
      <c r="FR110" s="1136"/>
      <c r="FS110" s="1136"/>
      <c r="FT110" s="1136"/>
      <c r="FU110" s="1136"/>
      <c r="FV110" s="1136"/>
      <c r="FW110" s="1136"/>
      <c r="FX110" s="1127"/>
    </row>
    <row r="111" spans="1:184" s="853" customFormat="1" ht="12" customHeight="1">
      <c r="A111" s="852"/>
      <c r="B111" s="851"/>
      <c r="C111" s="852"/>
      <c r="D111" s="852"/>
      <c r="E111" s="852"/>
      <c r="F111" s="1138"/>
      <c r="G111" s="1725" t="s">
        <v>1928</v>
      </c>
      <c r="H111" s="1139"/>
      <c r="I111" s="1139"/>
      <c r="J111" s="1139"/>
      <c r="K111" s="1139"/>
      <c r="L111" s="1139"/>
      <c r="M111" s="1139"/>
      <c r="N111" s="1139"/>
      <c r="O111" s="1139"/>
      <c r="P111" s="1139"/>
      <c r="Q111" s="1139"/>
      <c r="R111" s="1139"/>
      <c r="S111" s="1139"/>
      <c r="T111" s="1139"/>
      <c r="U111" s="1139"/>
      <c r="V111" s="1139"/>
      <c r="W111" s="1139"/>
      <c r="X111" s="1139"/>
      <c r="Y111" s="1139"/>
      <c r="Z111" s="1139"/>
      <c r="AA111" s="1139"/>
      <c r="AB111" s="1139"/>
      <c r="AC111" s="1139"/>
      <c r="AD111" s="1139"/>
      <c r="AE111" s="1139"/>
      <c r="AF111" s="1139"/>
      <c r="AG111" s="1139"/>
      <c r="AH111" s="1139"/>
      <c r="AI111" s="1139"/>
      <c r="AJ111" s="1139"/>
      <c r="AK111" s="1139"/>
      <c r="AL111" s="1139"/>
      <c r="AM111" s="1139"/>
      <c r="AN111" s="1139"/>
      <c r="AO111" s="1139"/>
      <c r="AP111" s="1139"/>
      <c r="AQ111" s="1139"/>
      <c r="AR111" s="1139"/>
      <c r="AS111" s="1139"/>
      <c r="AT111" s="1139"/>
      <c r="AU111" s="1139"/>
      <c r="AV111" s="1139"/>
      <c r="AW111" s="1139"/>
      <c r="AX111" s="1139"/>
      <c r="AY111" s="1139"/>
      <c r="AZ111" s="1139"/>
      <c r="BA111" s="1139"/>
      <c r="BB111" s="1139"/>
      <c r="BC111" s="1139"/>
      <c r="BD111" s="1139"/>
      <c r="BE111" s="1139"/>
      <c r="BF111" s="1139"/>
      <c r="BG111" s="1139"/>
      <c r="BH111" s="1139"/>
      <c r="BI111" s="1139"/>
      <c r="BJ111" s="1139"/>
      <c r="BK111" s="1139"/>
      <c r="BL111" s="1139"/>
      <c r="BM111" s="1139"/>
      <c r="BN111" s="1139"/>
      <c r="BO111" s="1139"/>
      <c r="BP111" s="1139"/>
      <c r="BQ111" s="1139"/>
      <c r="BR111" s="1139"/>
      <c r="BS111" s="1139"/>
      <c r="BT111" s="1139"/>
      <c r="BU111" s="1139"/>
      <c r="BV111" s="1139"/>
      <c r="BW111" s="1139"/>
      <c r="BX111" s="1139"/>
      <c r="BY111" s="1139"/>
      <c r="BZ111" s="1139"/>
      <c r="CA111" s="1139"/>
      <c r="CB111" s="1139"/>
      <c r="CC111" s="1139"/>
      <c r="CD111" s="1139"/>
      <c r="CE111" s="1139"/>
      <c r="CF111" s="1139"/>
      <c r="CG111" s="1139"/>
      <c r="CH111" s="1139"/>
      <c r="CI111" s="1139"/>
      <c r="CJ111" s="1139"/>
      <c r="CK111" s="1139"/>
      <c r="CL111" s="1139"/>
      <c r="CM111" s="1139"/>
      <c r="CN111" s="1139"/>
      <c r="CO111" s="1139"/>
      <c r="CP111" s="1139"/>
      <c r="CQ111" s="1139"/>
      <c r="CR111" s="1139"/>
      <c r="CS111" s="1139"/>
      <c r="CT111" s="1139"/>
      <c r="CU111" s="1139"/>
      <c r="CV111" s="1139"/>
      <c r="CW111" s="1139"/>
      <c r="CX111" s="1139"/>
      <c r="CY111" s="1139"/>
      <c r="CZ111" s="1139"/>
      <c r="DA111" s="1139"/>
      <c r="DB111" s="1139"/>
      <c r="DC111" s="1139"/>
      <c r="DD111" s="1139"/>
      <c r="DE111" s="1139"/>
      <c r="DF111" s="1139"/>
      <c r="DG111" s="1139"/>
      <c r="DH111" s="1139"/>
      <c r="DI111" s="1139"/>
      <c r="DJ111" s="1139"/>
      <c r="DK111" s="1139"/>
      <c r="DL111" s="1139"/>
      <c r="DM111" s="1139"/>
      <c r="DN111" s="1139"/>
      <c r="DO111" s="1139"/>
      <c r="DP111" s="1139"/>
      <c r="DQ111" s="1139"/>
      <c r="DR111" s="1139"/>
      <c r="DS111" s="1139"/>
      <c r="DT111" s="1139"/>
      <c r="DU111" s="1139"/>
      <c r="DV111" s="1139"/>
      <c r="DW111" s="1139"/>
      <c r="DX111" s="1139"/>
      <c r="DY111" s="1139"/>
      <c r="DZ111" s="1139"/>
      <c r="EA111" s="1139"/>
      <c r="EB111" s="1139"/>
      <c r="EC111" s="1139"/>
      <c r="ED111" s="1139"/>
      <c r="EE111" s="1139"/>
      <c r="EF111" s="1139"/>
      <c r="EG111" s="1139"/>
      <c r="EH111" s="1139"/>
      <c r="EI111" s="1139"/>
      <c r="EJ111" s="1139"/>
      <c r="EK111" s="1139"/>
      <c r="EL111" s="1139"/>
      <c r="EM111" s="1139"/>
      <c r="EN111" s="1139"/>
      <c r="EO111" s="1139"/>
      <c r="EP111" s="1139"/>
      <c r="EQ111" s="1139"/>
      <c r="ER111" s="1139"/>
      <c r="ES111" s="1139"/>
      <c r="ET111" s="1139"/>
      <c r="EU111" s="1139"/>
      <c r="EV111" s="1139"/>
      <c r="EW111" s="1139"/>
      <c r="EX111" s="1139"/>
      <c r="EY111" s="1139"/>
      <c r="EZ111" s="1139"/>
      <c r="FA111" s="1139"/>
      <c r="FB111" s="1139"/>
      <c r="FC111" s="1139"/>
      <c r="FD111" s="1139"/>
      <c r="FE111" s="1139"/>
      <c r="FF111" s="1139"/>
      <c r="FG111" s="1139"/>
      <c r="FH111" s="1139"/>
      <c r="FI111" s="1139"/>
      <c r="FJ111" s="1139"/>
      <c r="FK111" s="1139"/>
      <c r="FL111" s="1139"/>
      <c r="FM111" s="1139"/>
      <c r="FN111" s="1139"/>
      <c r="FO111" s="1139"/>
      <c r="FP111" s="1139"/>
      <c r="FQ111" s="1139"/>
      <c r="FR111" s="1139"/>
      <c r="FS111" s="1139"/>
      <c r="FT111" s="1139"/>
      <c r="FU111" s="1139"/>
      <c r="FV111" s="1139"/>
      <c r="FW111" s="1140"/>
      <c r="FX111" s="1141"/>
      <c r="FY111" s="869"/>
      <c r="FZ111" s="869"/>
      <c r="GA111" s="869"/>
      <c r="GB111" s="869"/>
    </row>
    <row r="113" spans="1:83" s="1740" customFormat="1" ht="11.25" customHeight="1">
      <c r="A113" s="1740" t="s">
        <v>1929</v>
      </c>
    </row>
    <row r="115" spans="1:83" s="1774" customFormat="1" ht="15" customHeight="1">
      <c r="A115" s="558"/>
      <c r="B115" s="559"/>
      <c r="C115" s="559"/>
      <c r="D115" s="2437" t="s">
        <v>109</v>
      </c>
      <c r="E115" s="2277" t="s">
        <v>105</v>
      </c>
      <c r="F115" s="2278"/>
      <c r="G115" s="2279"/>
      <c r="H115" s="2283" t="str">
        <f>IF(A115="","",INDEX(DIFFERENTIATION_UNMERGE_VD,MATCH(A115,DIFFERENTIATION_ID_DIFF,0)))</f>
        <v/>
      </c>
      <c r="I115" s="2283"/>
      <c r="J115" s="2283"/>
      <c r="K115" s="2283"/>
      <c r="L115" s="2283"/>
      <c r="M115" s="2283"/>
      <c r="N115" s="2283"/>
      <c r="O115" s="2283"/>
      <c r="P115" s="2283"/>
      <c r="Q115" s="2283"/>
      <c r="R115" s="2283"/>
      <c r="S115" s="654"/>
      <c r="T115" s="651"/>
      <c r="U115" s="560"/>
      <c r="V115" s="560"/>
      <c r="W115" s="561"/>
      <c r="X115" s="561"/>
      <c r="Y115" s="561"/>
      <c r="Z115" s="561"/>
      <c r="AA115" s="562"/>
      <c r="AB115" s="563"/>
      <c r="AC115" s="2275"/>
      <c r="AD115" s="564"/>
      <c r="AE115" s="565" t="s">
        <v>22</v>
      </c>
      <c r="AF115" s="565"/>
      <c r="AG115" s="566" t="s">
        <v>608</v>
      </c>
      <c r="AH115" s="567">
        <v>3</v>
      </c>
      <c r="AI115" s="560"/>
      <c r="AJ115" s="560"/>
      <c r="AK115" s="560"/>
      <c r="AL115" s="560"/>
      <c r="AM115" s="560"/>
      <c r="AN115" s="560"/>
      <c r="AO115" s="560"/>
      <c r="AP115" s="560"/>
      <c r="AQ115" s="560"/>
      <c r="AR115" s="560"/>
      <c r="AS115" s="560"/>
      <c r="AT115" s="560"/>
      <c r="AU115" s="560"/>
      <c r="AV115" s="560"/>
      <c r="AW115" s="560"/>
      <c r="AX115" s="560"/>
      <c r="AY115" s="560"/>
      <c r="AZ115" s="560"/>
      <c r="BA115" s="560"/>
      <c r="BB115" s="560"/>
      <c r="BC115" s="560"/>
      <c r="BD115" s="560"/>
      <c r="BE115" s="560"/>
      <c r="BF115" s="560"/>
      <c r="BG115" s="560"/>
      <c r="BH115" s="560"/>
      <c r="BI115" s="560"/>
      <c r="BJ115" s="560"/>
      <c r="BK115" s="560"/>
      <c r="BL115" s="560"/>
      <c r="BM115" s="560"/>
      <c r="BN115" s="560"/>
      <c r="BO115" s="560"/>
      <c r="BP115" s="560"/>
      <c r="BQ115" s="560"/>
      <c r="BR115" s="560"/>
      <c r="BS115" s="560"/>
      <c r="BT115" s="560"/>
      <c r="BU115" s="560"/>
      <c r="BV115" s="561"/>
      <c r="BW115" s="561"/>
      <c r="BX115" s="561"/>
      <c r="BY115" s="561"/>
      <c r="BZ115" s="561"/>
      <c r="CA115" s="561"/>
      <c r="CB115" s="561"/>
      <c r="CC115" s="561"/>
      <c r="CD115" s="561"/>
      <c r="CE115" s="561"/>
    </row>
    <row r="116" spans="1:83" s="1774" customFormat="1" ht="15" customHeight="1">
      <c r="A116" s="558"/>
      <c r="B116" s="559"/>
      <c r="C116" s="559"/>
      <c r="D116" s="2438"/>
      <c r="E116" s="2277" t="s">
        <v>563</v>
      </c>
      <c r="F116" s="2278"/>
      <c r="G116" s="2279"/>
      <c r="H116" s="2283" t="str">
        <f>IF(A115="","",INDEX(DIFFERENTIATION_UNMERGE_AREA,MATCH(A115,DIFFERENTIATION_ID_DIFF,0)))</f>
        <v/>
      </c>
      <c r="I116" s="2283"/>
      <c r="J116" s="2283"/>
      <c r="K116" s="2283"/>
      <c r="L116" s="2283"/>
      <c r="M116" s="2283"/>
      <c r="N116" s="2283"/>
      <c r="O116" s="2283"/>
      <c r="P116" s="2283"/>
      <c r="Q116" s="2283"/>
      <c r="R116" s="2283"/>
      <c r="S116" s="654"/>
      <c r="T116" s="651"/>
      <c r="U116" s="560"/>
      <c r="V116" s="560"/>
      <c r="W116" s="561"/>
      <c r="X116" s="561"/>
      <c r="Y116" s="561"/>
      <c r="Z116" s="561"/>
      <c r="AA116" s="562"/>
      <c r="AB116" s="563"/>
      <c r="AC116" s="2275"/>
      <c r="AD116" s="564"/>
      <c r="AE116" s="565"/>
      <c r="AF116" s="565"/>
      <c r="AG116" s="566"/>
      <c r="AH116" s="567"/>
      <c r="AI116" s="560"/>
      <c r="AJ116" s="560"/>
      <c r="AK116" s="560"/>
      <c r="AL116" s="560"/>
      <c r="AM116" s="560"/>
      <c r="AN116" s="560"/>
      <c r="AO116" s="560"/>
      <c r="AP116" s="560"/>
      <c r="AQ116" s="560"/>
      <c r="AR116" s="560"/>
      <c r="AS116" s="560"/>
      <c r="AT116" s="560"/>
      <c r="AU116" s="560"/>
      <c r="AV116" s="560"/>
      <c r="AW116" s="560"/>
      <c r="AX116" s="560"/>
      <c r="AY116" s="560"/>
      <c r="AZ116" s="560"/>
      <c r="BA116" s="560"/>
      <c r="BB116" s="560"/>
      <c r="BC116" s="560"/>
      <c r="BD116" s="560"/>
      <c r="BE116" s="560"/>
      <c r="BF116" s="560"/>
      <c r="BG116" s="560"/>
      <c r="BH116" s="560"/>
      <c r="BI116" s="560"/>
      <c r="BJ116" s="560"/>
      <c r="BK116" s="560"/>
      <c r="BL116" s="560"/>
      <c r="BM116" s="560"/>
      <c r="BN116" s="560"/>
      <c r="BO116" s="560"/>
      <c r="BP116" s="560"/>
      <c r="BQ116" s="560"/>
      <c r="BR116" s="560"/>
      <c r="BS116" s="560"/>
      <c r="BT116" s="560"/>
      <c r="BU116" s="560"/>
      <c r="BV116" s="561"/>
      <c r="BW116" s="561"/>
      <c r="BX116" s="561"/>
      <c r="BY116" s="561"/>
      <c r="BZ116" s="561"/>
      <c r="CA116" s="561"/>
      <c r="CB116" s="561"/>
      <c r="CC116" s="561"/>
      <c r="CD116" s="561"/>
      <c r="CE116" s="561"/>
    </row>
    <row r="117" spans="1:83" s="1774" customFormat="1" ht="15" customHeight="1">
      <c r="A117" s="558"/>
      <c r="B117" s="559"/>
      <c r="C117" s="559"/>
      <c r="D117" s="2438"/>
      <c r="E117" s="2277" t="s">
        <v>564</v>
      </c>
      <c r="F117" s="2278"/>
      <c r="G117" s="2279"/>
      <c r="H117" s="2283" t="str">
        <f>IF(A115="","",INDEX(DIFFERENTIATION_UNMERGE_SYSTEM,MATCH(A115,DIFFERENTIATION_ID_DIFF,0)))</f>
        <v/>
      </c>
      <c r="I117" s="2283"/>
      <c r="J117" s="2283"/>
      <c r="K117" s="2283"/>
      <c r="L117" s="2283"/>
      <c r="M117" s="2283"/>
      <c r="N117" s="2283"/>
      <c r="O117" s="2283"/>
      <c r="P117" s="2283"/>
      <c r="Q117" s="2283"/>
      <c r="R117" s="2283"/>
      <c r="S117" s="654"/>
      <c r="T117" s="651"/>
      <c r="U117" s="560"/>
      <c r="V117" s="560"/>
      <c r="W117" s="561"/>
      <c r="X117" s="561"/>
      <c r="Y117" s="561"/>
      <c r="Z117" s="561"/>
      <c r="AA117" s="562"/>
      <c r="AB117" s="563"/>
      <c r="AC117" s="2275"/>
      <c r="AD117" s="564"/>
      <c r="AE117" s="565"/>
      <c r="AF117" s="565"/>
      <c r="AG117" s="566"/>
      <c r="AH117" s="567"/>
      <c r="AI117" s="560"/>
      <c r="AJ117" s="560"/>
      <c r="AK117" s="560"/>
      <c r="AL117" s="560"/>
      <c r="AM117" s="560"/>
      <c r="AN117" s="560"/>
      <c r="AO117" s="560"/>
      <c r="AP117" s="560"/>
      <c r="AQ117" s="560"/>
      <c r="AR117" s="560"/>
      <c r="AS117" s="560"/>
      <c r="AT117" s="560"/>
      <c r="AU117" s="560"/>
      <c r="AV117" s="560"/>
      <c r="AW117" s="560"/>
      <c r="AX117" s="560"/>
      <c r="AY117" s="560"/>
      <c r="AZ117" s="560"/>
      <c r="BA117" s="560"/>
      <c r="BB117" s="560"/>
      <c r="BC117" s="560"/>
      <c r="BD117" s="560"/>
      <c r="BE117" s="560"/>
      <c r="BF117" s="560"/>
      <c r="BG117" s="560"/>
      <c r="BH117" s="560"/>
      <c r="BI117" s="560"/>
      <c r="BJ117" s="560"/>
      <c r="BK117" s="560"/>
      <c r="BL117" s="560"/>
      <c r="BM117" s="560"/>
      <c r="BN117" s="560"/>
      <c r="BO117" s="560"/>
      <c r="BP117" s="560"/>
      <c r="BQ117" s="560"/>
      <c r="BR117" s="560"/>
      <c r="BS117" s="560"/>
      <c r="BT117" s="560"/>
      <c r="BU117" s="560"/>
      <c r="BV117" s="561"/>
      <c r="BW117" s="561"/>
      <c r="BX117" s="561"/>
      <c r="BY117" s="561"/>
      <c r="BZ117" s="561"/>
      <c r="CA117" s="561"/>
      <c r="CB117" s="561"/>
      <c r="CC117" s="561"/>
      <c r="CD117" s="561"/>
      <c r="CE117" s="561"/>
    </row>
    <row r="118" spans="1:83" s="1774" customFormat="1" ht="24.75" customHeight="1">
      <c r="A118" s="1731"/>
      <c r="B118" s="1085"/>
      <c r="C118" s="347"/>
      <c r="D118" s="2438"/>
      <c r="E118" s="2276" t="s">
        <v>609</v>
      </c>
      <c r="F118" s="2276"/>
      <c r="G118" s="2276"/>
      <c r="H118" s="2276"/>
      <c r="I118" s="2276"/>
      <c r="J118" s="2276"/>
      <c r="K118" s="2276"/>
      <c r="L118" s="2276"/>
      <c r="M118" s="2276"/>
      <c r="N118" s="2276"/>
      <c r="O118" s="2276"/>
      <c r="P118" s="2276"/>
      <c r="Q118" s="493">
        <f>SUMIF(T119:T120,"i",Q119:Q120)</f>
        <v>0</v>
      </c>
      <c r="R118" s="945"/>
      <c r="S118" s="1723" t="s">
        <v>610</v>
      </c>
      <c r="T118" s="652" t="s">
        <v>611</v>
      </c>
      <c r="U118" s="2185">
        <v>1</v>
      </c>
      <c r="V118" s="2185" t="s">
        <v>574</v>
      </c>
      <c r="W118" s="1085"/>
      <c r="X118" s="1085"/>
      <c r="Y118" s="1085"/>
      <c r="Z118" s="1085"/>
      <c r="AA118" s="1561"/>
      <c r="AB118" s="1085"/>
      <c r="AC118" s="2275"/>
      <c r="AD118" s="564"/>
      <c r="AE118" s="1085"/>
      <c r="AF118" s="1085"/>
      <c r="AG118" s="1561"/>
      <c r="AH118" s="1561"/>
      <c r="AI118" s="1561"/>
      <c r="AJ118" s="1561"/>
      <c r="AK118" s="1561"/>
      <c r="AL118" s="1561"/>
      <c r="AM118" s="1561"/>
      <c r="AN118" s="1561"/>
      <c r="AO118" s="1561"/>
      <c r="AP118" s="1561"/>
      <c r="AQ118" s="1561"/>
      <c r="AR118" s="1561"/>
      <c r="AS118" s="1561"/>
      <c r="AT118" s="1561"/>
      <c r="AU118" s="1561"/>
      <c r="AV118" s="1561"/>
      <c r="AW118" s="1561"/>
      <c r="AX118" s="1561"/>
      <c r="AY118" s="1561"/>
      <c r="AZ118" s="1561"/>
      <c r="BA118" s="1561"/>
      <c r="BB118" s="1561"/>
      <c r="BC118" s="1561"/>
      <c r="BD118" s="1561"/>
      <c r="BE118" s="1561"/>
      <c r="BF118" s="1561"/>
      <c r="BG118" s="1561"/>
      <c r="BH118" s="1561"/>
      <c r="BI118" s="1561"/>
      <c r="BJ118" s="1561"/>
      <c r="BK118" s="1561"/>
      <c r="BL118" s="1561"/>
      <c r="BM118" s="1561"/>
      <c r="BN118" s="1561"/>
      <c r="BO118" s="1561"/>
      <c r="BP118" s="1561"/>
      <c r="BQ118" s="1561"/>
      <c r="BR118" s="1561"/>
      <c r="BS118" s="1561"/>
      <c r="BT118" s="1561"/>
      <c r="BU118" s="1561"/>
      <c r="BV118" s="1085"/>
      <c r="BW118" s="1085"/>
      <c r="BX118" s="1085"/>
      <c r="BY118" s="1085"/>
      <c r="BZ118" s="1085"/>
      <c r="CA118" s="1085"/>
      <c r="CB118" s="1085"/>
      <c r="CC118" s="1085"/>
      <c r="CD118" s="1085"/>
      <c r="CE118" s="1085"/>
    </row>
    <row r="119" spans="1:83" s="1774" customFormat="1" ht="11.25" hidden="1" customHeight="1">
      <c r="A119" s="1718"/>
      <c r="B119" s="1561"/>
      <c r="C119" s="1561"/>
      <c r="D119" s="2438"/>
      <c r="E119" s="570"/>
      <c r="F119" s="570">
        <v>0</v>
      </c>
      <c r="G119" s="570"/>
      <c r="H119" s="570"/>
      <c r="I119" s="570"/>
      <c r="J119" s="570"/>
      <c r="K119" s="570"/>
      <c r="L119" s="570"/>
      <c r="M119" s="570"/>
      <c r="N119" s="570"/>
      <c r="O119" s="570"/>
      <c r="P119" s="570"/>
      <c r="Q119" s="570"/>
      <c r="R119" s="570"/>
      <c r="S119" s="571"/>
      <c r="T119" s="653"/>
      <c r="U119" s="2185"/>
      <c r="V119" s="2185"/>
      <c r="W119" s="1561"/>
      <c r="X119" s="1561"/>
      <c r="Y119" s="1561"/>
      <c r="Z119" s="1561"/>
      <c r="AA119" s="1561"/>
      <c r="AB119" s="1085"/>
      <c r="AC119" s="2275"/>
      <c r="AD119" s="564"/>
      <c r="AE119" s="1085"/>
      <c r="AF119" s="1085"/>
      <c r="AG119" s="1561"/>
      <c r="AH119" s="1561"/>
      <c r="AI119" s="1561"/>
      <c r="AJ119" s="1561"/>
      <c r="AK119" s="1561"/>
      <c r="AL119" s="1561"/>
      <c r="AM119" s="1561"/>
      <c r="AN119" s="1561"/>
      <c r="AO119" s="1561"/>
      <c r="AP119" s="1561"/>
      <c r="AQ119" s="1561"/>
      <c r="AR119" s="1561"/>
      <c r="AS119" s="1561"/>
      <c r="AT119" s="1561"/>
      <c r="AU119" s="1561"/>
      <c r="AV119" s="1561"/>
      <c r="AW119" s="1561"/>
      <c r="AX119" s="1561"/>
      <c r="AY119" s="1561"/>
      <c r="AZ119" s="1561"/>
      <c r="BA119" s="1561"/>
      <c r="BB119" s="1561"/>
      <c r="BC119" s="1561"/>
      <c r="BD119" s="1561"/>
      <c r="BE119" s="1561"/>
      <c r="BF119" s="1561"/>
      <c r="BG119" s="1561"/>
      <c r="BH119" s="1561"/>
      <c r="BI119" s="1561"/>
      <c r="BJ119" s="1561"/>
      <c r="BK119" s="1561"/>
      <c r="BL119" s="1561"/>
      <c r="BM119" s="1561"/>
      <c r="BN119" s="1561"/>
      <c r="BO119" s="1561"/>
      <c r="BP119" s="1561"/>
      <c r="BQ119" s="1561"/>
      <c r="BR119" s="1561"/>
      <c r="BS119" s="1561"/>
      <c r="BT119" s="1561"/>
      <c r="BU119" s="1561"/>
      <c r="BV119" s="1561"/>
      <c r="BW119" s="1561"/>
      <c r="BX119" s="1561"/>
      <c r="BY119" s="1561"/>
      <c r="BZ119" s="1561"/>
      <c r="CA119" s="1561"/>
      <c r="CB119" s="1561"/>
      <c r="CC119" s="1561"/>
      <c r="CD119" s="1561"/>
      <c r="CE119" s="1561"/>
    </row>
    <row r="120" spans="1:83" s="1774" customFormat="1" ht="11.25" customHeight="1">
      <c r="A120" s="1731"/>
      <c r="B120" s="1085"/>
      <c r="C120" s="347"/>
      <c r="D120" s="2438"/>
      <c r="E120" s="584" t="s">
        <v>22</v>
      </c>
      <c r="F120" s="1093" t="s">
        <v>22</v>
      </c>
      <c r="G120" s="1093" t="s">
        <v>1930</v>
      </c>
      <c r="H120" s="586" t="s">
        <v>22</v>
      </c>
      <c r="I120" s="586"/>
      <c r="J120" s="586"/>
      <c r="K120" s="586"/>
      <c r="L120" s="586"/>
      <c r="M120" s="586"/>
      <c r="N120" s="586"/>
      <c r="O120" s="586"/>
      <c r="P120" s="586"/>
      <c r="Q120" s="586"/>
      <c r="R120" s="587"/>
      <c r="S120" s="588"/>
      <c r="T120" s="653"/>
      <c r="U120" s="2185"/>
      <c r="V120" s="2185"/>
      <c r="W120" s="1085"/>
      <c r="X120" s="1085"/>
      <c r="Y120" s="1085"/>
      <c r="Z120" s="1085"/>
      <c r="AA120" s="1561"/>
      <c r="AB120" s="1085"/>
      <c r="AC120" s="2275"/>
      <c r="AD120" s="564"/>
      <c r="AE120" s="1085"/>
      <c r="AF120" s="1085"/>
      <c r="AG120" s="1561"/>
      <c r="AH120" s="1561"/>
      <c r="AI120" s="1561"/>
      <c r="AJ120" s="1561"/>
      <c r="AK120" s="1561"/>
      <c r="AL120" s="1561"/>
      <c r="AM120" s="1561"/>
      <c r="AN120" s="1561"/>
      <c r="AO120" s="1561"/>
      <c r="AP120" s="1561"/>
      <c r="AQ120" s="1561"/>
      <c r="AR120" s="1561"/>
      <c r="AS120" s="1561"/>
      <c r="AT120" s="1561"/>
      <c r="AU120" s="1561"/>
      <c r="AV120" s="1561"/>
      <c r="AW120" s="1561"/>
      <c r="AX120" s="1561"/>
      <c r="AY120" s="1561"/>
      <c r="AZ120" s="1561"/>
      <c r="BA120" s="1561"/>
      <c r="BB120" s="1561"/>
      <c r="BC120" s="1561"/>
      <c r="BD120" s="1561"/>
      <c r="BE120" s="1561"/>
      <c r="BF120" s="1561"/>
      <c r="BG120" s="1561"/>
      <c r="BH120" s="1561"/>
      <c r="BI120" s="1561"/>
      <c r="BJ120" s="1561"/>
      <c r="BK120" s="1561"/>
      <c r="BL120" s="1561"/>
      <c r="BM120" s="1561"/>
      <c r="BN120" s="1561"/>
      <c r="BO120" s="1561"/>
      <c r="BP120" s="1561"/>
      <c r="BQ120" s="1561"/>
      <c r="BR120" s="1561"/>
      <c r="BS120" s="1561"/>
      <c r="BT120" s="1561"/>
      <c r="BU120" s="1561"/>
      <c r="BV120" s="1085"/>
      <c r="BW120" s="1085"/>
      <c r="BX120" s="1085"/>
      <c r="BY120" s="1085"/>
      <c r="BZ120" s="1085"/>
      <c r="CA120" s="1085"/>
      <c r="CB120" s="1085"/>
      <c r="CC120" s="1085"/>
      <c r="CD120" s="1085"/>
      <c r="CE120" s="1085"/>
    </row>
    <row r="121" spans="1:83" s="1774" customFormat="1" ht="24.75" customHeight="1">
      <c r="A121" s="1731"/>
      <c r="B121" s="1085"/>
      <c r="C121" s="347"/>
      <c r="D121" s="2438"/>
      <c r="E121" s="2276" t="s">
        <v>612</v>
      </c>
      <c r="F121" s="2276"/>
      <c r="G121" s="2276"/>
      <c r="H121" s="2276"/>
      <c r="I121" s="2276"/>
      <c r="J121" s="2276"/>
      <c r="K121" s="2276"/>
      <c r="L121" s="2276"/>
      <c r="M121" s="2276"/>
      <c r="N121" s="2276"/>
      <c r="O121" s="2276"/>
      <c r="P121" s="2276"/>
      <c r="Q121" s="493">
        <f>SUMIF(T122:T123,"i",Q122:Q123)</f>
        <v>0</v>
      </c>
      <c r="R121" s="945"/>
      <c r="S121" s="1723" t="s">
        <v>613</v>
      </c>
      <c r="T121" s="652" t="s">
        <v>611</v>
      </c>
      <c r="U121" s="2185">
        <v>1</v>
      </c>
      <c r="V121" s="2185" t="s">
        <v>574</v>
      </c>
      <c r="W121" s="1085"/>
      <c r="X121" s="1085"/>
      <c r="Y121" s="1085"/>
      <c r="Z121" s="1085"/>
      <c r="AA121" s="1561"/>
      <c r="AB121" s="1085"/>
      <c r="AC121" s="1721"/>
      <c r="AD121" s="564"/>
      <c r="AE121" s="1085"/>
      <c r="AF121" s="1085"/>
      <c r="AG121" s="1561"/>
      <c r="AH121" s="1561"/>
      <c r="AI121" s="1561"/>
      <c r="AJ121" s="1561"/>
      <c r="AK121" s="1561"/>
      <c r="AL121" s="1561"/>
      <c r="AM121" s="1561"/>
      <c r="AN121" s="1561"/>
      <c r="AO121" s="1561"/>
      <c r="AP121" s="1561"/>
      <c r="AQ121" s="1561"/>
      <c r="AR121" s="1561"/>
      <c r="AS121" s="1561"/>
      <c r="AT121" s="1561"/>
      <c r="AU121" s="1561"/>
      <c r="AV121" s="1561"/>
      <c r="AW121" s="1561"/>
      <c r="AX121" s="1561"/>
      <c r="AY121" s="1561"/>
      <c r="AZ121" s="1561"/>
      <c r="BA121" s="1561"/>
      <c r="BB121" s="1561"/>
      <c r="BC121" s="1561"/>
      <c r="BD121" s="1561"/>
      <c r="BE121" s="1561"/>
      <c r="BF121" s="1561"/>
      <c r="BG121" s="1561"/>
      <c r="BH121" s="1561"/>
      <c r="BI121" s="1561"/>
      <c r="BJ121" s="1561"/>
      <c r="BK121" s="1561"/>
      <c r="BL121" s="1561"/>
      <c r="BM121" s="1561"/>
      <c r="BN121" s="1561"/>
      <c r="BO121" s="1561"/>
      <c r="BP121" s="1561"/>
      <c r="BQ121" s="1561"/>
      <c r="BR121" s="1561"/>
      <c r="BS121" s="1561"/>
      <c r="BT121" s="1561"/>
      <c r="BU121" s="1561"/>
      <c r="BV121" s="1085"/>
      <c r="BW121" s="1085"/>
      <c r="BX121" s="1085"/>
      <c r="BY121" s="1085"/>
      <c r="BZ121" s="1085"/>
      <c r="CA121" s="1085"/>
      <c r="CB121" s="1085"/>
      <c r="CC121" s="1085"/>
      <c r="CD121" s="1085"/>
      <c r="CE121" s="1085"/>
    </row>
    <row r="122" spans="1:83" s="1774" customFormat="1" ht="11.25" hidden="1" customHeight="1">
      <c r="A122" s="1718"/>
      <c r="B122" s="1561"/>
      <c r="C122" s="1561"/>
      <c r="D122" s="2438"/>
      <c r="E122" s="570"/>
      <c r="F122" s="570">
        <v>0</v>
      </c>
      <c r="G122" s="570"/>
      <c r="H122" s="570"/>
      <c r="I122" s="570"/>
      <c r="J122" s="570"/>
      <c r="K122" s="570"/>
      <c r="L122" s="570"/>
      <c r="M122" s="570"/>
      <c r="N122" s="570"/>
      <c r="O122" s="570"/>
      <c r="P122" s="570"/>
      <c r="Q122" s="570"/>
      <c r="R122" s="570"/>
      <c r="S122" s="571"/>
      <c r="T122" s="653"/>
      <c r="U122" s="2185"/>
      <c r="V122" s="2185"/>
      <c r="W122" s="1561"/>
      <c r="X122" s="1561"/>
      <c r="Y122" s="1561"/>
      <c r="Z122" s="1561"/>
      <c r="AA122" s="1561"/>
      <c r="AB122" s="1085"/>
      <c r="AC122" s="1721"/>
      <c r="AD122" s="564"/>
      <c r="AE122" s="1085"/>
      <c r="AF122" s="1085"/>
      <c r="AG122" s="1561"/>
      <c r="AH122" s="1561"/>
      <c r="AI122" s="1561"/>
      <c r="AJ122" s="1561"/>
      <c r="AK122" s="1561"/>
      <c r="AL122" s="1561"/>
      <c r="AM122" s="1561"/>
      <c r="AN122" s="1561"/>
      <c r="AO122" s="1561"/>
      <c r="AP122" s="1561"/>
      <c r="AQ122" s="1561"/>
      <c r="AR122" s="1561"/>
      <c r="AS122" s="1561"/>
      <c r="AT122" s="1561"/>
      <c r="AU122" s="1561"/>
      <c r="AV122" s="1561"/>
      <c r="AW122" s="1561"/>
      <c r="AX122" s="1561"/>
      <c r="AY122" s="1561"/>
      <c r="AZ122" s="1561"/>
      <c r="BA122" s="1561"/>
      <c r="BB122" s="1561"/>
      <c r="BC122" s="1561"/>
      <c r="BD122" s="1561"/>
      <c r="BE122" s="1561"/>
      <c r="BF122" s="1561"/>
      <c r="BG122" s="1561"/>
      <c r="BH122" s="1561"/>
      <c r="BI122" s="1561"/>
      <c r="BJ122" s="1561"/>
      <c r="BK122" s="1561"/>
      <c r="BL122" s="1561"/>
      <c r="BM122" s="1561"/>
      <c r="BN122" s="1561"/>
      <c r="BO122" s="1561"/>
      <c r="BP122" s="1561"/>
      <c r="BQ122" s="1561"/>
      <c r="BR122" s="1561"/>
      <c r="BS122" s="1561"/>
      <c r="BT122" s="1561"/>
      <c r="BU122" s="1561"/>
      <c r="BV122" s="1561"/>
      <c r="BW122" s="1561"/>
      <c r="BX122" s="1561"/>
      <c r="BY122" s="1561"/>
      <c r="BZ122" s="1561"/>
      <c r="CA122" s="1561"/>
      <c r="CB122" s="1561"/>
      <c r="CC122" s="1561"/>
      <c r="CD122" s="1561"/>
      <c r="CE122" s="1561"/>
    </row>
    <row r="123" spans="1:83" s="1774" customFormat="1" ht="11.25" customHeight="1">
      <c r="A123" s="1731"/>
      <c r="B123" s="1085"/>
      <c r="C123" s="347"/>
      <c r="D123" s="2439"/>
      <c r="E123" s="584" t="s">
        <v>22</v>
      </c>
      <c r="F123" s="1093" t="s">
        <v>22</v>
      </c>
      <c r="G123" s="1093" t="s">
        <v>1930</v>
      </c>
      <c r="H123" s="586" t="s">
        <v>22</v>
      </c>
      <c r="I123" s="586"/>
      <c r="J123" s="586"/>
      <c r="K123" s="586"/>
      <c r="L123" s="586"/>
      <c r="M123" s="586"/>
      <c r="N123" s="586"/>
      <c r="O123" s="586"/>
      <c r="P123" s="586"/>
      <c r="Q123" s="586"/>
      <c r="R123" s="587"/>
      <c r="S123" s="588"/>
      <c r="T123" s="653"/>
      <c r="U123" s="2185"/>
      <c r="V123" s="2185"/>
      <c r="W123" s="1085"/>
      <c r="X123" s="1085"/>
      <c r="Y123" s="1085"/>
      <c r="Z123" s="1085"/>
      <c r="AA123" s="1561"/>
      <c r="AB123" s="1085"/>
      <c r="AC123" s="1721"/>
      <c r="AD123" s="564"/>
      <c r="AE123" s="1085"/>
      <c r="AF123" s="1085"/>
      <c r="AG123" s="1561"/>
      <c r="AH123" s="1561"/>
      <c r="AI123" s="1561"/>
      <c r="AJ123" s="1561"/>
      <c r="AK123" s="1561"/>
      <c r="AL123" s="1561"/>
      <c r="AM123" s="1561"/>
      <c r="AN123" s="1561"/>
      <c r="AO123" s="1561"/>
      <c r="AP123" s="1561"/>
      <c r="AQ123" s="1561"/>
      <c r="AR123" s="1561"/>
      <c r="AS123" s="1561"/>
      <c r="AT123" s="1561"/>
      <c r="AU123" s="1561"/>
      <c r="AV123" s="1561"/>
      <c r="AW123" s="1561"/>
      <c r="AX123" s="1561"/>
      <c r="AY123" s="1561"/>
      <c r="AZ123" s="1561"/>
      <c r="BA123" s="1561"/>
      <c r="BB123" s="1561"/>
      <c r="BC123" s="1561"/>
      <c r="BD123" s="1561"/>
      <c r="BE123" s="1561"/>
      <c r="BF123" s="1561"/>
      <c r="BG123" s="1561"/>
      <c r="BH123" s="1561"/>
      <c r="BI123" s="1561"/>
      <c r="BJ123" s="1561"/>
      <c r="BK123" s="1561"/>
      <c r="BL123" s="1561"/>
      <c r="BM123" s="1561"/>
      <c r="BN123" s="1561"/>
      <c r="BO123" s="1561"/>
      <c r="BP123" s="1561"/>
      <c r="BQ123" s="1561"/>
      <c r="BR123" s="1561"/>
      <c r="BS123" s="1561"/>
      <c r="BT123" s="1561"/>
      <c r="BU123" s="1561"/>
      <c r="BV123" s="1085"/>
      <c r="BW123" s="1085"/>
      <c r="BX123" s="1085"/>
      <c r="BY123" s="1085"/>
      <c r="BZ123" s="1085"/>
      <c r="CA123" s="1085"/>
      <c r="CB123" s="1085"/>
      <c r="CC123" s="1085"/>
      <c r="CD123" s="1085"/>
      <c r="CE123" s="1085"/>
    </row>
    <row r="125" spans="1:83" s="1740" customFormat="1" ht="11.25" customHeight="1">
      <c r="A125" s="1740" t="s">
        <v>1931</v>
      </c>
    </row>
    <row r="127" spans="1:83" s="1774" customFormat="1" ht="15" customHeight="1">
      <c r="A127" s="558"/>
      <c r="B127" s="559"/>
      <c r="C127" s="559"/>
      <c r="D127" s="2437" t="s">
        <v>109</v>
      </c>
      <c r="E127" s="2277" t="s">
        <v>105</v>
      </c>
      <c r="F127" s="2278"/>
      <c r="G127" s="2279"/>
      <c r="H127" s="2283" t="str">
        <f>IF(A127="","",INDEX(DIFFERENTIATION_UNMERGE_VD,MATCH(A127,DIFFERENTIATION_ID_DIFF,0)))</f>
        <v/>
      </c>
      <c r="I127" s="2283"/>
      <c r="J127" s="2283"/>
      <c r="K127" s="2283"/>
      <c r="L127" s="2283"/>
      <c r="M127" s="2283"/>
      <c r="N127" s="2283"/>
      <c r="O127" s="2283"/>
      <c r="P127" s="2283"/>
      <c r="Q127" s="2283"/>
      <c r="R127" s="2283"/>
      <c r="S127" s="654"/>
      <c r="T127" s="651"/>
      <c r="U127" s="560"/>
      <c r="V127" s="560"/>
      <c r="W127" s="561"/>
      <c r="X127" s="561"/>
      <c r="Y127" s="561"/>
      <c r="Z127" s="561"/>
      <c r="AA127" s="562"/>
      <c r="AB127" s="563"/>
      <c r="AC127" s="2275"/>
      <c r="AD127" s="564"/>
      <c r="AE127" s="565" t="s">
        <v>22</v>
      </c>
      <c r="AF127" s="565"/>
      <c r="AG127" s="566" t="s">
        <v>608</v>
      </c>
      <c r="AH127" s="567">
        <v>3</v>
      </c>
      <c r="AI127" s="560"/>
      <c r="AJ127" s="560"/>
      <c r="AK127" s="560"/>
      <c r="AL127" s="560"/>
      <c r="AM127" s="560"/>
      <c r="AN127" s="560"/>
      <c r="AO127" s="560"/>
      <c r="AP127" s="560"/>
      <c r="AQ127" s="560"/>
      <c r="AR127" s="560"/>
      <c r="AS127" s="560"/>
      <c r="AT127" s="560"/>
      <c r="AU127" s="560"/>
      <c r="AV127" s="560"/>
      <c r="AW127" s="560"/>
      <c r="AX127" s="560"/>
      <c r="AY127" s="560"/>
      <c r="AZ127" s="560"/>
      <c r="BA127" s="560"/>
      <c r="BB127" s="560"/>
      <c r="BC127" s="560"/>
      <c r="BD127" s="560"/>
      <c r="BE127" s="560"/>
      <c r="BF127" s="560"/>
      <c r="BG127" s="560"/>
      <c r="BH127" s="560"/>
      <c r="BI127" s="560"/>
      <c r="BJ127" s="560"/>
      <c r="BK127" s="560"/>
      <c r="BL127" s="560"/>
      <c r="BM127" s="560"/>
      <c r="BN127" s="560"/>
      <c r="BO127" s="560"/>
      <c r="BP127" s="560"/>
      <c r="BQ127" s="560"/>
      <c r="BR127" s="560"/>
      <c r="BS127" s="560"/>
      <c r="BT127" s="560"/>
      <c r="BU127" s="560"/>
      <c r="BV127" s="561"/>
      <c r="BW127" s="561"/>
      <c r="BX127" s="561"/>
      <c r="BY127" s="561"/>
      <c r="BZ127" s="561"/>
      <c r="CA127" s="561"/>
      <c r="CB127" s="561"/>
      <c r="CC127" s="561"/>
      <c r="CD127" s="561"/>
      <c r="CE127" s="561"/>
    </row>
    <row r="128" spans="1:83" s="1774" customFormat="1" ht="15" customHeight="1">
      <c r="A128" s="558"/>
      <c r="B128" s="559"/>
      <c r="C128" s="559"/>
      <c r="D128" s="2438"/>
      <c r="E128" s="2277" t="s">
        <v>563</v>
      </c>
      <c r="F128" s="2278"/>
      <c r="G128" s="2279"/>
      <c r="H128" s="2283" t="str">
        <f>IF(A127="","",INDEX(DIFFERENTIATION_UNMERGE_AREA,MATCH(A127,DIFFERENTIATION_ID_DIFF,0)))</f>
        <v/>
      </c>
      <c r="I128" s="2283"/>
      <c r="J128" s="2283"/>
      <c r="K128" s="2283"/>
      <c r="L128" s="2283"/>
      <c r="M128" s="2283"/>
      <c r="N128" s="2283"/>
      <c r="O128" s="2283"/>
      <c r="P128" s="2283"/>
      <c r="Q128" s="2283"/>
      <c r="R128" s="2283"/>
      <c r="S128" s="654"/>
      <c r="T128" s="651"/>
      <c r="U128" s="560"/>
      <c r="V128" s="560"/>
      <c r="W128" s="561"/>
      <c r="X128" s="561"/>
      <c r="Y128" s="561"/>
      <c r="Z128" s="561"/>
      <c r="AA128" s="562"/>
      <c r="AB128" s="563"/>
      <c r="AC128" s="2275"/>
      <c r="AD128" s="564"/>
      <c r="AE128" s="565"/>
      <c r="AF128" s="565"/>
      <c r="AG128" s="566"/>
      <c r="AH128" s="567"/>
      <c r="AI128" s="560"/>
      <c r="AJ128" s="560"/>
      <c r="AK128" s="560"/>
      <c r="AL128" s="560"/>
      <c r="AM128" s="560"/>
      <c r="AN128" s="560"/>
      <c r="AO128" s="560"/>
      <c r="AP128" s="560"/>
      <c r="AQ128" s="560"/>
      <c r="AR128" s="560"/>
      <c r="AS128" s="560"/>
      <c r="AT128" s="560"/>
      <c r="AU128" s="560"/>
      <c r="AV128" s="560"/>
      <c r="AW128" s="560"/>
      <c r="AX128" s="560"/>
      <c r="AY128" s="560"/>
      <c r="AZ128" s="560"/>
      <c r="BA128" s="560"/>
      <c r="BB128" s="560"/>
      <c r="BC128" s="560"/>
      <c r="BD128" s="560"/>
      <c r="BE128" s="560"/>
      <c r="BF128" s="560"/>
      <c r="BG128" s="560"/>
      <c r="BH128" s="560"/>
      <c r="BI128" s="560"/>
      <c r="BJ128" s="560"/>
      <c r="BK128" s="560"/>
      <c r="BL128" s="560"/>
      <c r="BM128" s="560"/>
      <c r="BN128" s="560"/>
      <c r="BO128" s="560"/>
      <c r="BP128" s="560"/>
      <c r="BQ128" s="560"/>
      <c r="BR128" s="560"/>
      <c r="BS128" s="560"/>
      <c r="BT128" s="560"/>
      <c r="BU128" s="560"/>
      <c r="BV128" s="561"/>
      <c r="BW128" s="561"/>
      <c r="BX128" s="561"/>
      <c r="BY128" s="561"/>
      <c r="BZ128" s="561"/>
      <c r="CA128" s="561"/>
      <c r="CB128" s="561"/>
      <c r="CC128" s="561"/>
      <c r="CD128" s="561"/>
      <c r="CE128" s="561"/>
    </row>
    <row r="129" spans="1:83" s="1774" customFormat="1" ht="15" customHeight="1">
      <c r="A129" s="558"/>
      <c r="B129" s="559"/>
      <c r="C129" s="559"/>
      <c r="D129" s="2438"/>
      <c r="E129" s="2277" t="s">
        <v>564</v>
      </c>
      <c r="F129" s="2278"/>
      <c r="G129" s="2279"/>
      <c r="H129" s="2283" t="str">
        <f>IF(A127="","",INDEX(DIFFERENTIATION_UNMERGE_SYSTEM,MATCH(A127,DIFFERENTIATION_ID_DIFF,0)))</f>
        <v/>
      </c>
      <c r="I129" s="2283"/>
      <c r="J129" s="2283"/>
      <c r="K129" s="2283"/>
      <c r="L129" s="2283"/>
      <c r="M129" s="2283"/>
      <c r="N129" s="2283"/>
      <c r="O129" s="2283"/>
      <c r="P129" s="2283"/>
      <c r="Q129" s="2283"/>
      <c r="R129" s="2283"/>
      <c r="S129" s="654"/>
      <c r="T129" s="651"/>
      <c r="U129" s="560"/>
      <c r="V129" s="560"/>
      <c r="W129" s="561"/>
      <c r="X129" s="561"/>
      <c r="Y129" s="561"/>
      <c r="Z129" s="561"/>
      <c r="AA129" s="562"/>
      <c r="AB129" s="563"/>
      <c r="AC129" s="2275"/>
      <c r="AD129" s="564"/>
      <c r="AE129" s="565"/>
      <c r="AF129" s="565"/>
      <c r="AG129" s="566"/>
      <c r="AH129" s="567"/>
      <c r="AI129" s="560"/>
      <c r="AJ129" s="560"/>
      <c r="AK129" s="560"/>
      <c r="AL129" s="560"/>
      <c r="AM129" s="560"/>
      <c r="AN129" s="560"/>
      <c r="AO129" s="560"/>
      <c r="AP129" s="560"/>
      <c r="AQ129" s="560"/>
      <c r="AR129" s="560"/>
      <c r="AS129" s="560"/>
      <c r="AT129" s="560"/>
      <c r="AU129" s="560"/>
      <c r="AV129" s="560"/>
      <c r="AW129" s="560"/>
      <c r="AX129" s="560"/>
      <c r="AY129" s="560"/>
      <c r="AZ129" s="560"/>
      <c r="BA129" s="560"/>
      <c r="BB129" s="560"/>
      <c r="BC129" s="560"/>
      <c r="BD129" s="560"/>
      <c r="BE129" s="560"/>
      <c r="BF129" s="560"/>
      <c r="BG129" s="560"/>
      <c r="BH129" s="560"/>
      <c r="BI129" s="560"/>
      <c r="BJ129" s="560"/>
      <c r="BK129" s="560"/>
      <c r="BL129" s="560"/>
      <c r="BM129" s="560"/>
      <c r="BN129" s="560"/>
      <c r="BO129" s="560"/>
      <c r="BP129" s="560"/>
      <c r="BQ129" s="560"/>
      <c r="BR129" s="560"/>
      <c r="BS129" s="560"/>
      <c r="BT129" s="560"/>
      <c r="BU129" s="560"/>
      <c r="BV129" s="561"/>
      <c r="BW129" s="561"/>
      <c r="BX129" s="561"/>
      <c r="BY129" s="561"/>
      <c r="BZ129" s="561"/>
      <c r="CA129" s="561"/>
      <c r="CB129" s="561"/>
      <c r="CC129" s="561"/>
      <c r="CD129" s="561"/>
      <c r="CE129" s="561"/>
    </row>
    <row r="130" spans="1:83" s="1774" customFormat="1" ht="24.75" customHeight="1">
      <c r="A130" s="1731"/>
      <c r="B130" s="1085"/>
      <c r="C130" s="347"/>
      <c r="D130" s="2438"/>
      <c r="E130" s="2276" t="s">
        <v>609</v>
      </c>
      <c r="F130" s="2276"/>
      <c r="G130" s="2276"/>
      <c r="H130" s="2276"/>
      <c r="I130" s="2276"/>
      <c r="J130" s="2276"/>
      <c r="K130" s="2276"/>
      <c r="L130" s="2276"/>
      <c r="M130" s="2276"/>
      <c r="N130" s="2276"/>
      <c r="O130" s="2276"/>
      <c r="P130" s="2276"/>
      <c r="Q130" s="493">
        <f>SUMIF(T131:T132,"i",Q131:Q132)</f>
        <v>0</v>
      </c>
      <c r="R130" s="945"/>
      <c r="S130" s="1723" t="s">
        <v>610</v>
      </c>
      <c r="T130" s="652" t="s">
        <v>611</v>
      </c>
      <c r="U130" s="2185">
        <v>1</v>
      </c>
      <c r="V130" s="2185" t="s">
        <v>574</v>
      </c>
      <c r="W130" s="1085"/>
      <c r="X130" s="1085"/>
      <c r="Y130" s="1085"/>
      <c r="Z130" s="1085"/>
      <c r="AA130" s="1561"/>
      <c r="AB130" s="1085"/>
      <c r="AC130" s="2275"/>
      <c r="AD130" s="564"/>
      <c r="AE130" s="1085"/>
      <c r="AF130" s="1085"/>
      <c r="AG130" s="1561"/>
      <c r="AH130" s="1561"/>
      <c r="AI130" s="1561"/>
      <c r="AJ130" s="1561"/>
      <c r="AK130" s="1561"/>
      <c r="AL130" s="1561"/>
      <c r="AM130" s="1561"/>
      <c r="AN130" s="1561"/>
      <c r="AO130" s="1561"/>
      <c r="AP130" s="1561"/>
      <c r="AQ130" s="1561"/>
      <c r="AR130" s="1561"/>
      <c r="AS130" s="1561"/>
      <c r="AT130" s="1561"/>
      <c r="AU130" s="1561"/>
      <c r="AV130" s="1561"/>
      <c r="AW130" s="1561"/>
      <c r="AX130" s="1561"/>
      <c r="AY130" s="1561"/>
      <c r="AZ130" s="1561"/>
      <c r="BA130" s="1561"/>
      <c r="BB130" s="1561"/>
      <c r="BC130" s="1561"/>
      <c r="BD130" s="1561"/>
      <c r="BE130" s="1561"/>
      <c r="BF130" s="1561"/>
      <c r="BG130" s="1561"/>
      <c r="BH130" s="1561"/>
      <c r="BI130" s="1561"/>
      <c r="BJ130" s="1561"/>
      <c r="BK130" s="1561"/>
      <c r="BL130" s="1561"/>
      <c r="BM130" s="1561"/>
      <c r="BN130" s="1561"/>
      <c r="BO130" s="1561"/>
      <c r="BP130" s="1561"/>
      <c r="BQ130" s="1561"/>
      <c r="BR130" s="1561"/>
      <c r="BS130" s="1561"/>
      <c r="BT130" s="1561"/>
      <c r="BU130" s="1561"/>
      <c r="BV130" s="1085"/>
      <c r="BW130" s="1085"/>
      <c r="BX130" s="1085"/>
      <c r="BY130" s="1085"/>
      <c r="BZ130" s="1085"/>
      <c r="CA130" s="1085"/>
      <c r="CB130" s="1085"/>
      <c r="CC130" s="1085"/>
      <c r="CD130" s="1085"/>
      <c r="CE130" s="1085"/>
    </row>
    <row r="131" spans="1:83" s="1774" customFormat="1" ht="11.25" hidden="1" customHeight="1">
      <c r="A131" s="1718"/>
      <c r="B131" s="1561"/>
      <c r="C131" s="1561"/>
      <c r="D131" s="2438"/>
      <c r="E131" s="570"/>
      <c r="F131" s="570">
        <v>0</v>
      </c>
      <c r="G131" s="570"/>
      <c r="H131" s="570"/>
      <c r="I131" s="570"/>
      <c r="J131" s="570"/>
      <c r="K131" s="570"/>
      <c r="L131" s="570"/>
      <c r="M131" s="570"/>
      <c r="N131" s="570"/>
      <c r="O131" s="570"/>
      <c r="P131" s="570"/>
      <c r="Q131" s="570"/>
      <c r="R131" s="570"/>
      <c r="S131" s="571"/>
      <c r="T131" s="653"/>
      <c r="U131" s="2185"/>
      <c r="V131" s="2185"/>
      <c r="W131" s="1561"/>
      <c r="X131" s="1561"/>
      <c r="Y131" s="1561"/>
      <c r="Z131" s="1561"/>
      <c r="AA131" s="1561"/>
      <c r="AB131" s="1085"/>
      <c r="AC131" s="2275"/>
      <c r="AD131" s="564"/>
      <c r="AE131" s="1085"/>
      <c r="AF131" s="1085"/>
      <c r="AG131" s="1561"/>
      <c r="AH131" s="1561"/>
      <c r="AI131" s="1561"/>
      <c r="AJ131" s="1561"/>
      <c r="AK131" s="1561"/>
      <c r="AL131" s="1561"/>
      <c r="AM131" s="1561"/>
      <c r="AN131" s="1561"/>
      <c r="AO131" s="1561"/>
      <c r="AP131" s="1561"/>
      <c r="AQ131" s="1561"/>
      <c r="AR131" s="1561"/>
      <c r="AS131" s="1561"/>
      <c r="AT131" s="1561"/>
      <c r="AU131" s="1561"/>
      <c r="AV131" s="1561"/>
      <c r="AW131" s="1561"/>
      <c r="AX131" s="1561"/>
      <c r="AY131" s="1561"/>
      <c r="AZ131" s="1561"/>
      <c r="BA131" s="1561"/>
      <c r="BB131" s="1561"/>
      <c r="BC131" s="1561"/>
      <c r="BD131" s="1561"/>
      <c r="BE131" s="1561"/>
      <c r="BF131" s="1561"/>
      <c r="BG131" s="1561"/>
      <c r="BH131" s="1561"/>
      <c r="BI131" s="1561"/>
      <c r="BJ131" s="1561"/>
      <c r="BK131" s="1561"/>
      <c r="BL131" s="1561"/>
      <c r="BM131" s="1561"/>
      <c r="BN131" s="1561"/>
      <c r="BO131" s="1561"/>
      <c r="BP131" s="1561"/>
      <c r="BQ131" s="1561"/>
      <c r="BR131" s="1561"/>
      <c r="BS131" s="1561"/>
      <c r="BT131" s="1561"/>
      <c r="BU131" s="1561"/>
      <c r="BV131" s="1561"/>
      <c r="BW131" s="1561"/>
      <c r="BX131" s="1561"/>
      <c r="BY131" s="1561"/>
      <c r="BZ131" s="1561"/>
      <c r="CA131" s="1561"/>
      <c r="CB131" s="1561"/>
      <c r="CC131" s="1561"/>
      <c r="CD131" s="1561"/>
      <c r="CE131" s="1561"/>
    </row>
    <row r="132" spans="1:83" s="1774" customFormat="1" ht="11.25" customHeight="1">
      <c r="A132" s="1731"/>
      <c r="B132" s="1085"/>
      <c r="C132" s="347"/>
      <c r="D132" s="2438"/>
      <c r="E132" s="584" t="s">
        <v>22</v>
      </c>
      <c r="F132" s="1093" t="s">
        <v>22</v>
      </c>
      <c r="G132" s="1093" t="s">
        <v>1930</v>
      </c>
      <c r="H132" s="586" t="s">
        <v>22</v>
      </c>
      <c r="I132" s="586"/>
      <c r="J132" s="586"/>
      <c r="K132" s="586"/>
      <c r="L132" s="586"/>
      <c r="M132" s="586"/>
      <c r="N132" s="586"/>
      <c r="O132" s="586"/>
      <c r="P132" s="586"/>
      <c r="Q132" s="586"/>
      <c r="R132" s="587"/>
      <c r="S132" s="588"/>
      <c r="T132" s="653"/>
      <c r="U132" s="2185"/>
      <c r="V132" s="2185"/>
      <c r="W132" s="1085"/>
      <c r="X132" s="1085"/>
      <c r="Y132" s="1085"/>
      <c r="Z132" s="1085"/>
      <c r="AA132" s="1561"/>
      <c r="AB132" s="1085"/>
      <c r="AC132" s="2275"/>
      <c r="AD132" s="564"/>
      <c r="AE132" s="1085"/>
      <c r="AF132" s="1085"/>
      <c r="AG132" s="1561"/>
      <c r="AH132" s="1561"/>
      <c r="AI132" s="1561"/>
      <c r="AJ132" s="1561"/>
      <c r="AK132" s="1561"/>
      <c r="AL132" s="1561"/>
      <c r="AM132" s="1561"/>
      <c r="AN132" s="1561"/>
      <c r="AO132" s="1561"/>
      <c r="AP132" s="1561"/>
      <c r="AQ132" s="1561"/>
      <c r="AR132" s="1561"/>
      <c r="AS132" s="1561"/>
      <c r="AT132" s="1561"/>
      <c r="AU132" s="1561"/>
      <c r="AV132" s="1561"/>
      <c r="AW132" s="1561"/>
      <c r="AX132" s="1561"/>
      <c r="AY132" s="1561"/>
      <c r="AZ132" s="1561"/>
      <c r="BA132" s="1561"/>
      <c r="BB132" s="1561"/>
      <c r="BC132" s="1561"/>
      <c r="BD132" s="1561"/>
      <c r="BE132" s="1561"/>
      <c r="BF132" s="1561"/>
      <c r="BG132" s="1561"/>
      <c r="BH132" s="1561"/>
      <c r="BI132" s="1561"/>
      <c r="BJ132" s="1561"/>
      <c r="BK132" s="1561"/>
      <c r="BL132" s="1561"/>
      <c r="BM132" s="1561"/>
      <c r="BN132" s="1561"/>
      <c r="BO132" s="1561"/>
      <c r="BP132" s="1561"/>
      <c r="BQ132" s="1561"/>
      <c r="BR132" s="1561"/>
      <c r="BS132" s="1561"/>
      <c r="BT132" s="1561"/>
      <c r="BU132" s="1561"/>
      <c r="BV132" s="1085"/>
      <c r="BW132" s="1085"/>
      <c r="BX132" s="1085"/>
      <c r="BY132" s="1085"/>
      <c r="BZ132" s="1085"/>
      <c r="CA132" s="1085"/>
      <c r="CB132" s="1085"/>
      <c r="CC132" s="1085"/>
      <c r="CD132" s="1085"/>
      <c r="CE132" s="1085"/>
    </row>
    <row r="133" spans="1:83" s="1241" customFormat="1" ht="5.25" hidden="1" customHeight="1">
      <c r="A133" s="1718"/>
      <c r="B133" s="1561"/>
      <c r="C133" s="1561"/>
      <c r="D133" s="2438"/>
      <c r="E133" s="967"/>
      <c r="F133" s="967"/>
      <c r="G133" s="967"/>
      <c r="H133" s="967"/>
      <c r="I133" s="967"/>
      <c r="J133" s="967"/>
      <c r="K133" s="967"/>
      <c r="L133" s="967"/>
      <c r="M133" s="967"/>
      <c r="N133" s="967"/>
      <c r="O133" s="967"/>
      <c r="P133" s="967"/>
      <c r="Q133" s="968"/>
      <c r="R133" s="969"/>
      <c r="S133" s="970"/>
      <c r="T133" s="652" t="s">
        <v>611</v>
      </c>
      <c r="U133" s="2185">
        <v>1</v>
      </c>
      <c r="V133" s="2185" t="s">
        <v>574</v>
      </c>
      <c r="W133" s="1561"/>
      <c r="X133" s="1561"/>
      <c r="Y133" s="1561"/>
      <c r="Z133" s="1561"/>
      <c r="AA133" s="1561"/>
      <c r="AB133" s="1561"/>
      <c r="AC133" s="965"/>
      <c r="AD133" s="966"/>
      <c r="AE133" s="1561"/>
      <c r="AF133" s="1561"/>
      <c r="AG133" s="1561"/>
      <c r="AH133" s="1561"/>
      <c r="AI133" s="1561"/>
      <c r="AJ133" s="1561"/>
      <c r="AK133" s="1561"/>
      <c r="AL133" s="1561"/>
      <c r="AM133" s="1561"/>
      <c r="AN133" s="1561"/>
      <c r="AO133" s="1561"/>
      <c r="AP133" s="1561"/>
      <c r="AQ133" s="1561"/>
      <c r="AR133" s="1561"/>
      <c r="AS133" s="1561"/>
      <c r="AT133" s="1561"/>
      <c r="AU133" s="1561"/>
      <c r="AV133" s="1561"/>
      <c r="AW133" s="1561"/>
      <c r="AX133" s="1561"/>
      <c r="AY133" s="1561"/>
      <c r="AZ133" s="1561"/>
      <c r="BA133" s="1561"/>
      <c r="BB133" s="1561"/>
      <c r="BC133" s="1561"/>
      <c r="BD133" s="1561"/>
      <c r="BE133" s="1561"/>
      <c r="BF133" s="1561"/>
      <c r="BG133" s="1561"/>
      <c r="BH133" s="1561"/>
      <c r="BI133" s="1561"/>
      <c r="BJ133" s="1561"/>
      <c r="BK133" s="1561"/>
      <c r="BL133" s="1561"/>
      <c r="BM133" s="1561"/>
      <c r="BN133" s="1561"/>
      <c r="BO133" s="1561"/>
      <c r="BP133" s="1561"/>
      <c r="BQ133" s="1561"/>
      <c r="BR133" s="1561"/>
      <c r="BS133" s="1561"/>
      <c r="BT133" s="1561"/>
      <c r="BU133" s="1561"/>
      <c r="BV133" s="1561"/>
      <c r="BW133" s="1561"/>
      <c r="BX133" s="1561"/>
      <c r="BY133" s="1561"/>
      <c r="BZ133" s="1561"/>
      <c r="CA133" s="1561"/>
      <c r="CB133" s="1561"/>
      <c r="CC133" s="1561"/>
      <c r="CD133" s="1561"/>
      <c r="CE133" s="1561"/>
    </row>
    <row r="134" spans="1:83" s="1241" customFormat="1" ht="5.25" hidden="1" customHeight="1">
      <c r="A134" s="1718"/>
      <c r="B134" s="1561"/>
      <c r="C134" s="1561"/>
      <c r="D134" s="2438"/>
      <c r="E134" s="570"/>
      <c r="F134" s="570"/>
      <c r="G134" s="570"/>
      <c r="H134" s="570"/>
      <c r="I134" s="570"/>
      <c r="J134" s="570"/>
      <c r="K134" s="570"/>
      <c r="L134" s="570"/>
      <c r="M134" s="570"/>
      <c r="N134" s="570"/>
      <c r="O134" s="570"/>
      <c r="P134" s="570"/>
      <c r="Q134" s="570"/>
      <c r="R134" s="570"/>
      <c r="S134" s="571"/>
      <c r="T134" s="653"/>
      <c r="U134" s="2185"/>
      <c r="V134" s="2185"/>
      <c r="W134" s="1561"/>
      <c r="X134" s="1561"/>
      <c r="Y134" s="1561"/>
      <c r="Z134" s="1561"/>
      <c r="AA134" s="1561"/>
      <c r="AB134" s="1561"/>
      <c r="AC134" s="965"/>
      <c r="AD134" s="966"/>
      <c r="AE134" s="1561"/>
      <c r="AF134" s="1561"/>
      <c r="AG134" s="1561"/>
      <c r="AH134" s="1561"/>
      <c r="AI134" s="1561"/>
      <c r="AJ134" s="1561"/>
      <c r="AK134" s="1561"/>
      <c r="AL134" s="1561"/>
      <c r="AM134" s="1561"/>
      <c r="AN134" s="1561"/>
      <c r="AO134" s="1561"/>
      <c r="AP134" s="1561"/>
      <c r="AQ134" s="1561"/>
      <c r="AR134" s="1561"/>
      <c r="AS134" s="1561"/>
      <c r="AT134" s="1561"/>
      <c r="AU134" s="1561"/>
      <c r="AV134" s="1561"/>
      <c r="AW134" s="1561"/>
      <c r="AX134" s="1561"/>
      <c r="AY134" s="1561"/>
      <c r="AZ134" s="1561"/>
      <c r="BA134" s="1561"/>
      <c r="BB134" s="1561"/>
      <c r="BC134" s="1561"/>
      <c r="BD134" s="1561"/>
      <c r="BE134" s="1561"/>
      <c r="BF134" s="1561"/>
      <c r="BG134" s="1561"/>
      <c r="BH134" s="1561"/>
      <c r="BI134" s="1561"/>
      <c r="BJ134" s="1561"/>
      <c r="BK134" s="1561"/>
      <c r="BL134" s="1561"/>
      <c r="BM134" s="1561"/>
      <c r="BN134" s="1561"/>
      <c r="BO134" s="1561"/>
      <c r="BP134" s="1561"/>
      <c r="BQ134" s="1561"/>
      <c r="BR134" s="1561"/>
      <c r="BS134" s="1561"/>
      <c r="BT134" s="1561"/>
      <c r="BU134" s="1561"/>
      <c r="BV134" s="1561"/>
      <c r="BW134" s="1561"/>
      <c r="BX134" s="1561"/>
      <c r="BY134" s="1561"/>
      <c r="BZ134" s="1561"/>
      <c r="CA134" s="1561"/>
      <c r="CB134" s="1561"/>
      <c r="CC134" s="1561"/>
      <c r="CD134" s="1561"/>
      <c r="CE134" s="1561"/>
    </row>
    <row r="135" spans="1:83" s="1241" customFormat="1" ht="5.25" hidden="1" customHeight="1">
      <c r="A135" s="1718"/>
      <c r="B135" s="1561"/>
      <c r="C135" s="1561"/>
      <c r="D135" s="2439"/>
      <c r="E135" s="971"/>
      <c r="F135" s="972"/>
      <c r="G135" s="972"/>
      <c r="H135" s="973"/>
      <c r="I135" s="973"/>
      <c r="J135" s="973"/>
      <c r="K135" s="973"/>
      <c r="L135" s="973"/>
      <c r="M135" s="973"/>
      <c r="N135" s="973"/>
      <c r="O135" s="973"/>
      <c r="P135" s="973"/>
      <c r="Q135" s="973"/>
      <c r="R135" s="874"/>
      <c r="S135" s="974"/>
      <c r="T135" s="653"/>
      <c r="U135" s="2185"/>
      <c r="V135" s="2185"/>
      <c r="W135" s="1561"/>
      <c r="X135" s="1561"/>
      <c r="Y135" s="1561"/>
      <c r="Z135" s="1561"/>
      <c r="AA135" s="1561"/>
      <c r="AB135" s="1561"/>
      <c r="AC135" s="965"/>
      <c r="AD135" s="966"/>
      <c r="AE135" s="1561"/>
      <c r="AF135" s="1561"/>
      <c r="AG135" s="1561"/>
      <c r="AH135" s="1561"/>
      <c r="AI135" s="1561"/>
      <c r="AJ135" s="1561"/>
      <c r="AK135" s="1561"/>
      <c r="AL135" s="1561"/>
      <c r="AM135" s="1561"/>
      <c r="AN135" s="1561"/>
      <c r="AO135" s="1561"/>
      <c r="AP135" s="1561"/>
      <c r="AQ135" s="1561"/>
      <c r="AR135" s="1561"/>
      <c r="AS135" s="1561"/>
      <c r="AT135" s="1561"/>
      <c r="AU135" s="1561"/>
      <c r="AV135" s="1561"/>
      <c r="AW135" s="1561"/>
      <c r="AX135" s="1561"/>
      <c r="AY135" s="1561"/>
      <c r="AZ135" s="1561"/>
      <c r="BA135" s="1561"/>
      <c r="BB135" s="1561"/>
      <c r="BC135" s="1561"/>
      <c r="BD135" s="1561"/>
      <c r="BE135" s="1561"/>
      <c r="BF135" s="1561"/>
      <c r="BG135" s="1561"/>
      <c r="BH135" s="1561"/>
      <c r="BI135" s="1561"/>
      <c r="BJ135" s="1561"/>
      <c r="BK135" s="1561"/>
      <c r="BL135" s="1561"/>
      <c r="BM135" s="1561"/>
      <c r="BN135" s="1561"/>
      <c r="BO135" s="1561"/>
      <c r="BP135" s="1561"/>
      <c r="BQ135" s="1561"/>
      <c r="BR135" s="1561"/>
      <c r="BS135" s="1561"/>
      <c r="BT135" s="1561"/>
      <c r="BU135" s="1561"/>
      <c r="BV135" s="1561"/>
      <c r="BW135" s="1561"/>
      <c r="BX135" s="1561"/>
      <c r="BY135" s="1561"/>
      <c r="BZ135" s="1561"/>
      <c r="CA135" s="1561"/>
      <c r="CB135" s="1561"/>
      <c r="CC135" s="1561"/>
      <c r="CD135" s="1561"/>
      <c r="CE135" s="1561"/>
    </row>
    <row r="136" spans="1:83" ht="17.25" customHeight="1">
      <c r="D136" s="1760"/>
    </row>
    <row r="137" spans="1:83" s="1740" customFormat="1" ht="11.25" customHeight="1">
      <c r="A137" s="1740" t="s">
        <v>1932</v>
      </c>
    </row>
    <row r="139" spans="1:83" s="1774" customFormat="1" ht="45" customHeight="1">
      <c r="A139" s="1731"/>
      <c r="B139" s="1085"/>
      <c r="C139" s="347"/>
      <c r="D139" s="27"/>
      <c r="E139" s="2432"/>
      <c r="F139" s="2048" t="s">
        <v>109</v>
      </c>
      <c r="G139" s="2435" t="s">
        <v>22</v>
      </c>
      <c r="H139" s="225"/>
      <c r="I139" s="572" t="s">
        <v>109</v>
      </c>
      <c r="J139" s="1732" t="s">
        <v>1933</v>
      </c>
      <c r="K139" s="573" t="s">
        <v>545</v>
      </c>
      <c r="L139" s="2159" t="s">
        <v>545</v>
      </c>
      <c r="M139" s="2094"/>
      <c r="N139" s="573" t="s">
        <v>545</v>
      </c>
      <c r="O139" s="573" t="s">
        <v>545</v>
      </c>
      <c r="P139" s="573" t="s">
        <v>545</v>
      </c>
      <c r="Q139" s="574">
        <f>SUM(Q140:Q142)</f>
        <v>0</v>
      </c>
      <c r="R139" s="574">
        <f>IF(R136=0,0,(Q136/R136)*100)</f>
        <v>0</v>
      </c>
      <c r="S139" s="2118"/>
      <c r="T139" s="652" t="s">
        <v>611</v>
      </c>
      <c r="U139" s="27"/>
      <c r="V139" s="27"/>
      <c r="AC139" s="27"/>
    </row>
    <row r="140" spans="1:83" s="1774" customFormat="1" ht="11.25" customHeight="1">
      <c r="A140" s="1731"/>
      <c r="B140" s="1085"/>
      <c r="C140" s="347"/>
      <c r="D140" s="27"/>
      <c r="E140" s="2433"/>
      <c r="F140" s="2048"/>
      <c r="G140" s="2435"/>
      <c r="H140" s="2066"/>
      <c r="I140" s="2318" t="s">
        <v>1022</v>
      </c>
      <c r="J140" s="2430"/>
      <c r="K140" s="2431"/>
      <c r="L140" s="575"/>
      <c r="M140" s="576" t="s">
        <v>109</v>
      </c>
      <c r="N140" s="1720"/>
      <c r="O140" s="577"/>
      <c r="P140" s="578"/>
      <c r="Q140" s="577"/>
      <c r="R140" s="579">
        <v>0</v>
      </c>
      <c r="S140" s="2118"/>
      <c r="T140" s="652"/>
      <c r="U140" s="27"/>
      <c r="V140" s="27"/>
      <c r="AC140" s="27"/>
    </row>
    <row r="141" spans="1:83" s="1774" customFormat="1" ht="11.25" customHeight="1">
      <c r="A141" s="1731"/>
      <c r="B141" s="1085"/>
      <c r="C141" s="347"/>
      <c r="D141" s="27"/>
      <c r="E141" s="2433"/>
      <c r="F141" s="2048"/>
      <c r="G141" s="2435"/>
      <c r="H141" s="2066"/>
      <c r="I141" s="2318"/>
      <c r="J141" s="2430"/>
      <c r="K141" s="2378"/>
      <c r="L141" s="580"/>
      <c r="M141" s="581"/>
      <c r="N141" s="582" t="s">
        <v>1934</v>
      </c>
      <c r="O141" s="582"/>
      <c r="P141" s="582"/>
      <c r="Q141" s="582"/>
      <c r="R141" s="583"/>
      <c r="S141" s="2118"/>
      <c r="T141" s="652"/>
      <c r="U141" s="27"/>
      <c r="V141" s="27"/>
      <c r="AC141" s="27"/>
    </row>
    <row r="142" spans="1:83" s="1774" customFormat="1" ht="11.25" customHeight="1">
      <c r="A142" s="1731"/>
      <c r="B142" s="1085"/>
      <c r="C142" s="347"/>
      <c r="D142" s="27"/>
      <c r="E142" s="2434"/>
      <c r="F142" s="2048"/>
      <c r="G142" s="2436"/>
      <c r="H142" s="580" t="s">
        <v>22</v>
      </c>
      <c r="I142" s="581"/>
      <c r="J142" s="582" t="s">
        <v>1935</v>
      </c>
      <c r="K142" s="582"/>
      <c r="L142" s="582"/>
      <c r="M142" s="582"/>
      <c r="N142" s="582"/>
      <c r="O142" s="582"/>
      <c r="P142" s="582"/>
      <c r="Q142" s="582"/>
      <c r="R142" s="583"/>
      <c r="S142" s="2118"/>
      <c r="T142" s="652"/>
      <c r="U142" s="27"/>
      <c r="V142" s="27"/>
      <c r="AC142" s="27"/>
    </row>
    <row r="147" spans="1:43" s="1774" customFormat="1" ht="11.25" customHeight="1">
      <c r="A147" s="1731"/>
      <c r="B147" s="1085"/>
      <c r="C147" s="347"/>
      <c r="D147" s="27"/>
      <c r="E147" s="1754"/>
      <c r="F147" s="1754"/>
      <c r="G147" s="1754"/>
      <c r="H147" s="2066"/>
      <c r="I147" s="2318" t="s">
        <v>1022</v>
      </c>
      <c r="J147" s="2430"/>
      <c r="K147" s="2431"/>
      <c r="L147" s="575"/>
      <c r="M147" s="576" t="s">
        <v>109</v>
      </c>
      <c r="N147" s="1720"/>
      <c r="O147" s="577"/>
      <c r="P147" s="578"/>
      <c r="Q147" s="577"/>
      <c r="R147" s="579">
        <v>0</v>
      </c>
      <c r="S147" s="27"/>
      <c r="T147" s="652"/>
      <c r="U147" s="27"/>
      <c r="V147" s="27"/>
      <c r="AC147" s="27"/>
    </row>
    <row r="148" spans="1:43" s="1774" customFormat="1" ht="11.25" customHeight="1">
      <c r="A148" s="1731"/>
      <c r="B148" s="1085"/>
      <c r="C148" s="347"/>
      <c r="D148" s="27"/>
      <c r="E148" s="1754"/>
      <c r="F148" s="1754"/>
      <c r="G148" s="1754"/>
      <c r="H148" s="2066"/>
      <c r="I148" s="2318"/>
      <c r="J148" s="2430"/>
      <c r="K148" s="2378"/>
      <c r="L148" s="580"/>
      <c r="M148" s="581"/>
      <c r="N148" s="582" t="s">
        <v>1934</v>
      </c>
      <c r="O148" s="582"/>
      <c r="P148" s="582"/>
      <c r="Q148" s="582"/>
      <c r="R148" s="583"/>
      <c r="S148" s="27"/>
      <c r="T148" s="652"/>
      <c r="U148" s="27"/>
      <c r="V148" s="27"/>
      <c r="AC148" s="27"/>
    </row>
    <row r="150" spans="1:43" s="1774" customFormat="1" ht="11.25" customHeight="1">
      <c r="A150" s="1731"/>
      <c r="B150" s="1085"/>
      <c r="C150" s="347"/>
      <c r="D150" s="27"/>
      <c r="E150" s="1761"/>
      <c r="F150" s="1759"/>
      <c r="G150" s="1759"/>
      <c r="H150" s="1762"/>
      <c r="I150" s="1754"/>
      <c r="J150" s="1755"/>
      <c r="K150" s="1755"/>
      <c r="L150" s="575"/>
      <c r="M150" s="576" t="s">
        <v>109</v>
      </c>
      <c r="N150" s="1720"/>
      <c r="O150" s="577"/>
      <c r="P150" s="578"/>
      <c r="Q150" s="577"/>
      <c r="R150" s="579">
        <v>0</v>
      </c>
      <c r="S150" s="27"/>
      <c r="T150" s="652"/>
      <c r="U150" s="27"/>
      <c r="V150" s="27"/>
      <c r="AC150" s="27"/>
    </row>
    <row r="152" spans="1:43" s="1740" customFormat="1" ht="17.25" customHeight="1">
      <c r="A152" s="1740" t="s">
        <v>1936</v>
      </c>
    </row>
    <row r="153" spans="1:43" ht="17.25" customHeight="1">
      <c r="G153" s="1763"/>
      <c r="H153" s="1763"/>
      <c r="I153" s="1763"/>
      <c r="M153" s="1759"/>
    </row>
    <row r="154" spans="1:43" s="1777" customFormat="1" ht="17.25" customHeight="1">
      <c r="A154" s="1764"/>
      <c r="C154" s="1766"/>
      <c r="D154" s="2402"/>
      <c r="E154" s="2082"/>
      <c r="F154" s="2084"/>
      <c r="G154" s="2403"/>
      <c r="H154" s="2402"/>
      <c r="I154" s="2402">
        <v>1</v>
      </c>
      <c r="J154" s="2377"/>
      <c r="K154" s="2124" t="s">
        <v>66</v>
      </c>
      <c r="L154" s="2048"/>
      <c r="M154" s="2048" t="s">
        <v>109</v>
      </c>
      <c r="N154" s="2379" t="str">
        <f>IF(Z154="","",INDEX(TERRITORY_MR_LIST,MATCH(Z154,TERRITORY_LIST_ID,0)))</f>
        <v/>
      </c>
      <c r="O154" s="2124" t="s">
        <v>66</v>
      </c>
      <c r="P154" s="2048"/>
      <c r="Q154" s="2048" t="s">
        <v>109</v>
      </c>
      <c r="R154" s="2378" t="s">
        <v>22</v>
      </c>
      <c r="S154" s="2047" t="s">
        <v>66</v>
      </c>
      <c r="T154" s="1736"/>
      <c r="U154" s="1736" t="s">
        <v>109</v>
      </c>
      <c r="V154" s="1767" t="s">
        <v>22</v>
      </c>
      <c r="W154" s="1726"/>
      <c r="Y154" s="1192"/>
      <c r="Z154" s="1192"/>
      <c r="AA154" s="1192"/>
      <c r="AB154" s="1192"/>
      <c r="AC154" s="1192"/>
      <c r="AD154" s="1192"/>
      <c r="AE154" s="1192"/>
      <c r="AF154" s="1192"/>
      <c r="AG154" s="1192"/>
      <c r="AH154" s="1192"/>
      <c r="AI154" s="1192"/>
      <c r="AJ154" s="1192"/>
      <c r="AK154" s="1192"/>
      <c r="AL154" s="1768"/>
      <c r="AM154" s="1768"/>
      <c r="AN154" s="1192"/>
      <c r="AO154" s="1192"/>
      <c r="AP154" s="1192"/>
      <c r="AQ154" s="1192"/>
    </row>
    <row r="155" spans="1:43" s="1777" customFormat="1" ht="17.25" customHeight="1">
      <c r="A155" s="1764"/>
      <c r="C155" s="1769"/>
      <c r="D155" s="2402"/>
      <c r="E155" s="2082"/>
      <c r="F155" s="2085"/>
      <c r="G155" s="2403"/>
      <c r="H155" s="2402"/>
      <c r="I155" s="2402"/>
      <c r="J155" s="2377"/>
      <c r="K155" s="2125"/>
      <c r="L155" s="2048"/>
      <c r="M155" s="2048"/>
      <c r="N155" s="2379"/>
      <c r="O155" s="2125"/>
      <c r="P155" s="2048"/>
      <c r="Q155" s="2048"/>
      <c r="R155" s="2378"/>
      <c r="S155" s="2047"/>
      <c r="T155" s="253"/>
      <c r="U155" s="254"/>
      <c r="V155" s="254" t="s">
        <v>413</v>
      </c>
      <c r="W155" s="255"/>
      <c r="Y155" s="1184"/>
      <c r="Z155" s="1184"/>
      <c r="AA155" s="1184"/>
      <c r="AB155" s="1184"/>
      <c r="AC155" s="1184"/>
      <c r="AD155" s="1184"/>
      <c r="AE155" s="1184"/>
      <c r="AF155" s="1184"/>
      <c r="AG155" s="1184"/>
      <c r="AH155" s="1184"/>
      <c r="AI155" s="1184"/>
      <c r="AJ155" s="1184"/>
      <c r="AK155" s="1184"/>
    </row>
    <row r="156" spans="1:43" s="1777" customFormat="1" ht="17.25" customHeight="1">
      <c r="A156" s="1764"/>
      <c r="C156" s="1769"/>
      <c r="D156" s="2075"/>
      <c r="E156" s="2083"/>
      <c r="F156" s="2085"/>
      <c r="G156" s="2404"/>
      <c r="H156" s="2075"/>
      <c r="I156" s="2075"/>
      <c r="J156" s="2405"/>
      <c r="K156" s="2125"/>
      <c r="L156" s="2075"/>
      <c r="M156" s="2075"/>
      <c r="N156" s="2380"/>
      <c r="O156" s="2052"/>
      <c r="P156" s="253"/>
      <c r="Q156" s="254"/>
      <c r="R156" s="254" t="s">
        <v>414</v>
      </c>
      <c r="S156" s="1770"/>
      <c r="T156" s="1770"/>
      <c r="U156" s="1770"/>
      <c r="V156" s="1770"/>
      <c r="W156" s="255"/>
      <c r="Y156" s="1184"/>
      <c r="Z156" s="1184"/>
      <c r="AA156" s="1184"/>
      <c r="AB156" s="1184"/>
      <c r="AC156" s="1184"/>
      <c r="AD156" s="1184"/>
      <c r="AE156" s="1184"/>
      <c r="AF156" s="1184"/>
      <c r="AG156" s="1184"/>
      <c r="AH156" s="1184"/>
      <c r="AI156" s="1184"/>
      <c r="AJ156" s="1184"/>
      <c r="AK156" s="1184"/>
    </row>
    <row r="157" spans="1:43" s="1777" customFormat="1" ht="17.25" customHeight="1">
      <c r="A157" s="1764"/>
      <c r="C157" s="1769"/>
      <c r="D157" s="2075"/>
      <c r="E157" s="2083"/>
      <c r="F157" s="2085"/>
      <c r="G157" s="2404"/>
      <c r="H157" s="2075"/>
      <c r="I157" s="2075"/>
      <c r="J157" s="2405"/>
      <c r="K157" s="2052"/>
      <c r="L157" s="253"/>
      <c r="M157" s="254"/>
      <c r="N157" s="254" t="s">
        <v>415</v>
      </c>
      <c r="O157" s="254"/>
      <c r="P157" s="254"/>
      <c r="Q157" s="254"/>
      <c r="R157" s="254"/>
      <c r="S157" s="1770"/>
      <c r="T157" s="1770"/>
      <c r="U157" s="1770"/>
      <c r="V157" s="1770"/>
      <c r="W157" s="255"/>
      <c r="Y157" s="1184"/>
      <c r="Z157" s="1184"/>
      <c r="AA157" s="1184"/>
      <c r="AB157" s="1184"/>
      <c r="AC157" s="1184"/>
      <c r="AD157" s="1184"/>
      <c r="AE157" s="1184"/>
      <c r="AF157" s="1184"/>
      <c r="AG157" s="1184"/>
      <c r="AH157" s="1184"/>
      <c r="AI157" s="1184"/>
      <c r="AJ157" s="1184"/>
      <c r="AK157" s="1184"/>
    </row>
    <row r="158" spans="1:43" s="1777" customFormat="1" ht="17.25" customHeight="1">
      <c r="A158" s="1764"/>
      <c r="C158" s="1769"/>
      <c r="D158" s="2075"/>
      <c r="E158" s="2083"/>
      <c r="F158" s="2086"/>
      <c r="G158" s="2404"/>
      <c r="H158" s="253"/>
      <c r="I158" s="254"/>
      <c r="J158" s="254" t="s">
        <v>447</v>
      </c>
      <c r="K158" s="254"/>
      <c r="L158" s="254"/>
      <c r="M158" s="254"/>
      <c r="N158" s="254"/>
      <c r="O158" s="254"/>
      <c r="P158" s="254"/>
      <c r="Q158" s="254"/>
      <c r="R158" s="254"/>
      <c r="S158" s="1770"/>
      <c r="T158" s="1770"/>
      <c r="U158" s="1770"/>
      <c r="V158" s="1770"/>
      <c r="W158" s="255"/>
      <c r="Y158" s="1184"/>
      <c r="Z158" s="1184"/>
      <c r="AA158" s="1184"/>
      <c r="AB158" s="1184"/>
      <c r="AC158" s="1184"/>
      <c r="AD158" s="1184"/>
      <c r="AE158" s="1184"/>
      <c r="AF158" s="1184"/>
      <c r="AG158" s="1184"/>
      <c r="AH158" s="1184"/>
      <c r="AI158" s="1184"/>
      <c r="AJ158" s="1184"/>
      <c r="AK158" s="1184"/>
    </row>
    <row r="159" spans="1:43" ht="17.25" customHeight="1">
      <c r="G159" s="1763"/>
      <c r="H159" s="1763"/>
      <c r="I159" s="1763"/>
      <c r="M159" s="1759"/>
    </row>
    <row r="160" spans="1:43" s="1777" customFormat="1" ht="17.25" customHeight="1">
      <c r="A160" s="1764"/>
      <c r="C160" s="1766"/>
      <c r="D160" s="1754"/>
      <c r="E160" s="1771"/>
      <c r="F160" s="1709"/>
      <c r="G160" s="1772"/>
      <c r="H160" s="2402"/>
      <c r="I160" s="2402">
        <v>1</v>
      </c>
      <c r="J160" s="2377"/>
      <c r="K160" s="2124" t="s">
        <v>66</v>
      </c>
      <c r="L160" s="2048"/>
      <c r="M160" s="2048" t="s">
        <v>109</v>
      </c>
      <c r="N160" s="2379" t="str">
        <f>IF(Z160="","",INDEX(TERRITORY_MR_LIST,MATCH(Z160,TERRITORY_LIST_ID,0)))</f>
        <v/>
      </c>
      <c r="O160" s="2124" t="s">
        <v>66</v>
      </c>
      <c r="P160" s="2048"/>
      <c r="Q160" s="2048" t="s">
        <v>109</v>
      </c>
      <c r="R160" s="2378" t="s">
        <v>22</v>
      </c>
      <c r="S160" s="2047" t="s">
        <v>66</v>
      </c>
      <c r="T160" s="1736"/>
      <c r="U160" s="1736" t="s">
        <v>109</v>
      </c>
      <c r="V160" s="1767" t="s">
        <v>22</v>
      </c>
      <c r="W160" s="1726"/>
      <c r="Y160" s="1192"/>
      <c r="Z160" s="1192"/>
      <c r="AA160" s="1192"/>
      <c r="AB160" s="1192"/>
      <c r="AC160" s="1192"/>
      <c r="AD160" s="1192"/>
      <c r="AE160" s="1192"/>
      <c r="AF160" s="1192"/>
      <c r="AG160" s="1192"/>
      <c r="AH160" s="1192"/>
      <c r="AI160" s="1192"/>
      <c r="AJ160" s="1192"/>
      <c r="AK160" s="1192"/>
      <c r="AL160" s="1768"/>
      <c r="AM160" s="1768"/>
      <c r="AN160" s="1192"/>
      <c r="AO160" s="1192"/>
      <c r="AP160" s="1192"/>
      <c r="AQ160" s="1192"/>
    </row>
    <row r="161" spans="1:43" s="1777" customFormat="1" ht="17.25" customHeight="1">
      <c r="A161" s="1764"/>
      <c r="C161" s="1769"/>
      <c r="D161" s="1754"/>
      <c r="E161" s="1771"/>
      <c r="F161" s="1709"/>
      <c r="G161" s="1772"/>
      <c r="H161" s="2402"/>
      <c r="I161" s="2402"/>
      <c r="J161" s="2377"/>
      <c r="K161" s="2125"/>
      <c r="L161" s="2048"/>
      <c r="M161" s="2048"/>
      <c r="N161" s="2379"/>
      <c r="O161" s="2125"/>
      <c r="P161" s="2048"/>
      <c r="Q161" s="2048"/>
      <c r="R161" s="2378"/>
      <c r="S161" s="2047"/>
      <c r="T161" s="253"/>
      <c r="U161" s="254"/>
      <c r="V161" s="254" t="s">
        <v>413</v>
      </c>
      <c r="W161" s="255"/>
      <c r="Y161" s="1184"/>
      <c r="Z161" s="1184"/>
      <c r="AA161" s="1184"/>
      <c r="AB161" s="1184"/>
      <c r="AC161" s="1184"/>
      <c r="AD161" s="1184"/>
      <c r="AE161" s="1184"/>
      <c r="AF161" s="1184"/>
      <c r="AG161" s="1184"/>
      <c r="AH161" s="1184"/>
      <c r="AI161" s="1184"/>
      <c r="AJ161" s="1184"/>
      <c r="AK161" s="1184"/>
    </row>
    <row r="162" spans="1:43" s="1777" customFormat="1" ht="17.25" customHeight="1">
      <c r="A162" s="1764"/>
      <c r="C162" s="1769"/>
      <c r="D162" s="1754"/>
      <c r="E162" s="1771"/>
      <c r="F162" s="1709"/>
      <c r="G162" s="1772"/>
      <c r="H162" s="2075"/>
      <c r="I162" s="2075"/>
      <c r="J162" s="2405"/>
      <c r="K162" s="2125"/>
      <c r="L162" s="2075"/>
      <c r="M162" s="2075"/>
      <c r="N162" s="2380"/>
      <c r="O162" s="2052"/>
      <c r="P162" s="253"/>
      <c r="Q162" s="254"/>
      <c r="R162" s="254" t="s">
        <v>414</v>
      </c>
      <c r="S162" s="1770"/>
      <c r="T162" s="1770"/>
      <c r="U162" s="1770"/>
      <c r="V162" s="1770"/>
      <c r="W162" s="255"/>
      <c r="Y162" s="1184"/>
      <c r="Z162" s="1184"/>
      <c r="AA162" s="1184"/>
      <c r="AB162" s="1184"/>
      <c r="AC162" s="1184"/>
      <c r="AD162" s="1184"/>
      <c r="AE162" s="1184"/>
      <c r="AF162" s="1184"/>
      <c r="AG162" s="1184"/>
      <c r="AH162" s="1184"/>
      <c r="AI162" s="1184"/>
      <c r="AJ162" s="1184"/>
      <c r="AK162" s="1184"/>
    </row>
    <row r="163" spans="1:43" s="1777" customFormat="1" ht="17.25" customHeight="1">
      <c r="A163" s="1764"/>
      <c r="C163" s="1769"/>
      <c r="D163" s="1754"/>
      <c r="E163" s="1771"/>
      <c r="F163" s="1709"/>
      <c r="G163" s="1772"/>
      <c r="H163" s="2075"/>
      <c r="I163" s="2075"/>
      <c r="J163" s="2405"/>
      <c r="K163" s="2052"/>
      <c r="L163" s="253"/>
      <c r="M163" s="254"/>
      <c r="N163" s="254" t="s">
        <v>415</v>
      </c>
      <c r="O163" s="254"/>
      <c r="P163" s="254"/>
      <c r="Q163" s="254"/>
      <c r="R163" s="254"/>
      <c r="S163" s="1770"/>
      <c r="T163" s="1770"/>
      <c r="U163" s="1770"/>
      <c r="V163" s="1770"/>
      <c r="W163" s="255"/>
      <c r="Y163" s="1184"/>
      <c r="Z163" s="1184"/>
      <c r="AA163" s="1184"/>
      <c r="AB163" s="1184"/>
      <c r="AC163" s="1184"/>
      <c r="AD163" s="1184"/>
      <c r="AE163" s="1184"/>
      <c r="AF163" s="1184"/>
      <c r="AG163" s="1184"/>
      <c r="AH163" s="1184"/>
      <c r="AI163" s="1184"/>
      <c r="AJ163" s="1184"/>
      <c r="AK163" s="1184"/>
    </row>
    <row r="164" spans="1:43" ht="17.25" customHeight="1">
      <c r="G164" s="1763"/>
      <c r="H164" s="1763"/>
      <c r="I164" s="1763"/>
      <c r="M164" s="1759"/>
    </row>
    <row r="165" spans="1:43" s="1777" customFormat="1" ht="17.25" customHeight="1">
      <c r="A165" s="1764"/>
      <c r="C165" s="1766"/>
      <c r="D165" s="1754"/>
      <c r="E165" s="1771"/>
      <c r="F165" s="1709"/>
      <c r="G165" s="1772"/>
      <c r="H165" s="1754"/>
      <c r="I165" s="1754"/>
      <c r="J165" s="1773"/>
      <c r="K165" s="1685"/>
      <c r="L165" s="2048"/>
      <c r="M165" s="2048" t="s">
        <v>109</v>
      </c>
      <c r="N165" s="2379" t="str">
        <f>IF(Z165="","",INDEX(TERRITORY_MR_LIST,MATCH(Z165,TERRITORY_LIST_ID,0)))</f>
        <v/>
      </c>
      <c r="O165" s="2124" t="s">
        <v>66</v>
      </c>
      <c r="P165" s="2048"/>
      <c r="Q165" s="2048" t="s">
        <v>109</v>
      </c>
      <c r="R165" s="2378" t="s">
        <v>22</v>
      </c>
      <c r="S165" s="2047" t="s">
        <v>66</v>
      </c>
      <c r="T165" s="1736"/>
      <c r="U165" s="1736" t="s">
        <v>109</v>
      </c>
      <c r="V165" s="1767" t="s">
        <v>22</v>
      </c>
      <c r="W165" s="1726"/>
      <c r="Y165" s="1192"/>
      <c r="Z165" s="1192"/>
      <c r="AA165" s="1192"/>
      <c r="AB165" s="1192"/>
      <c r="AC165" s="1192"/>
      <c r="AD165" s="1192"/>
      <c r="AE165" s="1192"/>
      <c r="AF165" s="1192"/>
      <c r="AG165" s="1192"/>
      <c r="AH165" s="1192"/>
      <c r="AI165" s="1192"/>
      <c r="AJ165" s="1192"/>
      <c r="AK165" s="1192"/>
      <c r="AL165" s="1768"/>
      <c r="AM165" s="1768"/>
      <c r="AN165" s="1192"/>
      <c r="AO165" s="1192"/>
      <c r="AP165" s="1192"/>
      <c r="AQ165" s="1192"/>
    </row>
    <row r="166" spans="1:43" s="1777" customFormat="1" ht="17.25" customHeight="1">
      <c r="A166" s="1764"/>
      <c r="C166" s="1769"/>
      <c r="D166" s="1754"/>
      <c r="E166" s="1771"/>
      <c r="F166" s="1709"/>
      <c r="G166" s="1772"/>
      <c r="H166" s="1754"/>
      <c r="I166" s="1754"/>
      <c r="J166" s="1773"/>
      <c r="K166" s="1685"/>
      <c r="L166" s="2048"/>
      <c r="M166" s="2048"/>
      <c r="N166" s="2379"/>
      <c r="O166" s="2125"/>
      <c r="P166" s="2048"/>
      <c r="Q166" s="2048"/>
      <c r="R166" s="2378"/>
      <c r="S166" s="2047"/>
      <c r="T166" s="253"/>
      <c r="U166" s="254"/>
      <c r="V166" s="254" t="s">
        <v>413</v>
      </c>
      <c r="W166" s="255"/>
      <c r="Y166" s="1184"/>
      <c r="Z166" s="1184"/>
      <c r="AA166" s="1184"/>
      <c r="AB166" s="1184"/>
      <c r="AC166" s="1184"/>
      <c r="AD166" s="1184"/>
      <c r="AE166" s="1184"/>
      <c r="AF166" s="1184"/>
      <c r="AG166" s="1184"/>
      <c r="AH166" s="1184"/>
      <c r="AI166" s="1184"/>
      <c r="AJ166" s="1184"/>
      <c r="AK166" s="1184"/>
    </row>
    <row r="167" spans="1:43" s="1777" customFormat="1" ht="17.25" customHeight="1">
      <c r="A167" s="1764"/>
      <c r="C167" s="1769"/>
      <c r="D167" s="1754"/>
      <c r="E167" s="1771"/>
      <c r="F167" s="1709"/>
      <c r="G167" s="1772"/>
      <c r="H167" s="1754"/>
      <c r="I167" s="1754"/>
      <c r="J167" s="1773"/>
      <c r="K167" s="1685"/>
      <c r="L167" s="2075"/>
      <c r="M167" s="2075"/>
      <c r="N167" s="2380"/>
      <c r="O167" s="2052"/>
      <c r="P167" s="253"/>
      <c r="Q167" s="254"/>
      <c r="R167" s="254" t="s">
        <v>414</v>
      </c>
      <c r="S167" s="1770"/>
      <c r="T167" s="1770"/>
      <c r="U167" s="1770"/>
      <c r="V167" s="1770"/>
      <c r="W167" s="255"/>
      <c r="Y167" s="1184"/>
      <c r="Z167" s="1184"/>
      <c r="AA167" s="1184"/>
      <c r="AB167" s="1184"/>
      <c r="AC167" s="1184"/>
      <c r="AD167" s="1184"/>
      <c r="AE167" s="1184"/>
      <c r="AF167" s="1184"/>
      <c r="AG167" s="1184"/>
      <c r="AH167" s="1184"/>
      <c r="AI167" s="1184"/>
      <c r="AJ167" s="1184"/>
      <c r="AK167" s="1184"/>
    </row>
    <row r="168" spans="1:43" ht="17.25" customHeight="1">
      <c r="G168" s="1763"/>
      <c r="H168" s="1763"/>
      <c r="I168" s="1763"/>
      <c r="M168" s="1759"/>
    </row>
    <row r="169" spans="1:43" s="1777" customFormat="1" ht="17.25" customHeight="1">
      <c r="A169" s="1764"/>
      <c r="C169" s="1766"/>
      <c r="D169" s="1754"/>
      <c r="E169" s="1771"/>
      <c r="F169" s="1709"/>
      <c r="G169" s="1772"/>
      <c r="H169" s="1754"/>
      <c r="I169" s="1754"/>
      <c r="J169" s="1773"/>
      <c r="K169" s="1685"/>
      <c r="L169" s="1681"/>
      <c r="M169" s="1681"/>
      <c r="N169" s="1969"/>
      <c r="O169" s="1712"/>
      <c r="P169" s="2048"/>
      <c r="Q169" s="2048" t="s">
        <v>109</v>
      </c>
      <c r="R169" s="2378" t="s">
        <v>22</v>
      </c>
      <c r="S169" s="2047" t="s">
        <v>66</v>
      </c>
      <c r="T169" s="1736"/>
      <c r="U169" s="1736" t="s">
        <v>109</v>
      </c>
      <c r="V169" s="1767" t="s">
        <v>22</v>
      </c>
      <c r="W169" s="1726"/>
      <c r="Y169" s="1192"/>
      <c r="Z169" s="1192"/>
      <c r="AA169" s="1192"/>
      <c r="AB169" s="1192"/>
      <c r="AC169" s="1192"/>
      <c r="AD169" s="1192"/>
      <c r="AE169" s="1192"/>
      <c r="AF169" s="1192"/>
      <c r="AG169" s="1192"/>
      <c r="AH169" s="1192"/>
      <c r="AI169" s="1192"/>
      <c r="AJ169" s="1192"/>
      <c r="AK169" s="1192"/>
      <c r="AL169" s="1768"/>
      <c r="AM169" s="1768"/>
      <c r="AN169" s="1192"/>
      <c r="AO169" s="1192"/>
      <c r="AP169" s="1192"/>
      <c r="AQ169" s="1192"/>
    </row>
    <row r="170" spans="1:43" s="1777" customFormat="1" ht="17.25" customHeight="1">
      <c r="A170" s="1764"/>
      <c r="C170" s="1769"/>
      <c r="D170" s="1754"/>
      <c r="E170" s="1771"/>
      <c r="F170" s="1709"/>
      <c r="G170" s="1772"/>
      <c r="H170" s="1754"/>
      <c r="I170" s="1754"/>
      <c r="J170" s="1773"/>
      <c r="K170" s="1685"/>
      <c r="L170" s="1681"/>
      <c r="M170" s="1681"/>
      <c r="N170" s="1969"/>
      <c r="O170" s="1712"/>
      <c r="P170" s="2048"/>
      <c r="Q170" s="2048"/>
      <c r="R170" s="2378"/>
      <c r="S170" s="2047"/>
      <c r="T170" s="253"/>
      <c r="U170" s="254"/>
      <c r="V170" s="254" t="s">
        <v>413</v>
      </c>
      <c r="W170" s="255"/>
      <c r="Y170" s="1184"/>
      <c r="Z170" s="1184"/>
      <c r="AA170" s="1184"/>
      <c r="AB170" s="1184"/>
      <c r="AC170" s="1184"/>
      <c r="AD170" s="1184"/>
      <c r="AE170" s="1184"/>
      <c r="AF170" s="1184"/>
      <c r="AG170" s="1184"/>
      <c r="AH170" s="1184"/>
      <c r="AI170" s="1184"/>
      <c r="AJ170" s="1184"/>
      <c r="AK170" s="1184"/>
    </row>
    <row r="171" spans="1:43" ht="17.25" customHeight="1">
      <c r="G171" s="1763"/>
      <c r="H171" s="1763"/>
      <c r="I171" s="1763"/>
      <c r="M171" s="1759"/>
    </row>
    <row r="172" spans="1:43" s="1777" customFormat="1" ht="17.25" customHeight="1">
      <c r="A172" s="1764"/>
      <c r="C172" s="1766"/>
      <c r="D172" s="1754"/>
      <c r="E172" s="1771"/>
      <c r="F172" s="1709"/>
      <c r="G172" s="1772"/>
      <c r="H172" s="1681"/>
      <c r="I172" s="1681"/>
      <c r="J172" s="1682"/>
      <c r="K172" s="1772"/>
      <c r="L172" s="1681"/>
      <c r="M172" s="1681"/>
      <c r="N172" s="1772"/>
      <c r="O172" s="1772"/>
      <c r="P172" s="1681"/>
      <c r="Q172" s="1681"/>
      <c r="R172" s="1683"/>
      <c r="S172" s="1772"/>
      <c r="T172" s="1736"/>
      <c r="U172" s="1736" t="s">
        <v>109</v>
      </c>
      <c r="V172" s="1767" t="s">
        <v>22</v>
      </c>
      <c r="W172" s="1726"/>
      <c r="Y172" s="1192"/>
      <c r="Z172" s="1192"/>
      <c r="AA172" s="1192"/>
      <c r="AB172" s="1192"/>
      <c r="AC172" s="1192"/>
      <c r="AD172" s="1192"/>
      <c r="AE172" s="1192"/>
      <c r="AF172" s="1192"/>
      <c r="AG172" s="1192"/>
      <c r="AH172" s="1192"/>
      <c r="AI172" s="1192"/>
      <c r="AJ172" s="1192"/>
      <c r="AK172" s="1192"/>
      <c r="AL172" s="1768"/>
      <c r="AM172" s="1768"/>
      <c r="AN172" s="1192"/>
      <c r="AO172" s="1192"/>
      <c r="AP172" s="1192"/>
      <c r="AQ172" s="1192"/>
    </row>
    <row r="174" spans="1:43" s="1740" customFormat="1" ht="17.25" customHeight="1">
      <c r="A174" s="1740" t="s">
        <v>1937</v>
      </c>
    </row>
    <row r="175" spans="1:43" ht="17.25" customHeight="1">
      <c r="G175" s="1763"/>
      <c r="H175" s="1763"/>
      <c r="I175" s="1763"/>
      <c r="M175" s="1759"/>
    </row>
    <row r="176" spans="1:43" s="1777" customFormat="1" ht="17.25" customHeight="1">
      <c r="A176" s="1764"/>
      <c r="C176" s="1766"/>
      <c r="D176" s="2402"/>
      <c r="E176" s="2082"/>
      <c r="F176" s="2084"/>
      <c r="G176" s="2403"/>
      <c r="H176" s="2402"/>
      <c r="I176" s="2402">
        <v>1</v>
      </c>
      <c r="J176" s="2377"/>
      <c r="K176" s="2124" t="s">
        <v>66</v>
      </c>
      <c r="L176" s="2048"/>
      <c r="M176" s="2048" t="s">
        <v>109</v>
      </c>
      <c r="N176" s="2379" t="str">
        <f>IF(Z176="","",INDEX(TERRITORY_MR_LIST,MATCH(Z176,TERRITORY_LIST_ID,0)))</f>
        <v/>
      </c>
      <c r="O176" s="2124" t="s">
        <v>66</v>
      </c>
      <c r="P176" s="2048"/>
      <c r="Q176" s="2048" t="s">
        <v>109</v>
      </c>
      <c r="R176" s="2378" t="s">
        <v>22</v>
      </c>
      <c r="S176" s="2302" t="s">
        <v>19</v>
      </c>
      <c r="T176" s="1727"/>
      <c r="U176" s="1727" t="s">
        <v>109</v>
      </c>
      <c r="V176" s="1359"/>
      <c r="W176" s="2377"/>
      <c r="Y176" s="1192"/>
      <c r="Z176" s="1192"/>
      <c r="AA176" s="1192"/>
      <c r="AB176" s="1192"/>
      <c r="AC176" s="1192"/>
      <c r="AD176" s="1192"/>
      <c r="AE176" s="1192"/>
      <c r="AF176" s="1192"/>
      <c r="AG176" s="1192"/>
      <c r="AH176" s="1192"/>
      <c r="AI176" s="1192"/>
      <c r="AJ176" s="1192"/>
      <c r="AK176" s="1192"/>
      <c r="AL176" s="1768"/>
      <c r="AM176" s="1768"/>
      <c r="AN176" s="1192"/>
      <c r="AO176" s="1192"/>
      <c r="AP176" s="1192"/>
      <c r="AQ176" s="1192"/>
    </row>
    <row r="177" spans="1:43" s="1777" customFormat="1" ht="17.25" customHeight="1">
      <c r="A177" s="1764"/>
      <c r="C177" s="1769"/>
      <c r="D177" s="2402"/>
      <c r="E177" s="2082"/>
      <c r="F177" s="2085"/>
      <c r="G177" s="2403"/>
      <c r="H177" s="2402"/>
      <c r="I177" s="2402"/>
      <c r="J177" s="2377"/>
      <c r="K177" s="2125"/>
      <c r="L177" s="2048"/>
      <c r="M177" s="2048"/>
      <c r="N177" s="2379"/>
      <c r="O177" s="2125"/>
      <c r="P177" s="2048"/>
      <c r="Q177" s="2048"/>
      <c r="R177" s="2378"/>
      <c r="S177" s="2302"/>
      <c r="T177" s="1360"/>
      <c r="U177" s="1361"/>
      <c r="V177" s="1361"/>
      <c r="W177" s="2377"/>
      <c r="Y177" s="1184"/>
      <c r="Z177" s="1184"/>
      <c r="AA177" s="1184"/>
      <c r="AB177" s="1184"/>
      <c r="AC177" s="1184"/>
      <c r="AD177" s="1184"/>
      <c r="AE177" s="1184"/>
      <c r="AF177" s="1184"/>
      <c r="AG177" s="1184"/>
      <c r="AH177" s="1184"/>
      <c r="AI177" s="1184"/>
      <c r="AJ177" s="1184"/>
      <c r="AK177" s="1184"/>
    </row>
    <row r="178" spans="1:43" s="1777" customFormat="1" ht="17.25" customHeight="1">
      <c r="A178" s="1764"/>
      <c r="C178" s="1769"/>
      <c r="D178" s="2075"/>
      <c r="E178" s="2083"/>
      <c r="F178" s="2085"/>
      <c r="G178" s="2404"/>
      <c r="H178" s="2075"/>
      <c r="I178" s="2075"/>
      <c r="J178" s="2405"/>
      <c r="K178" s="2125"/>
      <c r="L178" s="2075"/>
      <c r="M178" s="2075"/>
      <c r="N178" s="2380"/>
      <c r="O178" s="2052"/>
      <c r="P178" s="253"/>
      <c r="Q178" s="254"/>
      <c r="R178" s="254" t="s">
        <v>414</v>
      </c>
      <c r="S178" s="1770"/>
      <c r="T178" s="1770"/>
      <c r="U178" s="1770"/>
      <c r="V178" s="1770"/>
      <c r="W178" s="1358"/>
      <c r="Y178" s="1184"/>
      <c r="Z178" s="1184"/>
      <c r="AA178" s="1184"/>
      <c r="AB178" s="1184"/>
      <c r="AC178" s="1184"/>
      <c r="AD178" s="1184"/>
      <c r="AE178" s="1184"/>
      <c r="AF178" s="1184"/>
      <c r="AG178" s="1184"/>
      <c r="AH178" s="1184"/>
      <c r="AI178" s="1184"/>
      <c r="AJ178" s="1184"/>
      <c r="AK178" s="1184"/>
    </row>
    <row r="179" spans="1:43" s="1777" customFormat="1" ht="17.25" customHeight="1">
      <c r="A179" s="1764"/>
      <c r="C179" s="1769"/>
      <c r="D179" s="2075"/>
      <c r="E179" s="2083"/>
      <c r="F179" s="2085"/>
      <c r="G179" s="2404"/>
      <c r="H179" s="2075"/>
      <c r="I179" s="2075"/>
      <c r="J179" s="2405"/>
      <c r="K179" s="2052"/>
      <c r="L179" s="253"/>
      <c r="M179" s="254"/>
      <c r="N179" s="254" t="s">
        <v>415</v>
      </c>
      <c r="O179" s="254"/>
      <c r="P179" s="254"/>
      <c r="Q179" s="254"/>
      <c r="R179" s="254"/>
      <c r="S179" s="1770"/>
      <c r="T179" s="1770"/>
      <c r="U179" s="1770"/>
      <c r="V179" s="1770"/>
      <c r="W179" s="255"/>
      <c r="Y179" s="1184"/>
      <c r="Z179" s="1184"/>
      <c r="AA179" s="1184"/>
      <c r="AB179" s="1184"/>
      <c r="AC179" s="1184"/>
      <c r="AD179" s="1184"/>
      <c r="AE179" s="1184"/>
      <c r="AF179" s="1184"/>
      <c r="AG179" s="1184"/>
      <c r="AH179" s="1184"/>
      <c r="AI179" s="1184"/>
      <c r="AJ179" s="1184"/>
      <c r="AK179" s="1184"/>
    </row>
    <row r="180" spans="1:43" s="1777" customFormat="1" ht="17.25" customHeight="1">
      <c r="A180" s="1764"/>
      <c r="C180" s="1769"/>
      <c r="D180" s="2075"/>
      <c r="E180" s="2083"/>
      <c r="F180" s="2086"/>
      <c r="G180" s="2404"/>
      <c r="H180" s="253"/>
      <c r="I180" s="254"/>
      <c r="J180" s="254" t="s">
        <v>447</v>
      </c>
      <c r="K180" s="254"/>
      <c r="L180" s="254"/>
      <c r="M180" s="254"/>
      <c r="N180" s="254"/>
      <c r="O180" s="254"/>
      <c r="P180" s="254"/>
      <c r="Q180" s="254"/>
      <c r="R180" s="254"/>
      <c r="S180" s="1770"/>
      <c r="T180" s="1770"/>
      <c r="U180" s="1770"/>
      <c r="V180" s="1770"/>
      <c r="W180" s="255"/>
      <c r="Y180" s="1184"/>
      <c r="Z180" s="1184"/>
      <c r="AA180" s="1184"/>
      <c r="AB180" s="1184"/>
      <c r="AC180" s="1184"/>
      <c r="AD180" s="1184"/>
      <c r="AE180" s="1184"/>
      <c r="AF180" s="1184"/>
      <c r="AG180" s="1184"/>
      <c r="AH180" s="1184"/>
      <c r="AI180" s="1184"/>
      <c r="AJ180" s="1184"/>
      <c r="AK180" s="1184"/>
    </row>
    <row r="181" spans="1:43" ht="17.25" customHeight="1"/>
    <row r="182" spans="1:43" s="1777" customFormat="1" ht="17.25" customHeight="1">
      <c r="A182" s="1764"/>
      <c r="C182" s="1766"/>
      <c r="D182" s="1754"/>
      <c r="E182" s="1771"/>
      <c r="F182" s="1709"/>
      <c r="G182" s="1772"/>
      <c r="H182" s="2402"/>
      <c r="I182" s="2402">
        <v>1</v>
      </c>
      <c r="J182" s="2377"/>
      <c r="K182" s="2124" t="s">
        <v>66</v>
      </c>
      <c r="L182" s="2048"/>
      <c r="M182" s="2048" t="s">
        <v>109</v>
      </c>
      <c r="N182" s="2379" t="str">
        <f>IF(Z182="","",INDEX(TERRITORY_MR_LIST,MATCH(Z182,TERRITORY_LIST_ID,0)))</f>
        <v/>
      </c>
      <c r="O182" s="2124" t="s">
        <v>66</v>
      </c>
      <c r="P182" s="2048"/>
      <c r="Q182" s="2048" t="s">
        <v>109</v>
      </c>
      <c r="R182" s="2378" t="s">
        <v>22</v>
      </c>
      <c r="S182" s="2302" t="s">
        <v>19</v>
      </c>
      <c r="T182" s="1727"/>
      <c r="U182" s="1727" t="s">
        <v>109</v>
      </c>
      <c r="V182" s="1359"/>
      <c r="W182" s="2377"/>
      <c r="Y182" s="1192"/>
      <c r="Z182" s="1192"/>
      <c r="AA182" s="1192"/>
      <c r="AB182" s="1192"/>
      <c r="AC182" s="1192"/>
      <c r="AD182" s="1192"/>
      <c r="AE182" s="1192"/>
      <c r="AF182" s="1192"/>
      <c r="AG182" s="1192"/>
      <c r="AH182" s="1192"/>
      <c r="AI182" s="1192"/>
      <c r="AJ182" s="1192"/>
      <c r="AK182" s="1192"/>
      <c r="AL182" s="1768"/>
      <c r="AM182" s="1768"/>
      <c r="AN182" s="1192"/>
      <c r="AO182" s="1192"/>
      <c r="AP182" s="1192"/>
      <c r="AQ182" s="1192"/>
    </row>
    <row r="183" spans="1:43" s="1777" customFormat="1" ht="17.25" customHeight="1">
      <c r="A183" s="1764"/>
      <c r="C183" s="1769"/>
      <c r="D183" s="1754"/>
      <c r="E183" s="1771"/>
      <c r="F183" s="1709"/>
      <c r="G183" s="1772"/>
      <c r="H183" s="2402"/>
      <c r="I183" s="2402"/>
      <c r="J183" s="2377"/>
      <c r="K183" s="2125"/>
      <c r="L183" s="2048"/>
      <c r="M183" s="2048"/>
      <c r="N183" s="2379"/>
      <c r="O183" s="2125"/>
      <c r="P183" s="2048"/>
      <c r="Q183" s="2048"/>
      <c r="R183" s="2378"/>
      <c r="S183" s="2302"/>
      <c r="T183" s="1360"/>
      <c r="U183" s="1361"/>
      <c r="V183" s="1361"/>
      <c r="W183" s="2377"/>
      <c r="Y183" s="1184"/>
      <c r="Z183" s="1184"/>
      <c r="AA183" s="1184"/>
      <c r="AB183" s="1184"/>
      <c r="AC183" s="1184"/>
      <c r="AD183" s="1184"/>
      <c r="AE183" s="1184"/>
      <c r="AF183" s="1184"/>
      <c r="AG183" s="1184"/>
      <c r="AH183" s="1184"/>
      <c r="AI183" s="1184"/>
      <c r="AJ183" s="1184"/>
      <c r="AK183" s="1184"/>
    </row>
    <row r="184" spans="1:43" s="1777" customFormat="1" ht="17.25" customHeight="1">
      <c r="A184" s="1764"/>
      <c r="C184" s="1769"/>
      <c r="D184" s="1754"/>
      <c r="E184" s="1771"/>
      <c r="F184" s="1709"/>
      <c r="G184" s="1772"/>
      <c r="H184" s="2075"/>
      <c r="I184" s="2075"/>
      <c r="J184" s="2405"/>
      <c r="K184" s="2125"/>
      <c r="L184" s="2075"/>
      <c r="M184" s="2075"/>
      <c r="N184" s="2380"/>
      <c r="O184" s="2052"/>
      <c r="P184" s="253"/>
      <c r="Q184" s="254"/>
      <c r="R184" s="254" t="s">
        <v>414</v>
      </c>
      <c r="S184" s="1770"/>
      <c r="T184" s="1770"/>
      <c r="U184" s="1770"/>
      <c r="V184" s="1770"/>
      <c r="W184" s="1358"/>
      <c r="Y184" s="1184"/>
      <c r="Z184" s="1184"/>
      <c r="AA184" s="1184"/>
      <c r="AB184" s="1184"/>
      <c r="AC184" s="1184"/>
      <c r="AD184" s="1184"/>
      <c r="AE184" s="1184"/>
      <c r="AF184" s="1184"/>
      <c r="AG184" s="1184"/>
      <c r="AH184" s="1184"/>
      <c r="AI184" s="1184"/>
      <c r="AJ184" s="1184"/>
      <c r="AK184" s="1184"/>
    </row>
    <row r="185" spans="1:43" s="1777" customFormat="1" ht="17.25" customHeight="1">
      <c r="A185" s="1764"/>
      <c r="C185" s="1769"/>
      <c r="D185" s="1754"/>
      <c r="E185" s="1771"/>
      <c r="F185" s="1709"/>
      <c r="G185" s="1772"/>
      <c r="H185" s="2075"/>
      <c r="I185" s="2075"/>
      <c r="J185" s="2405"/>
      <c r="K185" s="2052"/>
      <c r="L185" s="253"/>
      <c r="M185" s="254"/>
      <c r="N185" s="254" t="s">
        <v>415</v>
      </c>
      <c r="O185" s="254"/>
      <c r="P185" s="254"/>
      <c r="Q185" s="254"/>
      <c r="R185" s="254"/>
      <c r="S185" s="1770"/>
      <c r="T185" s="1770"/>
      <c r="U185" s="1770"/>
      <c r="V185" s="1770"/>
      <c r="W185" s="255"/>
      <c r="Y185" s="1184"/>
      <c r="Z185" s="1184"/>
      <c r="AA185" s="1184"/>
      <c r="AB185" s="1184"/>
      <c r="AC185" s="1184"/>
      <c r="AD185" s="1184"/>
      <c r="AE185" s="1184"/>
      <c r="AF185" s="1184"/>
      <c r="AG185" s="1184"/>
      <c r="AH185" s="1184"/>
      <c r="AI185" s="1184"/>
      <c r="AJ185" s="1184"/>
      <c r="AK185" s="1184"/>
    </row>
    <row r="186" spans="1:43" ht="17.25" customHeight="1"/>
    <row r="187" spans="1:43" s="1777" customFormat="1" ht="17.25" customHeight="1">
      <c r="A187" s="1764"/>
      <c r="C187" s="1766"/>
      <c r="D187" s="1754"/>
      <c r="E187" s="1771"/>
      <c r="F187" s="1709"/>
      <c r="G187" s="1772"/>
      <c r="H187" s="1754"/>
      <c r="I187" s="1754"/>
      <c r="J187" s="1775"/>
      <c r="K187" s="1772"/>
      <c r="L187" s="2048"/>
      <c r="M187" s="2048" t="s">
        <v>109</v>
      </c>
      <c r="N187" s="2379" t="str">
        <f>IF(Z187="","",INDEX(TERRITORY_MR_LIST,MATCH(Z187,TERRITORY_LIST_ID,0)))</f>
        <v/>
      </c>
      <c r="O187" s="2124" t="s">
        <v>66</v>
      </c>
      <c r="P187" s="2048"/>
      <c r="Q187" s="2048" t="s">
        <v>109</v>
      </c>
      <c r="R187" s="2378" t="s">
        <v>22</v>
      </c>
      <c r="S187" s="2302" t="s">
        <v>19</v>
      </c>
      <c r="T187" s="1727"/>
      <c r="U187" s="1727" t="s">
        <v>109</v>
      </c>
      <c r="V187" s="1359"/>
      <c r="W187" s="2377"/>
      <c r="Y187" s="1192"/>
      <c r="Z187" s="1192"/>
      <c r="AA187" s="1192"/>
      <c r="AB187" s="1192"/>
      <c r="AC187" s="1192"/>
      <c r="AD187" s="1192"/>
      <c r="AE187" s="1192"/>
      <c r="AF187" s="1192"/>
      <c r="AG187" s="1192"/>
      <c r="AH187" s="1192"/>
      <c r="AI187" s="1192"/>
      <c r="AJ187" s="1192"/>
      <c r="AK187" s="1192"/>
      <c r="AL187" s="1768"/>
      <c r="AM187" s="1768"/>
      <c r="AN187" s="1192"/>
      <c r="AO187" s="1192"/>
      <c r="AP187" s="1192"/>
      <c r="AQ187" s="1192"/>
    </row>
    <row r="188" spans="1:43" s="1777" customFormat="1" ht="17.25" customHeight="1">
      <c r="A188" s="1764"/>
      <c r="C188" s="1769"/>
      <c r="D188" s="1754"/>
      <c r="E188" s="1771"/>
      <c r="F188" s="1709"/>
      <c r="G188" s="1772"/>
      <c r="H188" s="1754"/>
      <c r="I188" s="1754"/>
      <c r="J188" s="1775"/>
      <c r="K188" s="1772"/>
      <c r="L188" s="2048"/>
      <c r="M188" s="2048"/>
      <c r="N188" s="2379"/>
      <c r="O188" s="2125"/>
      <c r="P188" s="2048"/>
      <c r="Q188" s="2048"/>
      <c r="R188" s="2378"/>
      <c r="S188" s="2302"/>
      <c r="T188" s="1360"/>
      <c r="U188" s="1361"/>
      <c r="V188" s="1361"/>
      <c r="W188" s="2377"/>
      <c r="Y188" s="1184"/>
      <c r="Z188" s="1184"/>
      <c r="AA188" s="1184"/>
      <c r="AB188" s="1184"/>
      <c r="AC188" s="1184"/>
      <c r="AD188" s="1184"/>
      <c r="AE188" s="1184"/>
      <c r="AF188" s="1184"/>
      <c r="AG188" s="1184"/>
      <c r="AH188" s="1184"/>
      <c r="AI188" s="1184"/>
      <c r="AJ188" s="1184"/>
      <c r="AK188" s="1184"/>
    </row>
    <row r="189" spans="1:43" s="1777" customFormat="1" ht="17.25" customHeight="1">
      <c r="A189" s="1764"/>
      <c r="C189" s="1769"/>
      <c r="D189" s="1754"/>
      <c r="E189" s="1771"/>
      <c r="F189" s="1709"/>
      <c r="G189" s="1772"/>
      <c r="H189" s="1754"/>
      <c r="I189" s="1754"/>
      <c r="J189" s="1775"/>
      <c r="K189" s="1772"/>
      <c r="L189" s="2075"/>
      <c r="M189" s="2075"/>
      <c r="N189" s="2380"/>
      <c r="O189" s="2052"/>
      <c r="P189" s="253"/>
      <c r="Q189" s="254"/>
      <c r="R189" s="254" t="s">
        <v>414</v>
      </c>
      <c r="S189" s="1770"/>
      <c r="T189" s="1770"/>
      <c r="U189" s="1770"/>
      <c r="V189" s="1770"/>
      <c r="W189" s="1358"/>
      <c r="Y189" s="1184"/>
      <c r="Z189" s="1184"/>
      <c r="AA189" s="1184"/>
      <c r="AB189" s="1184"/>
      <c r="AC189" s="1184"/>
      <c r="AD189" s="1184"/>
      <c r="AE189" s="1184"/>
      <c r="AF189" s="1184"/>
      <c r="AG189" s="1184"/>
      <c r="AH189" s="1184"/>
      <c r="AI189" s="1184"/>
      <c r="AJ189" s="1184"/>
      <c r="AK189" s="1184"/>
    </row>
    <row r="190" spans="1:43" ht="17.25" customHeight="1"/>
    <row r="191" spans="1:43" s="1777" customFormat="1" ht="17.25" customHeight="1">
      <c r="A191" s="1764"/>
      <c r="C191" s="1766"/>
      <c r="D191" s="1754"/>
      <c r="E191" s="1771"/>
      <c r="F191" s="1709"/>
      <c r="G191" s="1772"/>
      <c r="H191" s="1754"/>
      <c r="I191" s="1754"/>
      <c r="J191" s="1775"/>
      <c r="K191" s="1772"/>
      <c r="L191" s="1754"/>
      <c r="M191" s="1754"/>
      <c r="N191" s="1969"/>
      <c r="O191" s="1712"/>
      <c r="P191" s="2048"/>
      <c r="Q191" s="2048" t="s">
        <v>109</v>
      </c>
      <c r="R191" s="2378" t="s">
        <v>22</v>
      </c>
      <c r="S191" s="2302" t="s">
        <v>19</v>
      </c>
      <c r="T191" s="1727"/>
      <c r="U191" s="1727" t="s">
        <v>109</v>
      </c>
      <c r="V191" s="1359"/>
      <c r="W191" s="2377"/>
      <c r="Y191" s="1192"/>
      <c r="Z191" s="1192"/>
      <c r="AA191" s="1192"/>
      <c r="AB191" s="1192"/>
      <c r="AC191" s="1192"/>
      <c r="AD191" s="1192"/>
      <c r="AE191" s="1192"/>
      <c r="AF191" s="1192"/>
      <c r="AG191" s="1192"/>
      <c r="AH191" s="1192"/>
      <c r="AI191" s="1192"/>
      <c r="AJ191" s="1192"/>
      <c r="AK191" s="1192"/>
      <c r="AL191" s="1768"/>
      <c r="AM191" s="1768"/>
      <c r="AN191" s="1192"/>
      <c r="AO191" s="1192"/>
      <c r="AP191" s="1192"/>
      <c r="AQ191" s="1192"/>
    </row>
    <row r="192" spans="1:43" s="1777" customFormat="1" ht="17.25" customHeight="1">
      <c r="A192" s="1764"/>
      <c r="C192" s="1769"/>
      <c r="D192" s="1754"/>
      <c r="E192" s="1771"/>
      <c r="F192" s="1709"/>
      <c r="G192" s="1772"/>
      <c r="H192" s="1754"/>
      <c r="I192" s="1754"/>
      <c r="J192" s="1775"/>
      <c r="K192" s="1772"/>
      <c r="L192" s="1754"/>
      <c r="M192" s="1754"/>
      <c r="N192" s="1969"/>
      <c r="O192" s="1712"/>
      <c r="P192" s="2048"/>
      <c r="Q192" s="2048"/>
      <c r="R192" s="2378"/>
      <c r="S192" s="2302"/>
      <c r="T192" s="1360"/>
      <c r="U192" s="1361"/>
      <c r="V192" s="1361"/>
      <c r="W192" s="2377"/>
      <c r="Y192" s="1184"/>
      <c r="Z192" s="1184"/>
      <c r="AA192" s="1184"/>
      <c r="AB192" s="1184"/>
      <c r="AC192" s="1184"/>
      <c r="AD192" s="1184"/>
      <c r="AE192" s="1184"/>
      <c r="AF192" s="1184"/>
      <c r="AG192" s="1184"/>
      <c r="AH192" s="1184"/>
      <c r="AI192" s="1184"/>
      <c r="AJ192" s="1184"/>
      <c r="AK192" s="1184"/>
    </row>
    <row r="193" spans="1:63" ht="17.25" customHeight="1"/>
    <row r="194" spans="1:63" ht="16.5" customHeight="1">
      <c r="A194" s="1764"/>
      <c r="B194" s="1765"/>
      <c r="C194" s="1769"/>
      <c r="D194" s="2402"/>
      <c r="E194" s="2118"/>
      <c r="F194" s="2118"/>
      <c r="G194" s="2066"/>
      <c r="H194" s="2087"/>
      <c r="I194" s="2089"/>
      <c r="J194" s="2091"/>
      <c r="K194" s="2076"/>
      <c r="L194" s="2076"/>
      <c r="M194" s="2076"/>
      <c r="N194" s="2078"/>
      <c r="O194" s="2076"/>
      <c r="P194" s="2076"/>
      <c r="Q194" s="2076"/>
      <c r="R194" s="2081"/>
      <c r="S194" s="2076"/>
      <c r="T194" s="1708"/>
      <c r="U194" s="1708"/>
      <c r="V194" s="1776"/>
      <c r="W194" s="1221"/>
    </row>
    <row r="195" spans="1:63" ht="16.5" customHeight="1">
      <c r="A195" s="1764"/>
      <c r="B195" s="1765"/>
      <c r="C195" s="1769"/>
      <c r="D195" s="2402"/>
      <c r="E195" s="2118"/>
      <c r="F195" s="2118"/>
      <c r="G195" s="2066"/>
      <c r="H195" s="2088"/>
      <c r="I195" s="2090"/>
      <c r="J195" s="2092"/>
      <c r="K195" s="2077"/>
      <c r="L195" s="2077"/>
      <c r="M195" s="2077"/>
      <c r="N195" s="2079"/>
      <c r="O195" s="2077"/>
      <c r="P195" s="2077"/>
      <c r="Q195" s="2077"/>
      <c r="R195" s="2080"/>
      <c r="S195" s="2077"/>
      <c r="T195" s="1222"/>
      <c r="U195" s="1222"/>
      <c r="V195" s="1222"/>
      <c r="W195" s="1223"/>
    </row>
    <row r="196" spans="1:63" ht="17.25" customHeight="1">
      <c r="A196" s="1764"/>
      <c r="B196" s="1765"/>
      <c r="C196" s="1769"/>
      <c r="D196" s="2402"/>
      <c r="E196" s="2118"/>
      <c r="F196" s="2118"/>
      <c r="G196" s="2066"/>
      <c r="H196" s="2088"/>
      <c r="I196" s="2090"/>
      <c r="J196" s="2093"/>
      <c r="K196" s="2077"/>
      <c r="L196" s="2077"/>
      <c r="M196" s="2077"/>
      <c r="N196" s="2080"/>
      <c r="O196" s="2077"/>
      <c r="P196" s="1711"/>
      <c r="Q196" s="1222"/>
      <c r="R196" s="1222"/>
      <c r="S196" s="1777"/>
      <c r="T196" s="1777"/>
      <c r="U196" s="1777"/>
      <c r="V196" s="1777"/>
      <c r="W196" s="1223"/>
    </row>
    <row r="197" spans="1:63" ht="17.25" customHeight="1">
      <c r="A197" s="1764"/>
      <c r="B197" s="1765"/>
      <c r="C197" s="1769"/>
      <c r="D197" s="2402"/>
      <c r="E197" s="2118"/>
      <c r="F197" s="2118"/>
      <c r="G197" s="2066"/>
      <c r="H197" s="2088"/>
      <c r="I197" s="2090"/>
      <c r="J197" s="2093"/>
      <c r="K197" s="2077"/>
      <c r="L197" s="1222"/>
      <c r="M197" s="1222"/>
      <c r="N197" s="1222"/>
      <c r="O197" s="1222"/>
      <c r="P197" s="1222"/>
      <c r="Q197" s="1222"/>
      <c r="R197" s="1222"/>
      <c r="S197" s="1777"/>
      <c r="T197" s="1777"/>
      <c r="U197" s="1777"/>
      <c r="V197" s="1777"/>
      <c r="W197" s="1223"/>
    </row>
    <row r="198" spans="1:63" ht="17.25" customHeight="1">
      <c r="A198" s="1764"/>
      <c r="B198" s="1765"/>
      <c r="C198" s="1769"/>
      <c r="D198" s="2402"/>
      <c r="E198" s="2118"/>
      <c r="F198" s="2118"/>
      <c r="G198" s="2066"/>
      <c r="H198" s="1224"/>
      <c r="I198" s="1225"/>
      <c r="J198" s="1225"/>
      <c r="K198" s="1225"/>
      <c r="L198" s="1225"/>
      <c r="M198" s="1225"/>
      <c r="N198" s="1225"/>
      <c r="O198" s="1225"/>
      <c r="P198" s="1225"/>
      <c r="Q198" s="1225"/>
      <c r="R198" s="1225"/>
      <c r="S198" s="1778"/>
      <c r="T198" s="1778"/>
      <c r="U198" s="1778"/>
      <c r="V198" s="1778"/>
      <c r="W198" s="1227"/>
    </row>
    <row r="200" spans="1:63" s="1740" customFormat="1" ht="17.25" customHeight="1">
      <c r="A200" s="1740" t="s">
        <v>1938</v>
      </c>
    </row>
    <row r="201" spans="1:63" ht="17.25" customHeight="1">
      <c r="G201" s="1763"/>
      <c r="H201" s="1763"/>
      <c r="I201" s="1763"/>
      <c r="M201" s="1759"/>
    </row>
    <row r="202" spans="1:63" s="1774" customFormat="1" ht="15" customHeight="1">
      <c r="D202" s="2396"/>
      <c r="E202" s="2135"/>
      <c r="F202" s="2135"/>
      <c r="G202" s="2124"/>
      <c r="H202" s="1489"/>
      <c r="I202" s="2400">
        <v>1</v>
      </c>
      <c r="J202" s="2377"/>
      <c r="K202" s="1504"/>
      <c r="L202" s="2124" t="s">
        <v>66</v>
      </c>
      <c r="M202" s="2124" t="s">
        <v>66</v>
      </c>
      <c r="N202" s="1489"/>
      <c r="O202" s="2048" t="s">
        <v>109</v>
      </c>
      <c r="P202" s="2390"/>
      <c r="Q202" s="1505"/>
      <c r="R202" s="2124" t="s">
        <v>66</v>
      </c>
      <c r="S202" s="2124" t="s">
        <v>66</v>
      </c>
      <c r="T202" s="1779"/>
      <c r="U202" s="2048" t="s">
        <v>109</v>
      </c>
      <c r="V202" s="2397" t="str">
        <f>IF(AK202="","",INDEX(TERRITORY_MR_LIST,MATCH(AK202,TERRITORY_LIST_ID,0)))</f>
        <v/>
      </c>
      <c r="W202" s="1506"/>
      <c r="X202" s="2124" t="s">
        <v>66</v>
      </c>
      <c r="Y202" s="2124" t="s">
        <v>19</v>
      </c>
      <c r="Z202" s="1489"/>
      <c r="AA202" s="2048" t="s">
        <v>109</v>
      </c>
      <c r="AB202" s="2399"/>
      <c r="AC202" s="1507"/>
      <c r="AD202" s="2124" t="s">
        <v>66</v>
      </c>
      <c r="AE202" s="2124" t="s">
        <v>19</v>
      </c>
      <c r="AF202" s="1487"/>
      <c r="AG202" s="1736" t="s">
        <v>109</v>
      </c>
      <c r="AH202" s="1497"/>
      <c r="AI202" s="1726"/>
    </row>
    <row r="203" spans="1:63" s="1774" customFormat="1" ht="15" customHeight="1">
      <c r="D203" s="2396"/>
      <c r="E203" s="2135"/>
      <c r="F203" s="2135"/>
      <c r="G203" s="2125"/>
      <c r="H203" s="1489"/>
      <c r="I203" s="2400"/>
      <c r="J203" s="2377"/>
      <c r="K203" s="1488"/>
      <c r="L203" s="2125"/>
      <c r="M203" s="2125"/>
      <c r="N203" s="1489"/>
      <c r="O203" s="2048"/>
      <c r="P203" s="2390"/>
      <c r="Q203" s="1485"/>
      <c r="R203" s="2125"/>
      <c r="S203" s="2125"/>
      <c r="T203" s="1779"/>
      <c r="U203" s="2048"/>
      <c r="V203" s="2398"/>
      <c r="W203" s="1486"/>
      <c r="X203" s="2125"/>
      <c r="Y203" s="2125"/>
      <c r="Z203" s="1489"/>
      <c r="AA203" s="2048"/>
      <c r="AB203" s="2372"/>
      <c r="AC203" s="1490"/>
      <c r="AD203" s="2052"/>
      <c r="AE203" s="2052"/>
      <c r="AF203" s="1491"/>
      <c r="AG203" s="1492"/>
      <c r="AH203" s="2391" t="s">
        <v>1939</v>
      </c>
      <c r="AI203" s="2392"/>
    </row>
    <row r="204" spans="1:63" s="1774" customFormat="1" ht="15" customHeight="1">
      <c r="D204" s="2396"/>
      <c r="E204" s="2135"/>
      <c r="F204" s="2135"/>
      <c r="G204" s="2125"/>
      <c r="H204" s="1489"/>
      <c r="I204" s="2400"/>
      <c r="J204" s="2377"/>
      <c r="K204" s="1488"/>
      <c r="L204" s="2125"/>
      <c r="M204" s="2125"/>
      <c r="N204" s="1489"/>
      <c r="O204" s="2048"/>
      <c r="P204" s="2390"/>
      <c r="Q204" s="1485"/>
      <c r="R204" s="2125"/>
      <c r="S204" s="2125"/>
      <c r="T204" s="1779"/>
      <c r="U204" s="2048"/>
      <c r="V204" s="2398"/>
      <c r="W204" s="1486"/>
      <c r="X204" s="2125"/>
      <c r="Y204" s="2125"/>
      <c r="Z204" s="1528"/>
      <c r="AA204" s="1494"/>
      <c r="AB204" s="2393" t="s">
        <v>1940</v>
      </c>
      <c r="AC204" s="2393"/>
      <c r="AD204" s="2393"/>
      <c r="AE204" s="2393"/>
      <c r="AF204" s="2393"/>
      <c r="AG204" s="2393"/>
      <c r="AH204" s="2393"/>
      <c r="AI204" s="2394"/>
    </row>
    <row r="205" spans="1:63" s="1774" customFormat="1" ht="15" customHeight="1">
      <c r="D205" s="2396"/>
      <c r="E205" s="2135"/>
      <c r="F205" s="2135"/>
      <c r="G205" s="2125"/>
      <c r="H205" s="1489"/>
      <c r="I205" s="2400"/>
      <c r="J205" s="2377"/>
      <c r="K205" s="1488"/>
      <c r="L205" s="2125"/>
      <c r="M205" s="2125"/>
      <c r="N205" s="1489"/>
      <c r="O205" s="2048"/>
      <c r="P205" s="2395"/>
      <c r="Q205" s="1485"/>
      <c r="R205" s="2125"/>
      <c r="S205" s="2125"/>
      <c r="T205" s="1780"/>
      <c r="U205" s="1529"/>
      <c r="V205" s="2391" t="s">
        <v>103</v>
      </c>
      <c r="W205" s="2391"/>
      <c r="X205" s="2391"/>
      <c r="Y205" s="2391"/>
      <c r="Z205" s="2391"/>
      <c r="AA205" s="2391"/>
      <c r="AB205" s="2391"/>
      <c r="AC205" s="2391"/>
      <c r="AD205" s="2391"/>
      <c r="AE205" s="2391"/>
      <c r="AF205" s="2391"/>
      <c r="AG205" s="2391"/>
      <c r="AH205" s="2391"/>
      <c r="AI205" s="2392"/>
    </row>
    <row r="206" spans="1:63" s="1774" customFormat="1" ht="11.25" customHeight="1">
      <c r="D206" s="2396"/>
      <c r="E206" s="2135"/>
      <c r="F206" s="2135"/>
      <c r="G206" s="2125"/>
      <c r="H206" s="1493"/>
      <c r="I206" s="2400"/>
      <c r="J206" s="2401"/>
      <c r="K206" s="1488"/>
      <c r="L206" s="2125"/>
      <c r="M206" s="2125"/>
      <c r="N206" s="1493"/>
      <c r="O206" s="1494"/>
      <c r="P206" s="2391" t="s">
        <v>1941</v>
      </c>
      <c r="Q206" s="2391"/>
      <c r="R206" s="2391"/>
      <c r="S206" s="2391"/>
      <c r="T206" s="2391"/>
      <c r="U206" s="2391"/>
      <c r="V206" s="2391"/>
      <c r="W206" s="2391"/>
      <c r="X206" s="2391"/>
      <c r="Y206" s="2391"/>
      <c r="Z206" s="2391"/>
      <c r="AA206" s="2391"/>
      <c r="AB206" s="2391"/>
      <c r="AC206" s="2391"/>
      <c r="AD206" s="2391"/>
      <c r="AE206" s="2391"/>
      <c r="AF206" s="2391"/>
      <c r="AG206" s="2391"/>
      <c r="AH206" s="2391"/>
      <c r="AI206" s="2392"/>
    </row>
    <row r="207" spans="1:63" s="1479" customFormat="1" ht="11.25" customHeight="1">
      <c r="D207" s="2396"/>
      <c r="E207" s="2135"/>
      <c r="F207" s="2135"/>
      <c r="G207" s="2052"/>
      <c r="H207" s="1495"/>
      <c r="I207" s="1496"/>
      <c r="J207" s="2391" t="s">
        <v>447</v>
      </c>
      <c r="K207" s="2391"/>
      <c r="L207" s="2391"/>
      <c r="M207" s="2391"/>
      <c r="N207" s="2391"/>
      <c r="O207" s="2391"/>
      <c r="P207" s="2391"/>
      <c r="Q207" s="2391"/>
      <c r="R207" s="2391"/>
      <c r="S207" s="2391"/>
      <c r="T207" s="2391"/>
      <c r="U207" s="2391"/>
      <c r="V207" s="2391"/>
      <c r="W207" s="2391"/>
      <c r="X207" s="2391"/>
      <c r="Y207" s="2391"/>
      <c r="Z207" s="2391"/>
      <c r="AA207" s="2391"/>
      <c r="AB207" s="2391"/>
      <c r="AC207" s="2391"/>
      <c r="AD207" s="2391"/>
      <c r="AE207" s="2391"/>
      <c r="AF207" s="2391"/>
      <c r="AG207" s="2391"/>
      <c r="AH207" s="2391"/>
      <c r="AI207" s="2392"/>
      <c r="BK207" s="1499"/>
    </row>
    <row r="208" spans="1:63" ht="17.25" customHeight="1">
      <c r="G208" s="1763"/>
      <c r="I208" s="1763"/>
      <c r="J208" s="1763"/>
      <c r="N208" s="1759"/>
    </row>
    <row r="209" spans="4:63" s="1774" customFormat="1" ht="15" customHeight="1">
      <c r="D209" s="2396"/>
      <c r="E209" s="2135"/>
      <c r="F209" s="2135"/>
      <c r="G209" s="2118"/>
      <c r="H209" s="1524"/>
      <c r="I209" s="2120"/>
      <c r="J209" s="2091"/>
      <c r="K209" s="1710"/>
      <c r="L209" s="2076"/>
      <c r="M209" s="2076"/>
      <c r="N209" s="1509"/>
      <c r="O209" s="2076"/>
      <c r="P209" s="2091"/>
      <c r="Q209" s="1714"/>
      <c r="R209" s="2076"/>
      <c r="S209" s="2076"/>
      <c r="T209" s="1781"/>
      <c r="U209" s="2076"/>
      <c r="V209" s="2091"/>
      <c r="W209" s="1512"/>
      <c r="X209" s="2076"/>
      <c r="Y209" s="2076"/>
      <c r="Z209" s="1509"/>
      <c r="AA209" s="2076"/>
      <c r="AB209" s="2091"/>
      <c r="AC209" s="1513"/>
      <c r="AD209" s="2076"/>
      <c r="AE209" s="2076"/>
      <c r="AF209" s="1708"/>
      <c r="AG209" s="1708"/>
      <c r="AH209" s="1514"/>
      <c r="AI209" s="1221"/>
    </row>
    <row r="210" spans="4:63" s="1774" customFormat="1" ht="15" customHeight="1">
      <c r="D210" s="2396"/>
      <c r="E210" s="2135"/>
      <c r="F210" s="2135"/>
      <c r="G210" s="2118"/>
      <c r="H210" s="1525"/>
      <c r="I210" s="2121"/>
      <c r="J210" s="2092"/>
      <c r="K210" s="1535"/>
      <c r="L210" s="2077"/>
      <c r="M210" s="2077"/>
      <c r="N210" s="1515"/>
      <c r="O210" s="2077"/>
      <c r="P210" s="2092"/>
      <c r="Q210" s="1715"/>
      <c r="R210" s="2077"/>
      <c r="S210" s="2077"/>
      <c r="T210" s="1782"/>
      <c r="U210" s="2077"/>
      <c r="V210" s="2092"/>
      <c r="W210" s="1518"/>
      <c r="X210" s="2077"/>
      <c r="Y210" s="2077"/>
      <c r="Z210" s="1515"/>
      <c r="AA210" s="2077"/>
      <c r="AB210" s="2092"/>
      <c r="AC210" s="1519"/>
      <c r="AD210" s="2077"/>
      <c r="AE210" s="2077"/>
      <c r="AF210" s="1713"/>
      <c r="AG210" s="1713"/>
      <c r="AH210" s="2116"/>
      <c r="AI210" s="2117"/>
    </row>
    <row r="211" spans="4:63" s="1774" customFormat="1" ht="15" customHeight="1">
      <c r="D211" s="2396"/>
      <c r="E211" s="2135"/>
      <c r="F211" s="2135"/>
      <c r="G211" s="2118"/>
      <c r="H211" s="1525"/>
      <c r="I211" s="2121"/>
      <c r="J211" s="2092"/>
      <c r="K211" s="1535"/>
      <c r="L211" s="2077"/>
      <c r="M211" s="2077"/>
      <c r="N211" s="1515"/>
      <c r="O211" s="2077"/>
      <c r="P211" s="2092"/>
      <c r="Q211" s="1715"/>
      <c r="R211" s="2077"/>
      <c r="S211" s="2077"/>
      <c r="T211" s="1782"/>
      <c r="U211" s="2077"/>
      <c r="V211" s="2092"/>
      <c r="W211" s="1518"/>
      <c r="X211" s="2077"/>
      <c r="Y211" s="2077"/>
      <c r="Z211" s="1711"/>
      <c r="AA211" s="1713"/>
      <c r="AB211" s="2116"/>
      <c r="AC211" s="2116"/>
      <c r="AD211" s="2116"/>
      <c r="AE211" s="2116"/>
      <c r="AF211" s="2116"/>
      <c r="AG211" s="2116"/>
      <c r="AH211" s="2116"/>
      <c r="AI211" s="2117"/>
    </row>
    <row r="212" spans="4:63" s="1774" customFormat="1" ht="15" customHeight="1">
      <c r="D212" s="2396"/>
      <c r="E212" s="2135"/>
      <c r="F212" s="2135"/>
      <c r="G212" s="2118"/>
      <c r="H212" s="1525"/>
      <c r="I212" s="2121"/>
      <c r="J212" s="2092"/>
      <c r="K212" s="1535"/>
      <c r="L212" s="2077"/>
      <c r="M212" s="2077"/>
      <c r="N212" s="1515"/>
      <c r="O212" s="2077"/>
      <c r="P212" s="2092"/>
      <c r="Q212" s="1715"/>
      <c r="R212" s="2077"/>
      <c r="S212" s="2077"/>
      <c r="T212" s="1783"/>
      <c r="U212" s="1522"/>
      <c r="V212" s="2116"/>
      <c r="W212" s="2116"/>
      <c r="X212" s="2116"/>
      <c r="Y212" s="2116"/>
      <c r="Z212" s="2116"/>
      <c r="AA212" s="2116"/>
      <c r="AB212" s="2116"/>
      <c r="AC212" s="2116"/>
      <c r="AD212" s="2116"/>
      <c r="AE212" s="2116"/>
      <c r="AF212" s="2116"/>
      <c r="AG212" s="2116"/>
      <c r="AH212" s="2116"/>
      <c r="AI212" s="2117"/>
    </row>
    <row r="213" spans="4:63" s="1774" customFormat="1" ht="11.25" customHeight="1">
      <c r="D213" s="2396"/>
      <c r="E213" s="2135"/>
      <c r="F213" s="2135"/>
      <c r="G213" s="2118"/>
      <c r="H213" s="1526"/>
      <c r="I213" s="2121"/>
      <c r="J213" s="2092"/>
      <c r="K213" s="1535"/>
      <c r="L213" s="2077"/>
      <c r="M213" s="2077"/>
      <c r="N213" s="1713"/>
      <c r="O213" s="1713"/>
      <c r="P213" s="2116"/>
      <c r="Q213" s="2116"/>
      <c r="R213" s="2116"/>
      <c r="S213" s="2116"/>
      <c r="T213" s="2116"/>
      <c r="U213" s="2116"/>
      <c r="V213" s="2116"/>
      <c r="W213" s="2116"/>
      <c r="X213" s="2116"/>
      <c r="Y213" s="2116"/>
      <c r="Z213" s="2116"/>
      <c r="AA213" s="2116"/>
      <c r="AB213" s="2116"/>
      <c r="AC213" s="2116"/>
      <c r="AD213" s="2116"/>
      <c r="AE213" s="2116"/>
      <c r="AF213" s="2116"/>
      <c r="AG213" s="2116"/>
      <c r="AH213" s="2116"/>
      <c r="AI213" s="2117"/>
    </row>
    <row r="214" spans="4:63" s="1479" customFormat="1" ht="11.25" customHeight="1">
      <c r="D214" s="2396"/>
      <c r="E214" s="2135"/>
      <c r="F214" s="2135"/>
      <c r="G214" s="2123"/>
      <c r="H214" s="1523"/>
      <c r="I214" s="1527"/>
      <c r="J214" s="2126"/>
      <c r="K214" s="2126"/>
      <c r="L214" s="2126"/>
      <c r="M214" s="2126"/>
      <c r="N214" s="2126"/>
      <c r="O214" s="2126"/>
      <c r="P214" s="2126"/>
      <c r="Q214" s="2126"/>
      <c r="R214" s="2126"/>
      <c r="S214" s="2126"/>
      <c r="T214" s="2126"/>
      <c r="U214" s="2126"/>
      <c r="V214" s="2126"/>
      <c r="W214" s="2126"/>
      <c r="X214" s="2126"/>
      <c r="Y214" s="2126"/>
      <c r="Z214" s="2126"/>
      <c r="AA214" s="2126"/>
      <c r="AB214" s="2126"/>
      <c r="AC214" s="2126"/>
      <c r="AD214" s="2126"/>
      <c r="AE214" s="2126"/>
      <c r="AF214" s="2126"/>
      <c r="AG214" s="2126"/>
      <c r="AH214" s="2126"/>
      <c r="AI214" s="2127"/>
      <c r="BK214" s="1499"/>
    </row>
    <row r="215" spans="4:63" ht="17.25" customHeight="1"/>
  </sheetData>
  <sheetProtection formatColumns="0" formatRows="0" insertRows="0" deleteColumns="0" deleteRows="0" sort="0" autoFilter="0"/>
  <mergeCells count="287">
    <mergeCell ref="A47:A51"/>
    <mergeCell ref="C47:C51"/>
    <mergeCell ref="F72:F73"/>
    <mergeCell ref="G72:G73"/>
    <mergeCell ref="H72:H73"/>
    <mergeCell ref="I72:I73"/>
    <mergeCell ref="J72:J73"/>
    <mergeCell ref="K72:K73"/>
    <mergeCell ref="U121:U123"/>
    <mergeCell ref="P83:P85"/>
    <mergeCell ref="Q83:Q85"/>
    <mergeCell ref="R83:R85"/>
    <mergeCell ref="N91:N93"/>
    <mergeCell ref="O91:O93"/>
    <mergeCell ref="P91:P93"/>
    <mergeCell ref="Q91:Q93"/>
    <mergeCell ref="R91:R93"/>
    <mergeCell ref="S91:S93"/>
    <mergeCell ref="T91:T93"/>
    <mergeCell ref="U91:U93"/>
    <mergeCell ref="V121:V123"/>
    <mergeCell ref="D154:D158"/>
    <mergeCell ref="L72:L73"/>
    <mergeCell ref="G82:G86"/>
    <mergeCell ref="U133:U135"/>
    <mergeCell ref="V133:V135"/>
    <mergeCell ref="O154:O156"/>
    <mergeCell ref="S154:S155"/>
    <mergeCell ref="U72:U73"/>
    <mergeCell ref="V72:V73"/>
    <mergeCell ref="U130:U132"/>
    <mergeCell ref="V130:V132"/>
    <mergeCell ref="P154:P155"/>
    <mergeCell ref="Q154:Q155"/>
    <mergeCell ref="R154:R155"/>
    <mergeCell ref="G154:G158"/>
    <mergeCell ref="K154:K157"/>
    <mergeCell ref="D127:D135"/>
    <mergeCell ref="E127:G127"/>
    <mergeCell ref="H127:R127"/>
    <mergeCell ref="D115:D123"/>
    <mergeCell ref="E115:G115"/>
    <mergeCell ref="H115:R115"/>
    <mergeCell ref="M154:M156"/>
    <mergeCell ref="H147:H148"/>
    <mergeCell ref="I147:I148"/>
    <mergeCell ref="J147:J148"/>
    <mergeCell ref="K147:K148"/>
    <mergeCell ref="AC115:AC120"/>
    <mergeCell ref="E116:G116"/>
    <mergeCell ref="H116:R116"/>
    <mergeCell ref="E117:G117"/>
    <mergeCell ref="E139:E142"/>
    <mergeCell ref="F139:F142"/>
    <mergeCell ref="G139:G142"/>
    <mergeCell ref="L139:M139"/>
    <mergeCell ref="S139:S142"/>
    <mergeCell ref="H140:H141"/>
    <mergeCell ref="I140:I141"/>
    <mergeCell ref="J140:J141"/>
    <mergeCell ref="K140:K141"/>
    <mergeCell ref="H117:R117"/>
    <mergeCell ref="E118:P118"/>
    <mergeCell ref="U118:U120"/>
    <mergeCell ref="V118:V120"/>
    <mergeCell ref="E121:P121"/>
    <mergeCell ref="AC127:AC132"/>
    <mergeCell ref="E128:G128"/>
    <mergeCell ref="L154:L156"/>
    <mergeCell ref="N194:N196"/>
    <mergeCell ref="E154:E158"/>
    <mergeCell ref="N154:N156"/>
    <mergeCell ref="J154:J157"/>
    <mergeCell ref="F154:F158"/>
    <mergeCell ref="E194:E198"/>
    <mergeCell ref="H154:H157"/>
    <mergeCell ref="G194:G198"/>
    <mergeCell ref="H160:H163"/>
    <mergeCell ref="I160:I163"/>
    <mergeCell ref="J160:J163"/>
    <mergeCell ref="K160:K163"/>
    <mergeCell ref="L160:L162"/>
    <mergeCell ref="M160:M162"/>
    <mergeCell ref="N160:N162"/>
    <mergeCell ref="F194:F198"/>
    <mergeCell ref="I194:I197"/>
    <mergeCell ref="M176:M178"/>
    <mergeCell ref="N176:N178"/>
    <mergeCell ref="H182:H185"/>
    <mergeCell ref="I182:I185"/>
    <mergeCell ref="J182:J185"/>
    <mergeCell ref="K182:K185"/>
    <mergeCell ref="L194:L196"/>
    <mergeCell ref="S160:S161"/>
    <mergeCell ref="L165:L167"/>
    <mergeCell ref="M165:M167"/>
    <mergeCell ref="N165:N167"/>
    <mergeCell ref="O165:O167"/>
    <mergeCell ref="S165:S166"/>
    <mergeCell ref="Q194:Q195"/>
    <mergeCell ref="R194:R195"/>
    <mergeCell ref="S194:S195"/>
    <mergeCell ref="P194:P195"/>
    <mergeCell ref="S169:S170"/>
    <mergeCell ref="L182:L184"/>
    <mergeCell ref="M182:M184"/>
    <mergeCell ref="N182:N184"/>
    <mergeCell ref="O182:O184"/>
    <mergeCell ref="P182:P183"/>
    <mergeCell ref="Q182:Q183"/>
    <mergeCell ref="R182:R183"/>
    <mergeCell ref="S182:S183"/>
    <mergeCell ref="S176:S177"/>
    <mergeCell ref="A13:A15"/>
    <mergeCell ref="D23:D25"/>
    <mergeCell ref="E23:E25"/>
    <mergeCell ref="F23:F25"/>
    <mergeCell ref="G23:G24"/>
    <mergeCell ref="H23:H24"/>
    <mergeCell ref="I23:I24"/>
    <mergeCell ref="J23:J24"/>
    <mergeCell ref="G29:G30"/>
    <mergeCell ref="H29:H30"/>
    <mergeCell ref="I29:I30"/>
    <mergeCell ref="J29:J30"/>
    <mergeCell ref="H128:R128"/>
    <mergeCell ref="E129:G129"/>
    <mergeCell ref="H129:R129"/>
    <mergeCell ref="E130:P130"/>
    <mergeCell ref="D194:D198"/>
    <mergeCell ref="I154:I157"/>
    <mergeCell ref="H194:H197"/>
    <mergeCell ref="J194:J197"/>
    <mergeCell ref="K194:K197"/>
    <mergeCell ref="M194:M196"/>
    <mergeCell ref="O194:O196"/>
    <mergeCell ref="P165:P166"/>
    <mergeCell ref="Q165:Q166"/>
    <mergeCell ref="R165:R166"/>
    <mergeCell ref="P169:P170"/>
    <mergeCell ref="Q169:Q170"/>
    <mergeCell ref="R169:R170"/>
    <mergeCell ref="P191:P192"/>
    <mergeCell ref="Q191:Q192"/>
    <mergeCell ref="R191:R192"/>
    <mergeCell ref="O160:O162"/>
    <mergeCell ref="P160:P161"/>
    <mergeCell ref="Q160:Q161"/>
    <mergeCell ref="R160:R161"/>
    <mergeCell ref="Y72:Y73"/>
    <mergeCell ref="S72:S73"/>
    <mergeCell ref="T72:T73"/>
    <mergeCell ref="M72:M73"/>
    <mergeCell ref="N72:N73"/>
    <mergeCell ref="O72:O73"/>
    <mergeCell ref="Q72:Q73"/>
    <mergeCell ref="R72:R73"/>
    <mergeCell ref="W72:W73"/>
    <mergeCell ref="X72:X73"/>
    <mergeCell ref="P72:P73"/>
    <mergeCell ref="AJ82:AJ86"/>
    <mergeCell ref="AK82:AK86"/>
    <mergeCell ref="I87:K87"/>
    <mergeCell ref="F82:F87"/>
    <mergeCell ref="AF82:AF86"/>
    <mergeCell ref="AG82:AG86"/>
    <mergeCell ref="AH82:AH86"/>
    <mergeCell ref="AI82:AI86"/>
    <mergeCell ref="S83:S85"/>
    <mergeCell ref="T83:T85"/>
    <mergeCell ref="U83:U85"/>
    <mergeCell ref="V83:V85"/>
    <mergeCell ref="W83:W85"/>
    <mergeCell ref="X83:X85"/>
    <mergeCell ref="Y83:Y85"/>
    <mergeCell ref="H82:H86"/>
    <mergeCell ref="I82:I86"/>
    <mergeCell ref="J82:J86"/>
    <mergeCell ref="K82:K86"/>
    <mergeCell ref="L82:L86"/>
    <mergeCell ref="M82:M86"/>
    <mergeCell ref="N83:N85"/>
    <mergeCell ref="O83:O85"/>
    <mergeCell ref="D176:D180"/>
    <mergeCell ref="E176:E180"/>
    <mergeCell ref="F176:F180"/>
    <mergeCell ref="G176:G180"/>
    <mergeCell ref="H176:H179"/>
    <mergeCell ref="I176:I179"/>
    <mergeCell ref="J176:J179"/>
    <mergeCell ref="K176:K179"/>
    <mergeCell ref="L176:L178"/>
    <mergeCell ref="R202:R205"/>
    <mergeCell ref="S202:S205"/>
    <mergeCell ref="U202:U204"/>
    <mergeCell ref="V202:V204"/>
    <mergeCell ref="X202:X204"/>
    <mergeCell ref="Y202:Y204"/>
    <mergeCell ref="AA202:AA203"/>
    <mergeCell ref="AB202:AB203"/>
    <mergeCell ref="D202:D207"/>
    <mergeCell ref="E202:E207"/>
    <mergeCell ref="F202:F207"/>
    <mergeCell ref="G202:G207"/>
    <mergeCell ref="I202:I206"/>
    <mergeCell ref="J202:J206"/>
    <mergeCell ref="L202:L206"/>
    <mergeCell ref="M202:M206"/>
    <mergeCell ref="O202:O205"/>
    <mergeCell ref="D209:D214"/>
    <mergeCell ref="E209:E214"/>
    <mergeCell ref="F209:F214"/>
    <mergeCell ref="G209:G214"/>
    <mergeCell ref="I209:I213"/>
    <mergeCell ref="J209:J213"/>
    <mergeCell ref="L209:L213"/>
    <mergeCell ref="M209:M213"/>
    <mergeCell ref="O209:O212"/>
    <mergeCell ref="AB209:AB210"/>
    <mergeCell ref="AD209:AD210"/>
    <mergeCell ref="AE209:AE210"/>
    <mergeCell ref="AH210:AI210"/>
    <mergeCell ref="AB211:AI211"/>
    <mergeCell ref="V212:AI212"/>
    <mergeCell ref="P213:AI213"/>
    <mergeCell ref="J214:AI214"/>
    <mergeCell ref="AD202:AD203"/>
    <mergeCell ref="AE202:AE203"/>
    <mergeCell ref="AH203:AI203"/>
    <mergeCell ref="AB204:AI204"/>
    <mergeCell ref="V205:AI205"/>
    <mergeCell ref="P206:AI206"/>
    <mergeCell ref="J207:AI207"/>
    <mergeCell ref="P209:P212"/>
    <mergeCell ref="R209:R212"/>
    <mergeCell ref="S209:S212"/>
    <mergeCell ref="U209:U211"/>
    <mergeCell ref="V209:V211"/>
    <mergeCell ref="X209:X211"/>
    <mergeCell ref="Y209:Y211"/>
    <mergeCell ref="AA209:AA210"/>
    <mergeCell ref="P202:P205"/>
    <mergeCell ref="V91:V93"/>
    <mergeCell ref="W91:W93"/>
    <mergeCell ref="X91:X93"/>
    <mergeCell ref="Y91:Y93"/>
    <mergeCell ref="H101:H105"/>
    <mergeCell ref="I101:I105"/>
    <mergeCell ref="J101:J105"/>
    <mergeCell ref="K101:K105"/>
    <mergeCell ref="L101:L105"/>
    <mergeCell ref="M101:M105"/>
    <mergeCell ref="AF101:AF105"/>
    <mergeCell ref="AG101:AG105"/>
    <mergeCell ref="AH101:AH105"/>
    <mergeCell ref="AI101:AI105"/>
    <mergeCell ref="AJ101:AJ105"/>
    <mergeCell ref="AK101:AK105"/>
    <mergeCell ref="N102:N104"/>
    <mergeCell ref="O102:O104"/>
    <mergeCell ref="P102:P104"/>
    <mergeCell ref="Q102:Q104"/>
    <mergeCell ref="R102:R104"/>
    <mergeCell ref="S102:S104"/>
    <mergeCell ref="T102:T104"/>
    <mergeCell ref="U102:U104"/>
    <mergeCell ref="V102:V104"/>
    <mergeCell ref="W102:W104"/>
    <mergeCell ref="X102:X104"/>
    <mergeCell ref="Y102:Y104"/>
    <mergeCell ref="W176:W177"/>
    <mergeCell ref="O176:O178"/>
    <mergeCell ref="P176:P177"/>
    <mergeCell ref="Q176:Q177"/>
    <mergeCell ref="R176:R177"/>
    <mergeCell ref="S191:S192"/>
    <mergeCell ref="W191:W192"/>
    <mergeCell ref="W182:W183"/>
    <mergeCell ref="L187:L189"/>
    <mergeCell ref="M187:M189"/>
    <mergeCell ref="N187:N189"/>
    <mergeCell ref="O187:O189"/>
    <mergeCell ref="P187:P188"/>
    <mergeCell ref="Q187:Q188"/>
    <mergeCell ref="R187:R188"/>
    <mergeCell ref="S187:S188"/>
    <mergeCell ref="W187:W188"/>
  </mergeCells>
  <dataValidations count="20">
    <dataValidation type="textLength" operator="lessThanOrEqual" allowBlank="1" showInputMessage="1" showErrorMessage="1" errorTitle="Ошибка" error="Допускается ввод не более 900 символов!" sqref="L72:M72 E8 J194:J195 R194:R195 U72:W72 V194:W194 AB72 G13 M34 E39 E60 R191:R192 E64:F64 E68 G68 Q72:S72 M82 K82:K85 V154:W154 J154:J155 R154:R155 V176:W176 J176:J177 R176:R177 AI202 J202:J206 P202:P205 AI209 J209:J213 P209:P212 E4 L77:M77 U77:W77 AB77 Q77:S77 V172:W172 J172 R172 K91:K93 M101 K101:K104 K97 V160:W160 J160:J161 R160:R161 V165:W165 J165:J166 R165:R166 V169:W169 J169:J170 R169:R170 V182:W182 J182:J183 R182:R183 V187:W187 J187:J188 R187:R188 V191:W191 J191:J192 E43:F43 F48 F50:F51 I110">
      <formula1>900</formula1>
    </dataValidation>
    <dataValidation allowBlank="1" showInputMessage="1" showErrorMessage="1" prompt="Для выбора выполните двойной щелчок левой клавиши мыши по соответствующей ячейке." sqref="K194:K195 O194:O195 S154:S155 S194:S195 O154 K154 F165:F167 S176:S177 O176 K176 F172 K160 S160:S161 O160 F154:F158 K165 S165:S166 O165 O191 K169 S169:S170 O169 F160:F163 K182 S182:S183 O182 F176:F180 F182:F185 S187:S188 O187 F187:F189 F191:F192 S191:S192 F169:F170"/>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G64 T72 I72:J72 X72 T77 I77:J77 X77 F49"/>
    <dataValidation type="decimal" allowBlank="1" showErrorMessage="1" errorTitle="Ошибка" error="Допускается ввод только неотрицательных чисел!" sqref="Q147 O147 O150 Q150 Q140 O140 AC84 AE84 AC92 AE92 AE97 AE103 AC103 AC97 T60 H60:I60 AB60 X60 K60 M60 O60 Q60">
      <formula1>0</formula1>
      <formula2>9.99999999999999E+23</formula2>
    </dataValidation>
    <dataValidation allowBlank="1" showInputMessage="1" showErrorMessage="1" prompt="Выберите виды деятельности, выполнив двойной щелчок левой кнопки мыши по ячейке." sqref="G165:G167 G172 G154:G158 G191:G192 G160:G163 G176:G180 G182:G185 G187:G189 G169:G170"/>
    <dataValidation type="list" allowBlank="1" showInputMessage="1" showErrorMessage="1" errorTitle="Ошибка" error="Выберите значение из списка" prompt="Территория действия тарифа выбирается из выпадающего списка. Доступные для выбора территории определяются на листе &quot;Территории&quot;. Для каждого вида тарифа должна указываться территория, содержащая только те МР/МО, где действует данный вид тарифа." sqref="N194:N196">
      <formula1>DESCRIPTION_TERRITORY</formula1>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H64 K56 F68">
      <formula1>900</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F39 I82:J85 K72 K77 I97:J97 I101:J104">
      <formula1>"a"</formula1>
    </dataValidation>
    <dataValidation type="textLength" operator="lessThan" allowBlank="1" showInputMessage="1" showErrorMessage="1" error="Допускается ввод не более 900 символов!" sqref="M29 M23">
      <formula1>900</formula1>
    </dataValidation>
    <dataValidation type="list" allowBlank="1" showInputMessage="1" showErrorMessage="1" sqref="I34">
      <formula1>DESCRIPTION_TERRITORY</formula1>
    </dataValidation>
    <dataValidation allowBlank="1" showInputMessage="1" showErrorMessage="1" prompt="Изменение значения по двойному щелчоку левой кнопки мыши" sqref="J56"/>
    <dataValidation type="list" allowBlank="1" showInputMessage="1" showErrorMessage="1" errorTitle="Ошибка" error="Выберите значение из списка" prompt="Выберите значение из списка" sqref="L60">
      <formula1>kind_of_power_te_unit</formula1>
    </dataValidation>
    <dataValidation type="whole" allowBlank="1" showErrorMessage="1" errorTitle="Ошибка" error="Допускается ввод только неотрицательных целых чисел!" sqref="AF91:AF93 AI91:AI93 AF101:AF105 AI101:AI105 AF97 AI97 AF82:AF86 AI82:AI86 N60 P60 U60:V60 Y60:Z60 J60 R60:S60 AC60">
      <formula1>0</formula1>
      <formula2>9.99999999999999E+23</formula2>
    </dataValidation>
    <dataValidation allowBlank="1" showInputMessage="1" showErrorMessage="1" prompt="Выберите один или несколько одновременно видов деятельности, выполнив последовательно по одному щелчку на строке с видом деятельности" sqref="F60"/>
    <dataValidation allowBlank="1" showInputMessage="1" showErrorMessage="1" promptTitle="Ввод" prompt="Для выбора ИП необходимо два раза нажать левую кнопку мыши!" sqref="G72 G77"/>
    <dataValidation type="list" allowBlank="1" showInputMessage="1" showErrorMessage="1" errorTitle="Ошибка" error="Выберите значение из списка" prompt="Выберите значение из списка" sqref="J140:J141 J147:J148 J150">
      <formula1>kind_of_purchase_method</formula1>
    </dataValidation>
    <dataValidation type="list" allowBlank="1" showInputMessage="1" showErrorMessage="1" errorTitle="Ошибка" error="Выберите значение из списка" prompt="Выберите значение из списка" sqref="H110">
      <formula1>QRE_METHOD_LIST</formula1>
    </dataValidation>
    <dataValidation allowBlank="1" showInputMessage="1" showErrorMessage="1" prompt="Территория действия тарифа выбирается из выпадающего списка. Доступные для выбора территории определяются на листе &quot;Территории&quot;. Для каждого вида тарифа должна указываться территория, содержащая только те МР/МО, где действует данный вид тарифа." sqref="N154:N156 N176:N178 N160:N162 N165:N167 N169:N170 N182:N184 N187:N189 N191:N192"/>
    <dataValidation type="list" errorStyle="warning" allowBlank="1" showInputMessage="1" errorTitle="Ошибка" error="Выберите значение из списка" prompt="Выберите значение из списка или укажите свой вид твердых коммунальных отходов" sqref="AC202 AC209">
      <formula1>list_typeTKO</formula1>
    </dataValidation>
    <dataValidation type="decimal" allowBlank="1" showErrorMessage="1" errorTitle="Ошибка" error="Допускается ввод только действительных чисел!" sqref="CY110:DJ110 BT110:CK110 O110:AB110">
      <formula1>-9.99999999999999E+23</formula1>
      <formula2>9.99999999999999E+23</formula2>
    </dataValidation>
  </dataValidations>
  <pageMargins left="0.75" right="0.75" top="1" bottom="1" header="0.5" footer="0.5"/>
  <pageSetup paperSize="9" orientation="portrait"/>
  <headerFooter>
    <oddHeader>&amp;L&amp;C&amp;R</oddHeader>
    <oddFooter>&amp;L&amp;C&amp;R</oddFooter>
    <evenHeader>&amp;L&amp;C&amp;R</evenHeader>
    <evenFooter>&amp;L&amp;C&amp;R</evenFooter>
  </headerFooter>
</worksheet>
</file>

<file path=xl/worksheets/sheet6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CC99"/>
  </sheetPr>
  <dimension ref="A1:H34"/>
  <sheetViews>
    <sheetView showGridLines="0" workbookViewId="0"/>
  </sheetViews>
  <sheetFormatPr defaultColWidth="43.140625" defaultRowHeight="9" customHeight="1"/>
  <cols>
    <col min="1" max="1" width="43.140625" style="769"/>
    <col min="2" max="2" width="43.140625" style="769" hidden="1"/>
    <col min="3" max="3" width="43.140625" style="769"/>
    <col min="4" max="5" width="36.42578125" style="769" customWidth="1"/>
    <col min="6" max="8" width="36.42578125" style="909" customWidth="1"/>
  </cols>
  <sheetData>
    <row r="1" spans="1:8" ht="9" customHeight="1">
      <c r="A1" s="775" t="s">
        <v>1942</v>
      </c>
      <c r="B1" s="775"/>
      <c r="C1" s="910" t="s">
        <v>1943</v>
      </c>
      <c r="D1" s="908" t="s">
        <v>807</v>
      </c>
      <c r="E1" s="908" t="s">
        <v>853</v>
      </c>
      <c r="F1" s="908" t="s">
        <v>906</v>
      </c>
      <c r="G1" s="908" t="s">
        <v>893</v>
      </c>
      <c r="H1" s="908" t="s">
        <v>1618</v>
      </c>
    </row>
    <row r="2" spans="1:8" ht="9" customHeight="1">
      <c r="A2" s="911" t="s">
        <v>1944</v>
      </c>
      <c r="B2" s="911"/>
      <c r="C2" s="912" t="str">
        <f>INDEX(TEMPLATE_NUMBER_FORM_LIST,MATCH(TEMPLATE_SPHERE,TEMPLATE_SPHERE_LIST,0))</f>
        <v>16</v>
      </c>
      <c r="D2" s="911" t="s">
        <v>1468</v>
      </c>
      <c r="E2" s="911" t="s">
        <v>150</v>
      </c>
      <c r="F2" s="913" t="s">
        <v>150</v>
      </c>
      <c r="G2" s="911" t="s">
        <v>150</v>
      </c>
      <c r="H2" s="914"/>
    </row>
    <row r="3" spans="1:8" ht="63" customHeight="1">
      <c r="A3" s="775"/>
      <c r="B3" s="775" t="s">
        <v>109</v>
      </c>
      <c r="C3" s="912" t="str">
        <f>IF(TEMPLATE_SPHERE="HEAT",D3,IF(TEMPLATE_SPHERE="TKO",H3,E3))</f>
        <v>Форма 14. Информация о наличии (об отсутствии) технической возможности подключения (технологического присоединения) к системе теплоснабжения, а также о принятии и ходе рассмотрения заявок на заключение договора о подключении (технологическом присоединении) к системе теплоснабжения</v>
      </c>
      <c r="D3" s="912" t="s">
        <v>1945</v>
      </c>
      <c r="E3" s="912" t="str">
        <f>"Форма 8. Информация о наличии (об отсутствии) технической возможности подключения (технологического присоединения) к централизованной системе "&amp;TEMPLATE_SPHERE_RUS&amp;", а также о принятии и рассмотрении заявлений о заключении договоров о подключении (технологическом присоединении) к централизованной системе "&amp;TEMPLATE_SPHERE_RUS</f>
        <v>Форма 8. Информация о наличии (об отсутствии) технической возможности подключения (технологического присоединения) к централизованной системе теплоснабжения, а также о принятии и рассмотрении заявлений о заключении договоров о подключении (технологическом присоединении) к централизованной системе теплоснабжения</v>
      </c>
      <c r="F3" s="913"/>
      <c r="G3" s="914"/>
      <c r="H3" s="775"/>
    </row>
    <row r="4" spans="1:8" ht="243" customHeight="1">
      <c r="A4" s="775" t="s">
        <v>1946</v>
      </c>
      <c r="B4" s="775" t="s">
        <v>110</v>
      </c>
      <c r="C4" s="912" t="str">
        <f>IF(TEMPLATE_SPHERE="HEAT",D4,IF(TEMPLATE_SPHERE="TKO",H4,E4))</f>
        <v>Форма 1. Информация о единых теплоснабжающих организациях в системе теплоснабжения, теплоснабжающих организациях, которым не присвоен статус единой теплоснабжающей организации, и теплосетевых организациях, функционирующих в поселениях и городских округах, не отнесенных к ценовым зонам теплоснабжения, и в поселениях и городских округах, отнесенных к ценовым зонам теплоснабжения в соответствии с Федеральным законом от 27 июля 2010 г. N 190-ФЗ "О теплоснабжении", до окончания переходного периода в ценовых зонах теплоснабжения (далее - регулируемые организации); о единых теплоснабжающих организациях, теплоснабжающих организациях, которым не присвоен статус единой теплоснабжающей организации, и теплосетевых организациях, функционирующих в поселениях и городских округах, отнесенных к ценовым зонам теплоснабжения в соответствии с Федеральным законом от 27 июля 2010 г. N 190-ФЗ "О теплоснабжении", после окончания переходного периода в ценовых зонах теплоснабжения (далее соответственно - единые теплоснабжающие организации в ценовых зонах теплоснабжения, теплоснабжающие организации в ценовых зонах теплоснабжения и теплосетевые организации в ценовых зонах теплоснабжения) (общая информация)</v>
      </c>
      <c r="D4" s="911" t="s">
        <v>1947</v>
      </c>
      <c r="E4" s="912" t="str">
        <f>"Форма 1. Информация об организации, осуществляющей "&amp;TEMPLATE_SPHERE_RUS_2&amp;" (общая информация)"</f>
        <v>Форма 1. Информация об организации, осуществляющей теплоснабжение (общая информация)</v>
      </c>
      <c r="F4" s="911"/>
      <c r="G4" s="911"/>
      <c r="H4" s="775" t="s">
        <v>1948</v>
      </c>
    </row>
    <row r="5" spans="1:8" ht="117" customHeight="1">
      <c r="A5" s="775" t="s">
        <v>1949</v>
      </c>
      <c r="B5" s="775" t="s">
        <v>90</v>
      </c>
      <c r="C5" s="912" t="str">
        <f>IF(TEMPLATE_SPHERE="HEAT",D5,IF(TEMPLATE_SPHERE="TKO",H5,E5))</f>
        <v>Форма 15. Информация об условиях, на которых осуществляется поставка товаров (оказание услуг) в сфере теплоснабжения, цены (тарифы) на которые подлежат регулированию, и (или) условиях договоров о подключении (технологическом присоединении) к системе теплоснабжения, информация об условиях, на которых осуществляется поставка товаров (оказание услуг) по ценам, определяемым по соглашению сторон в соответствии с Федеральным законом от 27 июля 2010 г. N 190-ФЗ "О теплоснабжении", и (или) условиях договоров о подключении (технологическом присоединении) к системе теплоснабжения</v>
      </c>
      <c r="D5" s="775" t="s">
        <v>1950</v>
      </c>
      <c r="E5" s="778" t="str">
        <f>"Форма 9. Информация об условиях, на которых осуществляется поставка товаров (оказание услуг), тарифы на которые подлежат регулированию, и (или) условиях договоров о подключении (технологическом присоединении) к централизованной системе "&amp;TEMPLATE_SPHERE_RUS</f>
        <v>Форма 9. Информация об условиях, на которых осуществляется поставка товаров (оказание услуг), тарифы на которые подлежат регулированию, и (или) условиях договоров о подключении (технологическом присоединении) к централизованной системе теплоснабжения</v>
      </c>
      <c r="F5" s="914"/>
      <c r="G5" s="914"/>
      <c r="H5" s="775" t="s">
        <v>1951</v>
      </c>
    </row>
    <row r="6" spans="1:8" ht="90" customHeight="1">
      <c r="A6" s="775" t="s">
        <v>1952</v>
      </c>
      <c r="B6" s="775" t="s">
        <v>91</v>
      </c>
      <c r="C6" s="912" t="str">
        <f>IF(TEMPLATE_SPHERE="HEAT",D6,E6)</f>
        <v>Форма 7. Информация об основных показателях финансово-хозяйственной деятельности регулируемой организации, включая структуру основных производственных затрат (в части регулируемых видов деятельности)</v>
      </c>
      <c r="D6" s="778" t="str">
        <f>IF(TITLE_TYPE_ORG="Регулируемая организация","Форма 7. Информация об основных показателях финансово-хозяйственной деятельности регулируемой организации, включая структуру основных производственных затрат (в части регулируемых видов деятельности)","Форма 8. Информация о товарах (об услугах), поставляемых (оказываемых) единой теплоснабжающей организацией в ценовых зонах теплоснабжения по регулируемым ценам (тарифам) "&amp;"в сфере теплоснабжения, информация о товарах (об услугах), поставляемых (оказываемых) теплоснабжающей организацией в ценовых"&amp;" зонах теплоснабжения и теплосетевой организацией в ценовых зонах теплоснабжения по регулируемым ценам (тарифам) в сфере теплоснабжения")</f>
        <v>Форма 7. Информация об основных показателях финансово-хозяйственной деятельности регулируемой организации, включая структуру основных производственных затрат (в части регулируемых видов деятельности)</v>
      </c>
      <c r="E6" s="778" t="str">
        <f>"Форма 4. Информация об основных показателях финансово-хозяйственной деятельности организации "&amp;TEMPLATE_SPHERE_RUS&amp;", включая структуру основных производственных затрат (в части регулируемых видов деятельности в сфере "&amp;TEMPLATE_SPHERE_RUS&amp;")"</f>
        <v>Форма 4. Информация об основных показателях финансово-хозяйственной деятельности организации теплоснабжения, включая структуру основных производственных затрат (в части регулируемых видов деятельности в сфере теплоснабжения)</v>
      </c>
      <c r="F6" s="775"/>
      <c r="G6" s="775"/>
      <c r="H6" s="914"/>
    </row>
    <row r="7" spans="1:8" ht="45" customHeight="1">
      <c r="A7" s="775" t="s">
        <v>1953</v>
      </c>
      <c r="B7" s="775" t="s">
        <v>111</v>
      </c>
      <c r="C7" s="912" t="str">
        <f>IF(TEMPLATE_SPHERE="HEAT",D7,E7)</f>
        <v>Форма 11. Информация о расходах на капитальный и текущий ремонт основных средств</v>
      </c>
      <c r="D7" s="775" t="s">
        <v>1954</v>
      </c>
      <c r="E7" s="775" t="s">
        <v>1955</v>
      </c>
      <c r="F7" s="914"/>
      <c r="G7" s="914"/>
      <c r="H7" s="914"/>
    </row>
    <row r="8" spans="1:8" ht="108" customHeight="1">
      <c r="A8" s="775" t="s">
        <v>1956</v>
      </c>
      <c r="B8" s="775" t="s">
        <v>92</v>
      </c>
      <c r="C8" s="912" t="str">
        <f>IF(TEMPLATE_SPHERE="HEAT",D8,E8)</f>
        <v>Форма 12. Информация об основных потребительских характеристиках товаров, услуг регулируемой организации, цены (тарифы) в сфере теплоснабжения на которые подлежат регулированию, об основных потребительских характеристиках товаров (услуг), поставляемых (оказываемых) единой теплоснабжающей организацией в ценовых зонах теплоснабжения, об основных потребительских характеристиках товаров (услуг), поставляемых (оказываемых) теплоснабжающей организацией в ценовых зонах теплоснабжения и теплосетевой организацией в ценовых зонах теплоснабжения</v>
      </c>
      <c r="D8" s="775" t="s">
        <v>1156</v>
      </c>
      <c r="E8" s="775" t="s">
        <v>1957</v>
      </c>
      <c r="F8" s="914"/>
      <c r="G8" s="914"/>
      <c r="H8" s="914"/>
    </row>
    <row r="9" spans="1:8" ht="99" customHeight="1">
      <c r="A9" s="775" t="s">
        <v>1958</v>
      </c>
      <c r="B9" s="775"/>
      <c r="C9" s="775" t="s">
        <v>1959</v>
      </c>
      <c r="D9" s="775"/>
      <c r="E9" s="775"/>
      <c r="F9" s="914"/>
      <c r="G9" s="914"/>
      <c r="H9" s="914"/>
    </row>
    <row r="10" spans="1:8" ht="126" customHeight="1">
      <c r="A10" s="775" t="s">
        <v>1960</v>
      </c>
      <c r="B10" s="775"/>
      <c r="C10" s="775" t="s">
        <v>1961</v>
      </c>
      <c r="D10" s="775"/>
      <c r="E10" s="775"/>
      <c r="F10" s="914"/>
      <c r="G10" s="914"/>
      <c r="H10" s="914"/>
    </row>
    <row r="11" spans="1:8" ht="108" customHeight="1">
      <c r="A11" s="775" t="s">
        <v>1962</v>
      </c>
      <c r="B11" s="775"/>
      <c r="C11" s="775" t="s">
        <v>1963</v>
      </c>
      <c r="D11" s="775"/>
      <c r="E11" s="775"/>
      <c r="F11" s="914"/>
      <c r="G11" s="914"/>
      <c r="H11" s="914"/>
    </row>
    <row r="12" spans="1:8" ht="54" customHeight="1">
      <c r="A12" s="775" t="s">
        <v>1964</v>
      </c>
      <c r="B12" s="775"/>
      <c r="C12" s="775" t="s">
        <v>1965</v>
      </c>
      <c r="D12" s="775"/>
      <c r="E12" s="775"/>
      <c r="F12" s="914"/>
      <c r="G12" s="914"/>
      <c r="H12" s="914"/>
    </row>
    <row r="13" spans="1:8" ht="45" customHeight="1">
      <c r="A13" s="775" t="s">
        <v>1966</v>
      </c>
      <c r="B13" s="775"/>
      <c r="C13" s="775" t="s">
        <v>1967</v>
      </c>
      <c r="D13" s="775"/>
      <c r="E13" s="775"/>
      <c r="F13" s="914"/>
      <c r="G13" s="914"/>
      <c r="H13" s="914"/>
    </row>
    <row r="14" spans="1:8" ht="117" customHeight="1">
      <c r="A14" s="775" t="s">
        <v>1968</v>
      </c>
      <c r="B14" s="775"/>
      <c r="C14" s="775" t="s">
        <v>1969</v>
      </c>
      <c r="D14" s="775"/>
      <c r="E14" s="775"/>
      <c r="F14" s="914"/>
      <c r="G14" s="914"/>
      <c r="H14" s="914"/>
    </row>
    <row r="15" spans="1:8" ht="117" customHeight="1">
      <c r="A15" s="775" t="s">
        <v>1970</v>
      </c>
      <c r="B15" s="775"/>
      <c r="C15" s="775" t="s">
        <v>1971</v>
      </c>
      <c r="D15" s="775"/>
      <c r="E15" s="775"/>
      <c r="F15" s="914"/>
      <c r="G15" s="914"/>
      <c r="H15" s="914"/>
    </row>
    <row r="16" spans="1:8" ht="63" customHeight="1">
      <c r="A16" s="775" t="s">
        <v>1972</v>
      </c>
      <c r="B16" s="775"/>
      <c r="C16" s="775" t="s">
        <v>1973</v>
      </c>
      <c r="D16" s="775"/>
      <c r="E16" s="775"/>
      <c r="F16" s="914"/>
      <c r="G16" s="914"/>
      <c r="H16" s="914"/>
    </row>
    <row r="17" spans="1:8" ht="54" customHeight="1">
      <c r="A17" s="775" t="s">
        <v>1974</v>
      </c>
      <c r="B17" s="775"/>
      <c r="C17" s="912" t="s">
        <v>1975</v>
      </c>
      <c r="D17" s="775"/>
      <c r="E17" s="775"/>
      <c r="F17" s="914"/>
      <c r="G17" s="914"/>
      <c r="H17" s="914"/>
    </row>
    <row r="18" spans="1:8" ht="27" customHeight="1">
      <c r="A18" s="775" t="s">
        <v>1976</v>
      </c>
      <c r="B18" s="775"/>
      <c r="C18" s="912" t="s">
        <v>1977</v>
      </c>
      <c r="D18" s="775"/>
      <c r="E18" s="775"/>
      <c r="F18" s="914"/>
      <c r="G18" s="914"/>
      <c r="H18" s="914"/>
    </row>
    <row r="19" spans="1:8" ht="54" customHeight="1">
      <c r="A19" s="775" t="s">
        <v>1978</v>
      </c>
      <c r="B19" s="775"/>
      <c r="C19" s="912" t="s">
        <v>1979</v>
      </c>
      <c r="D19" s="775"/>
      <c r="E19" s="775"/>
      <c r="F19" s="914"/>
      <c r="G19" s="914"/>
      <c r="H19" s="914"/>
    </row>
    <row r="20" spans="1:8" ht="36" customHeight="1">
      <c r="A20" s="775" t="s">
        <v>1980</v>
      </c>
      <c r="B20" s="775"/>
      <c r="C20" s="912" t="s">
        <v>1981</v>
      </c>
      <c r="D20" s="775"/>
      <c r="E20" s="775"/>
      <c r="F20" s="914"/>
      <c r="G20" s="914"/>
      <c r="H20" s="914"/>
    </row>
    <row r="21" spans="1:8" ht="36" customHeight="1">
      <c r="A21" s="775" t="s">
        <v>1982</v>
      </c>
      <c r="B21" s="775"/>
      <c r="C21" s="912" t="s">
        <v>1983</v>
      </c>
      <c r="D21" s="775"/>
      <c r="E21" s="775"/>
      <c r="F21" s="914"/>
      <c r="G21" s="914"/>
      <c r="H21" s="914"/>
    </row>
    <row r="22" spans="1:8" ht="27" customHeight="1">
      <c r="A22" s="775" t="s">
        <v>1984</v>
      </c>
      <c r="B22" s="775"/>
      <c r="C22" s="912" t="s">
        <v>1985</v>
      </c>
      <c r="D22" s="775"/>
      <c r="E22" s="775"/>
      <c r="F22" s="914"/>
      <c r="G22" s="914"/>
      <c r="H22" s="914"/>
    </row>
    <row r="23" spans="1:8" ht="36" customHeight="1">
      <c r="A23" s="775" t="s">
        <v>1986</v>
      </c>
      <c r="B23" s="775"/>
      <c r="C23" s="912" t="s">
        <v>1987</v>
      </c>
      <c r="D23" s="775"/>
      <c r="E23" s="775"/>
      <c r="F23" s="914"/>
      <c r="G23" s="914"/>
      <c r="H23" s="914"/>
    </row>
    <row r="24" spans="1:8" ht="28.5" customHeight="1">
      <c r="A24" s="775" t="s">
        <v>1988</v>
      </c>
      <c r="B24" s="775"/>
      <c r="C24" s="912" t="s">
        <v>1989</v>
      </c>
      <c r="D24" s="775"/>
      <c r="E24" s="775"/>
      <c r="F24" s="914"/>
      <c r="G24" s="914"/>
      <c r="H24" s="914"/>
    </row>
    <row r="25" spans="1:8" ht="36" customHeight="1">
      <c r="A25" s="775" t="s">
        <v>1990</v>
      </c>
      <c r="B25" s="775"/>
      <c r="C25" s="912" t="s">
        <v>1991</v>
      </c>
      <c r="D25" s="775"/>
      <c r="E25" s="775"/>
      <c r="F25" s="914"/>
      <c r="G25" s="914"/>
      <c r="H25" s="914"/>
    </row>
    <row r="26" spans="1:8" ht="27" customHeight="1">
      <c r="A26" s="775" t="s">
        <v>1992</v>
      </c>
      <c r="B26" s="775"/>
      <c r="C26" s="912" t="s">
        <v>1993</v>
      </c>
      <c r="D26" s="775"/>
      <c r="E26" s="775"/>
      <c r="F26" s="914"/>
      <c r="G26" s="914"/>
      <c r="H26" s="914"/>
    </row>
    <row r="27" spans="1:8" ht="36" customHeight="1">
      <c r="A27" s="775" t="s">
        <v>1994</v>
      </c>
      <c r="B27" s="775"/>
      <c r="C27" s="912" t="s">
        <v>1995</v>
      </c>
      <c r="D27" s="775"/>
      <c r="E27" s="775"/>
      <c r="F27" s="914"/>
      <c r="G27" s="914"/>
      <c r="H27" s="914"/>
    </row>
    <row r="28" spans="1:8" ht="28.5" customHeight="1">
      <c r="A28" s="775" t="s">
        <v>1996</v>
      </c>
      <c r="B28" s="775"/>
      <c r="C28" s="912" t="s">
        <v>1997</v>
      </c>
      <c r="D28" s="775"/>
      <c r="E28" s="775"/>
      <c r="F28" s="914"/>
      <c r="G28" s="914"/>
      <c r="H28" s="914"/>
    </row>
    <row r="29" spans="1:8" ht="126" customHeight="1">
      <c r="A29" s="775" t="s">
        <v>1998</v>
      </c>
      <c r="B29" s="775" t="s">
        <v>1570</v>
      </c>
      <c r="C29" s="912" t="str">
        <f>IF(TEMPLATE_SPHERE="HEAT",D29,IF(TEMPLATE_SPHERE="TKO",H29,E29))</f>
        <v>Форма 17. Информация о способах приобретения, стоимости и об объемах товаров, необходимых регулируемой организации для производства товаров (оказания услуг) в сфере теплоснабжения, цены (тарифы) на которые подлежат регулированию, о способах приобретения, стоимости и об объемах товаров, необходимых для производства товаров и (или) оказания услуг единой теплоснабжающей организацией в ценовых зонах теплоснабжения, о способах приобретения, стоимости и об объемах товаров, необходимых для производства товаров и (или) оказания услуг теплоснабжающей организацией в ценовых зонах теплоснабжения и теплосетевой организацией в ценовых зонах теплоснабжения</v>
      </c>
      <c r="D29" s="775" t="s">
        <v>1999</v>
      </c>
      <c r="E29" s="778" t="str">
        <f>"Форма 11. Информация о способах приобретения, стоимости и об объемах товаров (работ, услуг), необходимых организации "&amp;TEMPLATE_SPHERE_RUS&amp;" для производства товаров (оказания услуг) в сфере "&amp;TEMPLATE_SPHERE_RUS&amp;", тарифы на которые подлежат регулированию"</f>
        <v>Форма 11. Информация о способах приобретения, стоимости и об объемах товаров (работ, услуг), необходимых организации теплоснабжения для производства товаров (оказания услуг) в сфере теплоснабжения, тарифы на которые подлежат регулированию</v>
      </c>
      <c r="F29" s="914"/>
      <c r="G29" s="914"/>
      <c r="H29" s="775" t="s">
        <v>2000</v>
      </c>
    </row>
    <row r="30" spans="1:8" ht="36" customHeight="1">
      <c r="A30" s="775" t="s">
        <v>2001</v>
      </c>
      <c r="B30" s="775"/>
      <c r="C30" s="912" t="str">
        <f>IF(TEMPLATE_SPHERE="HEAT",D30,IF(TEMPLATE_SPHERE="TKO",H30,E30))</f>
        <v>Форма 16. Информация о порядке выполнения технологических, технических и других мероприятий, связанных с подключением (технологическим присоединением) к системе теплоснабжения</v>
      </c>
      <c r="D30" s="775" t="s">
        <v>2002</v>
      </c>
      <c r="E30" s="778" t="str">
        <f>"Форма 10. Информация о порядке выполнения технологических, технических и других мероприятий, связанных с подключением (технологическим присоединением) к централизованной системе "&amp;TEMPLATE_SPHERE_RUS</f>
        <v>Форма 10. Информация о порядке выполнения технологических, технических и других мероприятий, связанных с подключением (технологическим присоединением) к централизованной системе теплоснабжения</v>
      </c>
      <c r="F30" s="914"/>
      <c r="G30" s="914"/>
      <c r="H30" s="914"/>
    </row>
    <row r="31" spans="1:8" ht="54" customHeight="1">
      <c r="A31" s="775" t="s">
        <v>2003</v>
      </c>
      <c r="B31" s="775"/>
      <c r="C31" s="912" t="str">
        <f>IF(TEMPLATE_SPHERE="HEAT",D31,IF(TEMPLATE_SPHERE="TKO",H31,E31))</f>
        <v>Форма 2. Общая информация об объектах теплоснабжения регулируемой организации, единой теплоснабжающей организации в ценовых зонах теплоснабжения, теплоснабжающей организации в ценовых зонах теплоснабжения и теплосетевой организации в ценовых зонах теплоснабжения</v>
      </c>
      <c r="D31" s="775" t="s">
        <v>2004</v>
      </c>
      <c r="E31" s="778" t="str">
        <f>"Форма 1. Информация об организации, осуществляющей "&amp;TEMPLATE_SPHERE_RUS_2&amp;" (общая информация)"</f>
        <v>Форма 1. Информация об организации, осуществляющей теплоснабжение (общая информация)</v>
      </c>
      <c r="F31" s="914"/>
      <c r="G31" s="914"/>
      <c r="H31" s="914"/>
    </row>
    <row r="32" spans="1:8" ht="198" customHeight="1">
      <c r="A32" s="775" t="s">
        <v>2005</v>
      </c>
      <c r="B32" s="775"/>
      <c r="C32" s="912" t="str">
        <f>IF(TEMPLATE_SPHERE="HEAT",D32,IF(TEMPLATE_SPHERE="TKO",H32,E32))</f>
        <v>Форма 13. Информация об инвестиционных программах регулируемой организации и отчетах об их исполнении, об инвестиционных программах единой теплоснабжающей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 об инвестиционных программах теплоснабжающей организации в ценовых зонах теплоснабжения и теплосетевой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v>
      </c>
      <c r="D32" s="775" t="s">
        <v>2006</v>
      </c>
      <c r="E32" s="778" t="str">
        <f>"Форма 7. Информация об инвестиционных программах организации "&amp;TEMPLATE_SPHERE_RUS&amp;" и отчетах об их исполнении"</f>
        <v>Форма 7. Информация об инвестиционных программах организации теплоснабжения и отчетах об их исполнении</v>
      </c>
      <c r="F32" s="914"/>
      <c r="G32" s="914"/>
      <c r="H32" s="775" t="s">
        <v>2007</v>
      </c>
    </row>
    <row r="33" spans="1:8" ht="9" customHeight="1">
      <c r="A33" s="775"/>
      <c r="B33" s="775"/>
      <c r="C33" s="912"/>
      <c r="D33" s="775"/>
      <c r="E33" s="775"/>
      <c r="F33" s="914"/>
      <c r="G33" s="914"/>
      <c r="H33" s="914"/>
    </row>
    <row r="34" spans="1:8" ht="9" customHeight="1">
      <c r="A34" s="775"/>
      <c r="B34" s="775" t="s">
        <v>1506</v>
      </c>
      <c r="C34" s="912">
        <f>INDEX(TEMPLATE_NAME_FORM_LIST,B34,MATCH(TEMPLATE_SPHERE,TEMPLATE_SPHERE_LIST,0))</f>
        <v>0</v>
      </c>
      <c r="D34" s="775"/>
      <c r="E34" s="775"/>
      <c r="F34" s="914"/>
      <c r="G34" s="914"/>
      <c r="H34" s="914"/>
    </row>
  </sheetData>
  <sheetProtection insertRows="0" deleteColumns="0" deleteRows="0" sort="0" autoFilter="0"/>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6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tabColor rgb="FFFFCC99"/>
  </sheetPr>
  <dimension ref="A1:AH154"/>
  <sheetViews>
    <sheetView showGridLines="0" workbookViewId="0"/>
  </sheetViews>
  <sheetFormatPr defaultColWidth="9.140625" defaultRowHeight="9" customHeight="1"/>
  <cols>
    <col min="1" max="2" width="9.140625" style="769"/>
    <col min="3" max="7" width="8" style="771" customWidth="1"/>
    <col min="8" max="12" width="8.5703125" style="771" customWidth="1"/>
    <col min="13" max="14" width="27.7109375" style="771" customWidth="1"/>
    <col min="15" max="19" width="5.140625" style="771" customWidth="1"/>
    <col min="20" max="24" width="27.7109375" style="771" customWidth="1"/>
    <col min="25" max="25" width="1.85546875" style="929" customWidth="1"/>
    <col min="26" max="26" width="27.7109375" style="769" customWidth="1"/>
    <col min="27" max="27" width="27.7109375" style="780" customWidth="1"/>
    <col min="28" max="29" width="27.7109375" style="769" customWidth="1"/>
    <col min="30" max="30" width="3.85546875" style="769" customWidth="1"/>
    <col min="31" max="34" width="9.140625" style="769"/>
  </cols>
  <sheetData>
    <row r="1" spans="1:34" s="768" customFormat="1" ht="18" customHeight="1">
      <c r="A1" s="826"/>
      <c r="B1" s="826"/>
      <c r="C1" s="826" t="s">
        <v>2008</v>
      </c>
      <c r="D1" s="826"/>
      <c r="E1" s="826"/>
      <c r="F1" s="826"/>
      <c r="G1" s="826"/>
      <c r="H1" s="826" t="s">
        <v>2009</v>
      </c>
      <c r="I1" s="826"/>
      <c r="J1" s="826"/>
      <c r="K1" s="826"/>
      <c r="L1" s="826"/>
      <c r="M1" s="826" t="s">
        <v>2010</v>
      </c>
      <c r="N1" s="826" t="s">
        <v>2011</v>
      </c>
      <c r="O1" s="2451" t="s">
        <v>2012</v>
      </c>
      <c r="P1" s="2451"/>
      <c r="Q1" s="2451"/>
      <c r="R1" s="2451"/>
      <c r="S1" s="2451"/>
      <c r="T1" s="2451" t="s">
        <v>2010</v>
      </c>
      <c r="U1" s="2451"/>
      <c r="V1" s="2451"/>
      <c r="W1" s="2451"/>
      <c r="X1" s="2451"/>
      <c r="Y1" s="927"/>
      <c r="Z1" s="2451" t="s">
        <v>2013</v>
      </c>
      <c r="AA1" s="2451"/>
      <c r="AB1" s="2451"/>
      <c r="AC1" s="2451"/>
      <c r="AD1" s="2451"/>
    </row>
    <row r="2" spans="1:34" ht="18" customHeight="1">
      <c r="A2" s="775"/>
      <c r="B2" s="775"/>
      <c r="C2" s="770" t="s">
        <v>807</v>
      </c>
      <c r="D2" s="770" t="s">
        <v>853</v>
      </c>
      <c r="E2" s="770" t="s">
        <v>906</v>
      </c>
      <c r="F2" s="770" t="s">
        <v>893</v>
      </c>
      <c r="G2" s="770" t="s">
        <v>1618</v>
      </c>
      <c r="H2" s="772"/>
      <c r="I2" s="772"/>
      <c r="J2" s="772"/>
      <c r="K2" s="772"/>
      <c r="L2" s="772"/>
      <c r="M2" s="772"/>
      <c r="N2" s="772"/>
      <c r="O2" s="770" t="s">
        <v>807</v>
      </c>
      <c r="P2" s="770" t="s">
        <v>853</v>
      </c>
      <c r="Q2" s="770" t="s">
        <v>893</v>
      </c>
      <c r="R2" s="770" t="s">
        <v>906</v>
      </c>
      <c r="S2" s="770" t="s">
        <v>1618</v>
      </c>
      <c r="T2" s="770" t="s">
        <v>807</v>
      </c>
      <c r="U2" s="770" t="s">
        <v>853</v>
      </c>
      <c r="V2" s="770" t="s">
        <v>893</v>
      </c>
      <c r="W2" s="770" t="s">
        <v>906</v>
      </c>
      <c r="X2" s="770" t="s">
        <v>1618</v>
      </c>
      <c r="Y2" s="770"/>
      <c r="Z2" s="770" t="s">
        <v>807</v>
      </c>
      <c r="AA2" s="779" t="s">
        <v>853</v>
      </c>
      <c r="AB2" s="770" t="s">
        <v>893</v>
      </c>
      <c r="AC2" s="770" t="s">
        <v>906</v>
      </c>
      <c r="AD2" s="770" t="s">
        <v>1618</v>
      </c>
    </row>
    <row r="3" spans="1:34" ht="162" customHeight="1">
      <c r="A3" s="774" t="s">
        <v>27</v>
      </c>
      <c r="B3" s="774"/>
      <c r="C3" s="2455" t="s">
        <v>2014</v>
      </c>
      <c r="D3" s="2456"/>
      <c r="E3" s="2456"/>
      <c r="F3" s="2457"/>
      <c r="G3" s="772"/>
      <c r="H3" s="772"/>
      <c r="I3" s="772"/>
      <c r="J3" s="772"/>
      <c r="K3" s="772"/>
      <c r="L3" s="772"/>
      <c r="M3" s="772"/>
      <c r="N3" s="773" t="str">
        <f>INDEX(TEMPLATE_ORG_DATA_POINT,1,MATCH(TEMPLATE_SPHERE,TEMPLATE_SPHERE_LIST_FOR_NOTE,0))</f>
        <v>В случае если регулируемыми организациями, единой теплоснабжающей организацией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 оказываются услуги по теплоснабжению по нескольким технологически не связанным между собой централизованным системам теплоснабжения, и если в отношении указанных систем устанавливаются различные тарифы в сфере теплоснабжения, то информация раскрывается отдельно по каждой централизованной системе теплоснабжения.</v>
      </c>
      <c r="O3" s="772"/>
      <c r="P3" s="772"/>
      <c r="Q3" s="772"/>
      <c r="R3" s="772"/>
      <c r="S3" s="772"/>
      <c r="T3" s="772"/>
      <c r="U3" s="772"/>
      <c r="V3" s="772"/>
      <c r="W3" s="772"/>
      <c r="X3" s="772"/>
      <c r="Y3" s="928"/>
      <c r="Z3" s="775" t="s">
        <v>2015</v>
      </c>
      <c r="AA3" s="772" t="s">
        <v>2016</v>
      </c>
      <c r="AB3" s="775" t="s">
        <v>2017</v>
      </c>
      <c r="AC3" s="775" t="s">
        <v>2018</v>
      </c>
      <c r="AD3" s="775"/>
      <c r="AG3" s="775"/>
      <c r="AH3" s="775"/>
    </row>
    <row r="4" spans="1:34" ht="9" customHeight="1">
      <c r="A4" s="774"/>
      <c r="B4" s="774"/>
      <c r="C4" s="772"/>
      <c r="D4" s="772"/>
      <c r="E4" s="772"/>
      <c r="F4" s="772"/>
      <c r="G4" s="772"/>
      <c r="H4" s="772"/>
      <c r="I4" s="772"/>
      <c r="J4" s="772"/>
      <c r="K4" s="772"/>
      <c r="L4" s="772"/>
      <c r="M4" s="772"/>
      <c r="N4" s="772"/>
      <c r="O4" s="772"/>
      <c r="P4" s="772"/>
      <c r="Q4" s="772"/>
      <c r="R4" s="772"/>
      <c r="S4" s="772"/>
      <c r="T4" s="772"/>
      <c r="U4" s="772"/>
      <c r="V4" s="772"/>
      <c r="W4" s="772"/>
      <c r="X4" s="772"/>
      <c r="Y4" s="928"/>
      <c r="Z4" s="775"/>
      <c r="AA4" s="778"/>
      <c r="AB4" s="775"/>
      <c r="AC4" s="775"/>
      <c r="AD4" s="775"/>
    </row>
    <row r="5" spans="1:34" ht="9" customHeight="1">
      <c r="A5" s="774"/>
      <c r="B5" s="774"/>
      <c r="C5" s="772"/>
      <c r="D5" s="772"/>
      <c r="E5" s="772"/>
      <c r="F5" s="772"/>
      <c r="G5" s="772"/>
      <c r="H5" s="772"/>
      <c r="I5" s="772"/>
      <c r="J5" s="772"/>
      <c r="K5" s="772"/>
      <c r="L5" s="772"/>
      <c r="M5" s="772"/>
      <c r="N5" s="772"/>
      <c r="O5" s="772"/>
      <c r="P5" s="772"/>
      <c r="Q5" s="772"/>
      <c r="R5" s="772"/>
      <c r="S5" s="772"/>
      <c r="T5" s="772"/>
      <c r="U5" s="772"/>
      <c r="V5" s="772"/>
      <c r="W5" s="772"/>
      <c r="X5" s="772"/>
      <c r="Y5" s="928"/>
      <c r="Z5" s="775"/>
      <c r="AA5" s="778"/>
      <c r="AB5" s="775"/>
      <c r="AC5" s="775"/>
      <c r="AD5" s="775"/>
    </row>
    <row r="6" spans="1:34" ht="9" customHeight="1">
      <c r="A6" s="774"/>
      <c r="B6" s="774"/>
      <c r="C6" s="772"/>
      <c r="D6" s="772"/>
      <c r="E6" s="772"/>
      <c r="F6" s="772"/>
      <c r="G6" s="772"/>
      <c r="H6" s="772"/>
      <c r="I6" s="772"/>
      <c r="J6" s="772"/>
      <c r="K6" s="772"/>
      <c r="L6" s="772"/>
      <c r="M6" s="772"/>
      <c r="N6" s="772"/>
      <c r="O6" s="772"/>
      <c r="P6" s="772"/>
      <c r="Q6" s="772"/>
      <c r="R6" s="772"/>
      <c r="S6" s="772"/>
      <c r="T6" s="772"/>
      <c r="U6" s="772"/>
      <c r="V6" s="772"/>
      <c r="W6" s="772"/>
      <c r="X6" s="772"/>
      <c r="Y6" s="928"/>
      <c r="Z6" s="775"/>
      <c r="AA6" s="778"/>
      <c r="AB6" s="775"/>
      <c r="AC6" s="775"/>
      <c r="AD6" s="775"/>
    </row>
    <row r="7" spans="1:34" ht="9" customHeight="1">
      <c r="A7" s="774"/>
      <c r="B7" s="774"/>
      <c r="C7" s="772"/>
      <c r="D7" s="772"/>
      <c r="E7" s="772"/>
      <c r="F7" s="772"/>
      <c r="G7" s="772"/>
      <c r="H7" s="772"/>
      <c r="I7" s="772"/>
      <c r="J7" s="772"/>
      <c r="K7" s="772"/>
      <c r="L7" s="772"/>
      <c r="M7" s="772"/>
      <c r="N7" s="772"/>
      <c r="O7" s="772"/>
      <c r="P7" s="772"/>
      <c r="Q7" s="772"/>
      <c r="R7" s="772"/>
      <c r="S7" s="772"/>
      <c r="T7" s="772"/>
      <c r="U7" s="772"/>
      <c r="V7" s="772"/>
      <c r="W7" s="772"/>
      <c r="X7" s="772"/>
      <c r="Y7" s="928"/>
      <c r="Z7" s="775"/>
      <c r="AA7" s="778"/>
      <c r="AB7" s="775"/>
      <c r="AC7" s="775"/>
      <c r="AD7" s="775"/>
    </row>
    <row r="8" spans="1:34" ht="9" customHeight="1">
      <c r="A8" s="774"/>
      <c r="B8" s="774"/>
      <c r="C8" s="772"/>
      <c r="D8" s="772"/>
      <c r="E8" s="772"/>
      <c r="F8" s="772"/>
      <c r="G8" s="772"/>
      <c r="H8" s="772"/>
      <c r="I8" s="772"/>
      <c r="J8" s="772"/>
      <c r="K8" s="772"/>
      <c r="L8" s="772"/>
      <c r="M8" s="772"/>
      <c r="N8" s="772"/>
      <c r="O8" s="772"/>
      <c r="P8" s="772"/>
      <c r="Q8" s="772"/>
      <c r="R8" s="772"/>
      <c r="S8" s="772"/>
      <c r="T8" s="772"/>
      <c r="U8" s="772"/>
      <c r="V8" s="772"/>
      <c r="W8" s="772"/>
      <c r="X8" s="772"/>
      <c r="Y8" s="928"/>
      <c r="Z8" s="775"/>
      <c r="AA8" s="778"/>
      <c r="AB8" s="775"/>
      <c r="AC8" s="775"/>
      <c r="AD8" s="775"/>
    </row>
    <row r="9" spans="1:34" ht="9" customHeight="1">
      <c r="A9" s="774"/>
      <c r="B9" s="774"/>
      <c r="C9" s="772"/>
      <c r="D9" s="772"/>
      <c r="E9" s="772"/>
      <c r="F9" s="772"/>
      <c r="G9" s="772"/>
      <c r="H9" s="772"/>
      <c r="I9" s="772"/>
      <c r="J9" s="772"/>
      <c r="K9" s="772"/>
      <c r="L9" s="772"/>
      <c r="M9" s="772"/>
      <c r="N9" s="772"/>
      <c r="O9" s="772"/>
      <c r="P9" s="772"/>
      <c r="Q9" s="772"/>
      <c r="R9" s="772"/>
      <c r="S9" s="772"/>
      <c r="T9" s="772"/>
      <c r="U9" s="772"/>
      <c r="V9" s="772"/>
      <c r="W9" s="772"/>
      <c r="X9" s="772"/>
      <c r="Y9" s="928"/>
      <c r="Z9" s="775"/>
      <c r="AA9" s="778"/>
      <c r="AB9" s="775"/>
      <c r="AC9" s="775"/>
      <c r="AD9" s="775"/>
    </row>
    <row r="10" spans="1:34" ht="9" customHeight="1">
      <c r="A10" s="827"/>
      <c r="B10" s="827"/>
      <c r="C10" s="827"/>
      <c r="D10" s="827"/>
      <c r="E10" s="827"/>
      <c r="F10" s="827"/>
      <c r="G10" s="827"/>
      <c r="H10" s="827"/>
      <c r="I10" s="827"/>
      <c r="J10" s="827"/>
      <c r="K10" s="827"/>
      <c r="L10" s="827"/>
      <c r="M10" s="827"/>
      <c r="N10" s="827"/>
      <c r="O10" s="827"/>
      <c r="P10" s="827"/>
      <c r="Q10" s="827"/>
      <c r="R10" s="827"/>
      <c r="S10" s="827"/>
      <c r="T10" s="827"/>
      <c r="U10" s="827"/>
      <c r="V10" s="827"/>
      <c r="W10" s="827"/>
      <c r="X10" s="827"/>
      <c r="Y10" s="827"/>
      <c r="Z10" s="827"/>
      <c r="AA10" s="827"/>
      <c r="AB10" s="827"/>
      <c r="AC10" s="827"/>
      <c r="AD10" s="827"/>
    </row>
    <row r="11" spans="1:34" ht="45" customHeight="1">
      <c r="A11" s="2452" t="s">
        <v>33</v>
      </c>
      <c r="B11" s="827">
        <v>1</v>
      </c>
      <c r="C11" s="2458" t="s">
        <v>1557</v>
      </c>
      <c r="D11" s="2458" t="s">
        <v>1553</v>
      </c>
      <c r="E11" s="2458" t="s">
        <v>1650</v>
      </c>
      <c r="F11" s="2458" t="s">
        <v>2019</v>
      </c>
      <c r="G11" s="2458"/>
      <c r="H11" s="826" t="s">
        <v>2020</v>
      </c>
      <c r="I11" s="826"/>
      <c r="J11" s="826"/>
      <c r="K11" s="826"/>
      <c r="L11" s="826"/>
      <c r="M11" s="773" t="str">
        <f>IF(TEMPLATE_SPHERE="HEAT",T11,U11)</f>
        <v>Количество поданных заявок</v>
      </c>
      <c r="N11" s="773" t="str">
        <f t="shared" ref="N11:N16" si="0">IF(TEMPLATE_SPHERE="HEAT",Z11,AA11)</f>
        <v>Указывается количество поданных заявок на подключение (технологическое присоединение) к системе теплоснабжения в течение отчетного квартала.</v>
      </c>
      <c r="O11" s="772"/>
      <c r="P11" s="772"/>
      <c r="Q11" s="772"/>
      <c r="R11" s="772"/>
      <c r="S11" s="772"/>
      <c r="T11" s="772" t="s">
        <v>2021</v>
      </c>
      <c r="U11" s="772" t="s">
        <v>2022</v>
      </c>
      <c r="V11" s="772"/>
      <c r="W11" s="772"/>
      <c r="X11" s="772"/>
      <c r="Y11" s="928"/>
      <c r="Z11" s="775" t="s">
        <v>2023</v>
      </c>
      <c r="AA11" s="778" t="str">
        <f>"Указывается количество поданных заявлений о заключении договоров о подключении (технологическом присоединении) к централизованной системе "&amp;TEMPLATE_SPHERE_RUS&amp;" в течение одного квартала."</f>
        <v>Указывается количество поданных заявлений о заключении договоров о подключении (технологическом присоединении) к централизованной системе теплоснабжения в течение одного квартала.</v>
      </c>
      <c r="AB11" s="775"/>
      <c r="AC11" s="775"/>
      <c r="AD11" s="775"/>
    </row>
    <row r="12" spans="1:34" ht="45" customHeight="1">
      <c r="A12" s="2452"/>
      <c r="B12" s="827">
        <v>2</v>
      </c>
      <c r="C12" s="2459"/>
      <c r="D12" s="2459"/>
      <c r="E12" s="2459"/>
      <c r="F12" s="2459"/>
      <c r="G12" s="2459"/>
      <c r="H12" s="826" t="s">
        <v>2024</v>
      </c>
      <c r="I12" s="826"/>
      <c r="J12" s="826"/>
      <c r="K12" s="826"/>
      <c r="L12" s="826"/>
      <c r="M12" s="773" t="str">
        <f>IF(TEMPLATE_SPHERE="HEAT",T12,U12)</f>
        <v>Количество рассмотренных заявок</v>
      </c>
      <c r="N12" s="773" t="str">
        <f t="shared" si="0"/>
        <v>Указывается количество исполненных заявок на подключение (технологическое присоединение) к системе теплоснабжения в течение отчетного квартала.</v>
      </c>
      <c r="O12" s="772"/>
      <c r="P12" s="772"/>
      <c r="Q12" s="772"/>
      <c r="R12" s="772"/>
      <c r="S12" s="772"/>
      <c r="T12" s="772" t="s">
        <v>2025</v>
      </c>
      <c r="U12" s="772" t="s">
        <v>2026</v>
      </c>
      <c r="V12" s="772"/>
      <c r="W12" s="772"/>
      <c r="X12" s="772"/>
      <c r="Y12" s="928"/>
      <c r="Z12" s="775" t="s">
        <v>2027</v>
      </c>
      <c r="AA12" s="778" t="str">
        <f>"Указывается количество исполненных заявлений о заключении договоров о подключении (технологическом присоединении) к централизованной системе "&amp;TEMPLATE_SPHERE_RUS&amp;" в течение одного квартала."</f>
        <v>Указывается количество исполненных заявлений о заключении договоров о подключении (технологическом присоединении) к централизованной системе теплоснабжения в течение одного квартала.</v>
      </c>
      <c r="AB12" s="775"/>
      <c r="AC12" s="775"/>
      <c r="AD12" s="775"/>
    </row>
    <row r="13" spans="1:34" ht="72" customHeight="1">
      <c r="A13" s="2452"/>
      <c r="B13" s="827">
        <v>3</v>
      </c>
      <c r="C13" s="2459"/>
      <c r="D13" s="2459"/>
      <c r="E13" s="2459"/>
      <c r="F13" s="2459"/>
      <c r="G13" s="2459"/>
      <c r="H13" s="2451" t="s">
        <v>2028</v>
      </c>
      <c r="I13" s="826"/>
      <c r="J13" s="826"/>
      <c r="K13" s="826"/>
      <c r="L13" s="826"/>
      <c r="M13" s="773" t="str">
        <f>IF(TEMPLATE_SPHERE="HEAT",T13,U13)</f>
        <v>Количество заявок на заключение договора о подключении (технологическом присоединении) к системе теплоснабжения, по которым регулируемой организацией отказано в заключении договора о подключении (технологическом присоединении) к системе теплоснабжения</v>
      </c>
      <c r="N13" s="773" t="str">
        <f t="shared" si="0"/>
        <v>Указывается количество заявок с решением об отказе в течение отчетного квартала.</v>
      </c>
      <c r="O13" s="772"/>
      <c r="P13" s="773"/>
      <c r="Q13" s="773"/>
      <c r="R13" s="773"/>
      <c r="S13" s="772"/>
      <c r="T13" s="772" t="s">
        <v>2029</v>
      </c>
      <c r="U13" s="773" t="s">
        <v>2030</v>
      </c>
      <c r="V13" s="773"/>
      <c r="W13" s="773"/>
      <c r="X13" s="772"/>
      <c r="Y13" s="928"/>
      <c r="Z13" s="775" t="s">
        <v>2031</v>
      </c>
      <c r="AA13" s="778" t="str">
        <f>"Указывается количество заявлений о заключении договоров о подключении (технологическом присоединении) к централизованной системе "&amp;TEMPLATE_SPHERE_RUS&amp;", по которым организацией "&amp;TEMPLATE_SPHERE_RUS&amp;" отказано в заключении договора о подключении (технологическом присоединении) к централизованной системе "&amp;TEMPLATE_SPHERE_RUS&amp;" с указанием причин, в течение одного квартала."</f>
        <v>Указывается количество заявлений о заключении договоров о подключении (технологическом присоединении) к централизованной системе теплоснабжения, по которым организацией теплоснабжения отказано в заключении договора о подключении (технологическом присоединении) к централизованной системе теплоснабжения с указанием причин, в течение одного квартала.</v>
      </c>
      <c r="AB13" s="775"/>
      <c r="AC13" s="775"/>
      <c r="AD13" s="775"/>
    </row>
    <row r="14" spans="1:34" ht="45" customHeight="1">
      <c r="A14" s="2452"/>
      <c r="B14" s="827">
        <v>4</v>
      </c>
      <c r="C14" s="2459"/>
      <c r="D14" s="2459"/>
      <c r="E14" s="2459"/>
      <c r="F14" s="2459"/>
      <c r="G14" s="2459"/>
      <c r="H14" s="2451"/>
      <c r="I14" s="829"/>
      <c r="J14" s="829"/>
      <c r="K14" s="829"/>
      <c r="L14" s="829"/>
      <c r="M14" s="776" t="str">
        <f>IF(TEMPLATE_SPHERE="HEAT",T14,U14)</f>
        <v>Причины отказа в заключении договора о подключении (технологическом присоединении) к системе теплоснабжения</v>
      </c>
      <c r="N14" s="773" t="str">
        <f t="shared" si="0"/>
        <v>Указывается текстовое описание причин принятия решений._x000D_
Не заполняется в случае, если решения об отказе в течение отчетного периода не принимались.</v>
      </c>
      <c r="O14" s="772"/>
      <c r="P14" s="773"/>
      <c r="Q14" s="773"/>
      <c r="R14" s="773"/>
      <c r="S14" s="772"/>
      <c r="T14" s="772" t="s">
        <v>2032</v>
      </c>
      <c r="U14" s="773" t="str">
        <f>"Причины отказа в заключении договора о подключении (технологическом присоединении) к централизованной системе "&amp;TEMPLATE_SPHERE_RUS</f>
        <v>Причины отказа в заключении договора о подключении (технологическом присоединении) к централизованной системе теплоснабжения</v>
      </c>
      <c r="V14" s="773"/>
      <c r="W14" s="773"/>
      <c r="X14" s="772"/>
      <c r="Y14" s="928"/>
      <c r="Z14" s="775" t="s">
        <v>2033</v>
      </c>
      <c r="AA14" s="778" t="s">
        <v>2033</v>
      </c>
      <c r="AB14" s="775"/>
      <c r="AC14" s="775"/>
      <c r="AD14" s="775"/>
    </row>
    <row r="15" spans="1:34" ht="108" customHeight="1">
      <c r="A15" s="2452"/>
      <c r="B15" s="827">
        <v>5</v>
      </c>
      <c r="C15" s="2459"/>
      <c r="D15" s="2459"/>
      <c r="E15" s="2459"/>
      <c r="F15" s="2459"/>
      <c r="G15" s="2459"/>
      <c r="H15" s="2453" t="s">
        <v>2034</v>
      </c>
      <c r="I15" s="828"/>
      <c r="J15" s="828"/>
      <c r="K15" s="828"/>
      <c r="L15" s="828"/>
      <c r="M15" s="778" t="str">
        <f>IF(TEMPLATE_SPHERE="HEAT",T15,U15)</f>
        <v>Резерв мощности источников тепловой энергии, входящих в систему теплоснабжения, в течение одного квартала, в том числе:</v>
      </c>
      <c r="N15" s="777" t="str">
        <f t="shared" si="0"/>
        <v xml:space="preserve">Указывается резерв мощности для системы теплоснабжения, тариф для которой не является отличным от тарифов других систем теплоснабжения регулируемой организации._x000D_
При использовании регулируемой организацией нескольких систем теплоснабжения информация о резерве мощности источников тепловой энергии таких систем раскрывается в отношении каждой системы теплоснабжения в отдельных строках. </v>
      </c>
      <c r="O15" s="772"/>
      <c r="P15" s="773"/>
      <c r="Q15" s="773"/>
      <c r="R15" s="773"/>
      <c r="S15" s="772"/>
      <c r="T15" s="772" t="s">
        <v>2035</v>
      </c>
      <c r="U15" s="773" t="str">
        <f>"Наличие свободной мощности (резерва мощности) на соответствующих объектах централизованных систем "&amp;TEMPLATE_SPHERE_RUS&amp;" в течение одного квартала, в том числе:"</f>
        <v>Наличие свободной мощности (резерва мощности) на соответствующих объектах централизованных систем теплоснабжения в течение одного квартала, в том числе:</v>
      </c>
      <c r="V15" s="773"/>
      <c r="W15" s="773"/>
      <c r="X15" s="772"/>
      <c r="Y15" s="928"/>
      <c r="Z15" s="775" t="s">
        <v>2036</v>
      </c>
      <c r="AA15" s="778" t="str">
        <f>"Указывается наличие свободной мощности (резерв мощности) на соответствующих объектах централизованной системы "&amp;TEMPLATE_SPHERE_RUS&amp;" (совокупности централизованных систем "&amp;TEMPLATE_SPHERE_RUS&amp;") в случае, если для них установлены одинаковые тарифы в сфере "&amp;TEMPLATE_SPHERE_RUS&amp;".
В случае если регулируемыми организациями оказываются услуги "&amp;TEMPLATE_SPHERE_RUS&amp;" по нескольким технологически не связанным между собой централизованным системам "&amp;TEMPLATE_SPHERE_RUS&amp;", и если в отношении указанных систем устанавливаются различные тарифы в сфере "&amp;TEMPLATE_SPHERE_RUS&amp;", то информация раскрывается отдельно по каждой централизованной системе "&amp;TEMPLATE_SPHERE_RUS&amp;"."</f>
        <v>Указывается наличие свободной мощности (резерв мощности) на соответствующих объектах централизованной системы теплоснабжения (совокупности централизованных систем теплоснабжения) в случае, если для них установлены одинаковые тарифы в сфере теплоснабжения.
В случае если регулируемыми организациями оказываются услуги теплоснабжения по нескольким технологически не связанным между собой централизованным системам теплоснабжения, и если в отношении указанных систем устанавливаются различные тарифы в сфере теплоснабжения, то информация раскрывается отдельно по каждой централизованной системе теплоснабжения.</v>
      </c>
      <c r="AB15" s="775"/>
      <c r="AC15" s="775"/>
      <c r="AD15" s="775"/>
    </row>
    <row r="16" spans="1:34" ht="108" customHeight="1">
      <c r="A16" s="827"/>
      <c r="B16" s="827">
        <v>6</v>
      </c>
      <c r="C16" s="2460"/>
      <c r="D16" s="2460"/>
      <c r="E16" s="2460"/>
      <c r="F16" s="2460"/>
      <c r="G16" s="2460"/>
      <c r="H16" s="2454"/>
      <c r="I16" s="890"/>
      <c r="J16" s="890"/>
      <c r="K16" s="890"/>
      <c r="L16" s="890"/>
      <c r="M16" s="820"/>
      <c r="N16" s="777" t="str">
        <f t="shared" si="0"/>
        <v xml:space="preserve">Указывается резерв мощности для системы теплоснабжения, тариф для которой не является отличным от тарифов других систем теплоснабжения регулируемой организации._x000D_
При использовании регулируемой организацией нескольких систем теплоснабжения информация о резерве мощности источников тепловой энергии таких систем раскрывается в отношении каждой системы теплоснабжения в отдельных строках. </v>
      </c>
      <c r="O16" s="772"/>
      <c r="P16" s="773"/>
      <c r="Q16" s="773"/>
      <c r="R16" s="773"/>
      <c r="S16" s="772"/>
      <c r="T16" s="772"/>
      <c r="U16" s="773"/>
      <c r="V16" s="773"/>
      <c r="W16" s="773"/>
      <c r="X16" s="772"/>
      <c r="Y16" s="928"/>
      <c r="Z16" s="775" t="s">
        <v>2036</v>
      </c>
      <c r="AA16" s="778" t="str">
        <f>"Указывается наличие свободной мощности (резерв мощности) для централизованной системы "&amp;TEMPLATE_SPHERE_RUS&amp;", тариф для которой не является отличным от тарифов других централизованных систем "&amp;TEMPLATE_SPHERE_RUS&amp;" регулируемой организации.
При использовании регулируемой организацией нескольких централизованных систем "&amp;TEMPLATE_SPHERE_RUS&amp;" информация о наличии свободной мощности (резерве мощности) на соответствующих объектах централизованных систем "&amp;TEMPLATE_SPHERE_RUS&amp;" публикуется в отношении каждой централизованной системы "&amp;TEMPLATE_SPHERE_RUS&amp;" в отдельных строках."</f>
        <v>Указывается наличие свободной мощности (резерв мощности) для централизованной системы теплоснабжения, тариф для которой не является отличным от тарифов других централизованных систем теплоснабжения регулируемой организации.
При использовании регулируемой организацией нескольких централизованных систем теплоснабжения информация о наличии свободной мощности (резерве мощности) на соответствующих объектах централизованных систем теплоснабжения публикуется в отношении каждой централизованной системы теплоснабжения в отдельных строках.</v>
      </c>
      <c r="AB16" s="775"/>
      <c r="AC16" s="775"/>
      <c r="AD16" s="775"/>
    </row>
    <row r="17" spans="1:30" ht="9" customHeight="1">
      <c r="A17" s="827"/>
      <c r="B17" s="827"/>
      <c r="C17" s="827">
        <v>22</v>
      </c>
      <c r="D17" s="827">
        <v>21</v>
      </c>
      <c r="E17" s="827">
        <v>42</v>
      </c>
      <c r="F17" s="827">
        <v>63</v>
      </c>
      <c r="G17" s="827"/>
      <c r="H17" s="827"/>
      <c r="I17" s="827"/>
      <c r="J17" s="827"/>
      <c r="K17" s="827"/>
      <c r="L17" s="827"/>
      <c r="M17" s="827"/>
      <c r="N17" s="827"/>
      <c r="O17" s="827"/>
      <c r="P17" s="827"/>
      <c r="Q17" s="827"/>
      <c r="R17" s="827"/>
      <c r="S17" s="827"/>
      <c r="T17" s="827"/>
      <c r="U17" s="827"/>
      <c r="V17" s="827"/>
      <c r="W17" s="827"/>
      <c r="X17" s="827"/>
      <c r="Y17" s="827"/>
      <c r="Z17" s="827"/>
      <c r="AA17" s="827"/>
      <c r="AB17" s="827"/>
      <c r="AC17" s="827"/>
      <c r="AD17" s="827"/>
    </row>
    <row r="18" spans="1:30" ht="27" customHeight="1">
      <c r="A18" s="774" t="s">
        <v>1653</v>
      </c>
      <c r="B18" s="827">
        <v>1</v>
      </c>
      <c r="C18" s="772" t="s">
        <v>2020</v>
      </c>
      <c r="D18" s="895" t="s">
        <v>2020</v>
      </c>
      <c r="E18" s="772" t="s">
        <v>2020</v>
      </c>
      <c r="F18" s="772" t="s">
        <v>2020</v>
      </c>
      <c r="G18" s="772"/>
      <c r="H18" s="930"/>
      <c r="I18" s="933">
        <f t="shared" ref="I18:I49" si="1">INDEX(TEMPLATE_NUMBER_POINT_FHD,B18,MATCH(TEMPLATE_SPHERE,TEMPLATE_SPHERE_LIST_FOR_NOTE,0))</f>
        <v>1</v>
      </c>
      <c r="J18" s="933" t="str">
        <f t="shared" ref="J18:J49" si="2">INDEX(TEMPLATE_DATA_POINT_FHD,B18,MATCH(TEMPLATE_SPHERE,TEMPLATE_SPHERE_LIST_FOR_NOTE,0))</f>
        <v>Выручка от регулируемого вида деятельности с распределением по видам деятельности</v>
      </c>
      <c r="K18" s="933" t="str">
        <f t="shared" ref="K18:K49" si="3">INDEX(TEMPLATE_NOTE_POINT_FHD,B18,MATCH(TEMPLATE_SPHERE,TEMPLATE_SPHERE_LIST_FOR_NOTE,0))</f>
        <v>Указывается выручка от регулируемого вида деятельности с распределением по видам деятельности.</v>
      </c>
      <c r="L18" s="773">
        <f t="shared" ref="L18:L49" si="4">IF(I18=0,"",I18)</f>
        <v>1</v>
      </c>
      <c r="M18" s="773" t="str">
        <f t="shared" ref="M18:M49" si="5">IF(J18=0,"",J18)</f>
        <v>Выручка от регулируемого вида деятельности с распределением по видам деятельности</v>
      </c>
      <c r="N18" s="773" t="str">
        <f t="shared" ref="N18:N49" si="6">IF(K18=0,"",K18)</f>
        <v>Указывается выручка от регулируемого вида деятельности с распределением по видам деятельности.</v>
      </c>
      <c r="O18" s="885">
        <v>1</v>
      </c>
      <c r="P18" s="885">
        <v>1</v>
      </c>
      <c r="Q18" s="885">
        <v>1</v>
      </c>
      <c r="R18" s="885">
        <v>1</v>
      </c>
      <c r="S18" s="885"/>
      <c r="T18" s="892" t="s">
        <v>2037</v>
      </c>
      <c r="U18" s="775" t="s">
        <v>2038</v>
      </c>
      <c r="V18" s="775" t="s">
        <v>2039</v>
      </c>
      <c r="W18" s="775" t="s">
        <v>2040</v>
      </c>
      <c r="X18" s="772"/>
      <c r="Y18" s="928"/>
      <c r="Z18" s="775" t="s">
        <v>2041</v>
      </c>
      <c r="AA18" s="778" t="s">
        <v>2042</v>
      </c>
      <c r="AB18" s="778" t="s">
        <v>2042</v>
      </c>
      <c r="AC18" s="778" t="s">
        <v>2042</v>
      </c>
      <c r="AD18" s="775"/>
    </row>
    <row r="19" spans="1:30" ht="36" customHeight="1">
      <c r="A19" s="774"/>
      <c r="B19" s="827">
        <v>2</v>
      </c>
      <c r="C19" s="772" t="s">
        <v>2024</v>
      </c>
      <c r="D19" s="895" t="s">
        <v>2024</v>
      </c>
      <c r="E19" s="772" t="s">
        <v>2024</v>
      </c>
      <c r="F19" s="772" t="s">
        <v>2024</v>
      </c>
      <c r="G19" s="772"/>
      <c r="H19" s="930"/>
      <c r="I19" s="933">
        <f t="shared" si="1"/>
        <v>2</v>
      </c>
      <c r="J19" s="933" t="str">
        <f t="shared" si="2"/>
        <v>Себестоимость производимых товаров (оказываемых услуг) по регулируемому виду деятельности, включая:</v>
      </c>
      <c r="K19" s="933" t="str">
        <f t="shared" si="3"/>
        <v>Указывается суммарная себестоимость производимых товаров.</v>
      </c>
      <c r="L19" s="773">
        <f t="shared" si="4"/>
        <v>2</v>
      </c>
      <c r="M19" s="773" t="str">
        <f t="shared" si="5"/>
        <v>Себестоимость производимых товаров (оказываемых услуг) по регулируемому виду деятельности, включая:</v>
      </c>
      <c r="N19" s="773" t="str">
        <f t="shared" si="6"/>
        <v>Указывается суммарная себестоимость производимых товаров.</v>
      </c>
      <c r="O19" s="885">
        <v>2</v>
      </c>
      <c r="P19" s="885">
        <v>2</v>
      </c>
      <c r="Q19" s="885">
        <v>2</v>
      </c>
      <c r="R19" s="885">
        <v>2</v>
      </c>
      <c r="S19" s="885"/>
      <c r="T19" s="892" t="s">
        <v>2043</v>
      </c>
      <c r="U19" s="775" t="s">
        <v>2044</v>
      </c>
      <c r="V19" s="775" t="s">
        <v>2045</v>
      </c>
      <c r="W19" s="775" t="s">
        <v>2046</v>
      </c>
      <c r="X19" s="772"/>
      <c r="Y19" s="928"/>
      <c r="Z19" s="775" t="s">
        <v>2047</v>
      </c>
      <c r="AA19" s="778" t="s">
        <v>2047</v>
      </c>
      <c r="AB19" s="778" t="s">
        <v>2047</v>
      </c>
      <c r="AC19" s="778" t="s">
        <v>2047</v>
      </c>
      <c r="AD19" s="775"/>
    </row>
    <row r="20" spans="1:30" ht="27" customHeight="1">
      <c r="A20" s="774"/>
      <c r="B20" s="827">
        <v>3</v>
      </c>
      <c r="C20" s="772">
        <v>1</v>
      </c>
      <c r="D20" s="895"/>
      <c r="E20" s="772"/>
      <c r="F20" s="772"/>
      <c r="G20" s="772"/>
      <c r="H20" s="930"/>
      <c r="I20" s="933" t="str">
        <f t="shared" si="1"/>
        <v>2.1</v>
      </c>
      <c r="J20" s="933" t="str">
        <f t="shared" si="2"/>
        <v>Расходы на приобретаемую тепловую энергию (мощность), теплоноситель</v>
      </c>
      <c r="K20" s="933">
        <f t="shared" si="3"/>
        <v>0</v>
      </c>
      <c r="L20" s="773" t="str">
        <f t="shared" si="4"/>
        <v>2.1</v>
      </c>
      <c r="M20" s="773" t="str">
        <f t="shared" si="5"/>
        <v>Расходы на приобретаемую тепловую энергию (мощность), теплоноситель</v>
      </c>
      <c r="N20" s="773" t="str">
        <f t="shared" si="6"/>
        <v/>
      </c>
      <c r="O20" s="885" t="s">
        <v>708</v>
      </c>
      <c r="P20" s="885" t="s">
        <v>708</v>
      </c>
      <c r="Q20" s="885" t="s">
        <v>708</v>
      </c>
      <c r="R20" s="885" t="s">
        <v>708</v>
      </c>
      <c r="S20" s="885"/>
      <c r="T20" s="892" t="s">
        <v>2048</v>
      </c>
      <c r="U20" s="775" t="s">
        <v>2049</v>
      </c>
      <c r="V20" s="775" t="s">
        <v>2050</v>
      </c>
      <c r="W20" s="775" t="s">
        <v>2051</v>
      </c>
      <c r="X20" s="772"/>
      <c r="Y20" s="928"/>
      <c r="Z20" s="775"/>
      <c r="AA20" s="778"/>
      <c r="AB20" s="775"/>
      <c r="AC20" s="775"/>
      <c r="AD20" s="775"/>
    </row>
    <row r="21" spans="1:30" ht="36" customHeight="1">
      <c r="A21" s="774"/>
      <c r="B21" s="827">
        <v>4</v>
      </c>
      <c r="C21" s="772">
        <v>2</v>
      </c>
      <c r="D21" s="895"/>
      <c r="E21" s="772"/>
      <c r="F21" s="772"/>
      <c r="G21" s="772"/>
      <c r="H21" s="930"/>
      <c r="I21" s="933" t="str">
        <f t="shared" si="1"/>
        <v>2.2</v>
      </c>
      <c r="J21" s="933" t="str">
        <f t="shared" si="2"/>
        <v>Расходы на топливо с указанием по каждому виду топлива стоимости (за единицу объема), объема и способа его приобретения, стоимости его доставки</v>
      </c>
      <c r="K21" s="933" t="str">
        <f t="shared" si="3"/>
        <v>Указываются суммарные расходы на приобретение топлива всех видов.</v>
      </c>
      <c r="L21" s="773" t="str">
        <f t="shared" si="4"/>
        <v>2.2</v>
      </c>
      <c r="M21" s="773" t="str">
        <f t="shared" si="5"/>
        <v>Расходы на топливо с указанием по каждому виду топлива стоимости (за единицу объема), объема и способа его приобретения, стоимости его доставки</v>
      </c>
      <c r="N21" s="773" t="str">
        <f t="shared" si="6"/>
        <v>Указываются суммарные расходы на приобретение топлива всех видов.</v>
      </c>
      <c r="O21" s="885" t="s">
        <v>306</v>
      </c>
      <c r="P21" s="885"/>
      <c r="Q21" s="885"/>
      <c r="R21" s="885"/>
      <c r="S21" s="885"/>
      <c r="T21" s="892" t="s">
        <v>2052</v>
      </c>
      <c r="U21" s="775"/>
      <c r="V21" s="775"/>
      <c r="W21" s="775"/>
      <c r="X21" s="772"/>
      <c r="Y21" s="928"/>
      <c r="Z21" s="775" t="s">
        <v>2053</v>
      </c>
      <c r="AA21" s="778"/>
      <c r="AB21" s="775"/>
      <c r="AC21" s="775"/>
      <c r="AD21" s="775"/>
    </row>
    <row r="22" spans="1:30" ht="36" customHeight="1">
      <c r="A22" s="774"/>
      <c r="B22" s="827">
        <v>5</v>
      </c>
      <c r="C22" s="772">
        <v>3</v>
      </c>
      <c r="D22" s="895"/>
      <c r="E22" s="772"/>
      <c r="F22" s="772"/>
      <c r="G22" s="819"/>
      <c r="H22" s="886"/>
      <c r="I22" s="933">
        <f t="shared" si="1"/>
        <v>0</v>
      </c>
      <c r="J22" s="933">
        <f t="shared" si="2"/>
        <v>0</v>
      </c>
      <c r="K22" s="933">
        <f t="shared" si="3"/>
        <v>0</v>
      </c>
      <c r="L22" s="773" t="str">
        <f t="shared" si="4"/>
        <v/>
      </c>
      <c r="M22" s="773" t="str">
        <f t="shared" si="5"/>
        <v/>
      </c>
      <c r="N22" s="773" t="str">
        <f t="shared" si="6"/>
        <v/>
      </c>
      <c r="O22" s="885"/>
      <c r="P22" s="885"/>
      <c r="Q22" s="885" t="s">
        <v>306</v>
      </c>
      <c r="R22" s="885"/>
      <c r="S22" s="885"/>
      <c r="T22" s="892"/>
      <c r="U22" s="775"/>
      <c r="V22" s="775" t="s">
        <v>2054</v>
      </c>
      <c r="W22" s="775"/>
      <c r="X22" s="772"/>
      <c r="Y22" s="928"/>
      <c r="Z22" s="775"/>
      <c r="AA22" s="778"/>
      <c r="AB22" s="775"/>
      <c r="AC22" s="775"/>
      <c r="AD22" s="775"/>
    </row>
    <row r="23" spans="1:30" ht="27" customHeight="1">
      <c r="A23" s="774"/>
      <c r="B23" s="827">
        <v>6</v>
      </c>
      <c r="C23" s="772">
        <v>4</v>
      </c>
      <c r="D23" s="895"/>
      <c r="E23" s="772"/>
      <c r="F23" s="772"/>
      <c r="G23" s="819"/>
      <c r="H23" s="886"/>
      <c r="I23" s="933">
        <f t="shared" si="1"/>
        <v>0</v>
      </c>
      <c r="J23" s="933">
        <f t="shared" si="2"/>
        <v>0</v>
      </c>
      <c r="K23" s="933">
        <f t="shared" si="3"/>
        <v>0</v>
      </c>
      <c r="L23" s="773" t="str">
        <f t="shared" si="4"/>
        <v/>
      </c>
      <c r="M23" s="773" t="str">
        <f t="shared" si="5"/>
        <v/>
      </c>
      <c r="N23" s="773" t="str">
        <f t="shared" si="6"/>
        <v/>
      </c>
      <c r="O23" s="885"/>
      <c r="P23" s="885"/>
      <c r="Q23" s="885" t="s">
        <v>309</v>
      </c>
      <c r="R23" s="885"/>
      <c r="S23" s="885"/>
      <c r="T23" s="892"/>
      <c r="U23" s="775"/>
      <c r="V23" s="775" t="s">
        <v>2055</v>
      </c>
      <c r="W23" s="775"/>
      <c r="X23" s="772"/>
      <c r="Y23" s="928"/>
      <c r="Z23" s="775"/>
      <c r="AA23" s="778"/>
      <c r="AB23" s="775"/>
      <c r="AC23" s="775"/>
      <c r="AD23" s="775"/>
    </row>
    <row r="24" spans="1:30" ht="36" customHeight="1">
      <c r="A24" s="774"/>
      <c r="B24" s="827">
        <v>7</v>
      </c>
      <c r="C24" s="772">
        <v>5</v>
      </c>
      <c r="D24" s="895"/>
      <c r="E24" s="772"/>
      <c r="F24" s="772"/>
      <c r="G24" s="819"/>
      <c r="H24" s="886"/>
      <c r="I24" s="933">
        <f t="shared" si="1"/>
        <v>0</v>
      </c>
      <c r="J24" s="933">
        <f t="shared" si="2"/>
        <v>0</v>
      </c>
      <c r="K24" s="933">
        <f t="shared" si="3"/>
        <v>0</v>
      </c>
      <c r="L24" s="773" t="str">
        <f t="shared" si="4"/>
        <v/>
      </c>
      <c r="M24" s="773" t="str">
        <f t="shared" si="5"/>
        <v/>
      </c>
      <c r="N24" s="773" t="str">
        <f t="shared" si="6"/>
        <v/>
      </c>
      <c r="O24" s="885"/>
      <c r="P24" s="885"/>
      <c r="Q24" s="885" t="s">
        <v>728</v>
      </c>
      <c r="R24" s="885"/>
      <c r="S24" s="885"/>
      <c r="T24" s="892"/>
      <c r="U24" s="775"/>
      <c r="V24" s="775" t="s">
        <v>2056</v>
      </c>
      <c r="W24" s="775"/>
      <c r="X24" s="772"/>
      <c r="Y24" s="928"/>
      <c r="Z24" s="775"/>
      <c r="AA24" s="778"/>
      <c r="AB24" s="775"/>
      <c r="AC24" s="775"/>
      <c r="AD24" s="775"/>
    </row>
    <row r="25" spans="1:30" ht="36" customHeight="1">
      <c r="A25" s="774"/>
      <c r="B25" s="827">
        <v>8</v>
      </c>
      <c r="C25" s="772">
        <v>6</v>
      </c>
      <c r="D25" s="895"/>
      <c r="E25" s="772"/>
      <c r="F25" s="772"/>
      <c r="G25" s="819"/>
      <c r="H25" s="886"/>
      <c r="I25" s="933" t="str">
        <f t="shared" si="1"/>
        <v>2.3</v>
      </c>
      <c r="J25" s="933" t="str">
        <f t="shared" si="2"/>
        <v>Расходы на приобретаемую электрическую энергию (мощность), используемую в технологическом процессе</v>
      </c>
      <c r="K25" s="933">
        <f t="shared" si="3"/>
        <v>0</v>
      </c>
      <c r="L25" s="773" t="str">
        <f t="shared" si="4"/>
        <v>2.3</v>
      </c>
      <c r="M25" s="773" t="str">
        <f t="shared" si="5"/>
        <v>Расходы на приобретаемую электрическую энергию (мощность), используемую в технологическом процессе</v>
      </c>
      <c r="N25" s="773" t="str">
        <f t="shared" si="6"/>
        <v/>
      </c>
      <c r="O25" s="885" t="s">
        <v>309</v>
      </c>
      <c r="P25" s="885" t="s">
        <v>306</v>
      </c>
      <c r="Q25" s="885" t="s">
        <v>735</v>
      </c>
      <c r="R25" s="885" t="s">
        <v>306</v>
      </c>
      <c r="S25" s="885"/>
      <c r="T25" s="892" t="s">
        <v>2057</v>
      </c>
      <c r="U25" s="775" t="s">
        <v>2057</v>
      </c>
      <c r="V25" s="775" t="s">
        <v>2057</v>
      </c>
      <c r="W25" s="775" t="s">
        <v>2057</v>
      </c>
      <c r="X25" s="772"/>
      <c r="Y25" s="928"/>
      <c r="Z25" s="775"/>
      <c r="AA25" s="778"/>
      <c r="AB25" s="775"/>
      <c r="AC25" s="775"/>
      <c r="AD25" s="775"/>
    </row>
    <row r="26" spans="1:30" ht="18" customHeight="1">
      <c r="A26" s="774"/>
      <c r="B26" s="827">
        <v>9</v>
      </c>
      <c r="C26" s="772" t="s">
        <v>651</v>
      </c>
      <c r="D26" s="895"/>
      <c r="E26" s="772"/>
      <c r="F26" s="772"/>
      <c r="G26" s="819"/>
      <c r="H26" s="886"/>
      <c r="I26" s="933" t="str">
        <f t="shared" si="1"/>
        <v>2.3.1</v>
      </c>
      <c r="J26" s="933" t="str">
        <f t="shared" si="2"/>
        <v>Средневзвешенная стоимость 1 кВт.ч (с учетом мощности)</v>
      </c>
      <c r="K26" s="933">
        <f t="shared" si="3"/>
        <v>0</v>
      </c>
      <c r="L26" s="773" t="str">
        <f t="shared" si="4"/>
        <v>2.3.1</v>
      </c>
      <c r="M26" s="773" t="str">
        <f t="shared" si="5"/>
        <v>Средневзвешенная стоимость 1 кВт.ч (с учетом мощности)</v>
      </c>
      <c r="N26" s="773" t="str">
        <f t="shared" si="6"/>
        <v/>
      </c>
      <c r="O26" s="885" t="s">
        <v>724</v>
      </c>
      <c r="P26" s="885" t="s">
        <v>718</v>
      </c>
      <c r="Q26" s="885" t="s">
        <v>2058</v>
      </c>
      <c r="R26" s="885" t="s">
        <v>718</v>
      </c>
      <c r="S26" s="885"/>
      <c r="T26" s="892" t="str">
        <f>"Средневзвешенная стоимость 1 кВт.ч"&amp;IF(TITLE_TYPE_ORG="Регулируемая организация"," (с учетом мощности)","")</f>
        <v>Средневзвешенная стоимость 1 кВт.ч (с учетом мощности)</v>
      </c>
      <c r="U26" s="892" t="s">
        <v>2059</v>
      </c>
      <c r="V26" s="892" t="s">
        <v>2059</v>
      </c>
      <c r="W26" s="892" t="s">
        <v>2059</v>
      </c>
      <c r="X26" s="772"/>
      <c r="Y26" s="928"/>
      <c r="Z26" s="775"/>
      <c r="AA26" s="778"/>
      <c r="AB26" s="775"/>
      <c r="AC26" s="775"/>
      <c r="AD26" s="775"/>
    </row>
    <row r="27" spans="1:30" ht="18" customHeight="1">
      <c r="A27" s="774"/>
      <c r="B27" s="827">
        <v>10</v>
      </c>
      <c r="C27" s="772" t="s">
        <v>655</v>
      </c>
      <c r="D27" s="895"/>
      <c r="E27" s="772"/>
      <c r="F27" s="772"/>
      <c r="G27" s="819"/>
      <c r="H27" s="886"/>
      <c r="I27" s="933" t="str">
        <f t="shared" si="1"/>
        <v>2.3.2</v>
      </c>
      <c r="J27" s="933" t="str">
        <f t="shared" si="2"/>
        <v>Объём приобретения электрической энергии</v>
      </c>
      <c r="K27" s="933">
        <f t="shared" si="3"/>
        <v>0</v>
      </c>
      <c r="L27" s="773" t="str">
        <f t="shared" si="4"/>
        <v>2.3.2</v>
      </c>
      <c r="M27" s="773" t="str">
        <f t="shared" si="5"/>
        <v>Объём приобретения электрической энергии</v>
      </c>
      <c r="N27" s="773" t="str">
        <f t="shared" si="6"/>
        <v/>
      </c>
      <c r="O27" s="885" t="s">
        <v>726</v>
      </c>
      <c r="P27" s="885" t="s">
        <v>720</v>
      </c>
      <c r="Q27" s="885" t="s">
        <v>2060</v>
      </c>
      <c r="R27" s="885" t="s">
        <v>720</v>
      </c>
      <c r="S27" s="885"/>
      <c r="T27" s="892" t="s">
        <v>2061</v>
      </c>
      <c r="U27" s="892" t="s">
        <v>2061</v>
      </c>
      <c r="V27" s="892" t="s">
        <v>2061</v>
      </c>
      <c r="W27" s="892" t="s">
        <v>2061</v>
      </c>
      <c r="X27" s="772"/>
      <c r="Y27" s="928"/>
      <c r="Z27" s="775"/>
      <c r="AA27" s="778"/>
      <c r="AB27" s="775"/>
      <c r="AC27" s="775"/>
      <c r="AD27" s="775"/>
    </row>
    <row r="28" spans="1:30" ht="27" customHeight="1">
      <c r="A28" s="774"/>
      <c r="B28" s="827">
        <v>11</v>
      </c>
      <c r="C28" s="772">
        <v>7</v>
      </c>
      <c r="D28" s="895"/>
      <c r="E28" s="772"/>
      <c r="F28" s="772"/>
      <c r="G28" s="819"/>
      <c r="H28" s="886"/>
      <c r="I28" s="933" t="str">
        <f t="shared" si="1"/>
        <v>2.4</v>
      </c>
      <c r="J28" s="933" t="str">
        <f t="shared" si="2"/>
        <v>Расходы на приобретение холодной воды, используемой в технологическом процессе</v>
      </c>
      <c r="K28" s="933">
        <f t="shared" si="3"/>
        <v>0</v>
      </c>
      <c r="L28" s="773" t="str">
        <f t="shared" si="4"/>
        <v>2.4</v>
      </c>
      <c r="M28" s="773" t="str">
        <f t="shared" si="5"/>
        <v>Расходы на приобретение холодной воды, используемой в технологическом процессе</v>
      </c>
      <c r="N28" s="773" t="str">
        <f t="shared" si="6"/>
        <v/>
      </c>
      <c r="O28" s="885" t="s">
        <v>728</v>
      </c>
      <c r="P28" s="885"/>
      <c r="Q28" s="885"/>
      <c r="R28" s="885"/>
      <c r="S28" s="885"/>
      <c r="T28" s="892" t="s">
        <v>2062</v>
      </c>
      <c r="U28" s="775"/>
      <c r="V28" s="775"/>
      <c r="W28" s="775"/>
      <c r="X28" s="772"/>
      <c r="Y28" s="928"/>
      <c r="Z28" s="775"/>
      <c r="AA28" s="778"/>
      <c r="AB28" s="775"/>
      <c r="AC28" s="775"/>
      <c r="AD28" s="775"/>
    </row>
    <row r="29" spans="1:30" ht="27" customHeight="1">
      <c r="A29" s="774"/>
      <c r="B29" s="827">
        <v>12</v>
      </c>
      <c r="C29" s="772">
        <v>8</v>
      </c>
      <c r="D29" s="895"/>
      <c r="E29" s="772"/>
      <c r="F29" s="772"/>
      <c r="G29" s="819"/>
      <c r="H29" s="886"/>
      <c r="I29" s="933" t="str">
        <f t="shared" si="1"/>
        <v>2.5</v>
      </c>
      <c r="J29" s="933" t="str">
        <f t="shared" si="2"/>
        <v>Расходы на  химические реагенты, используемые в технологическом процессе</v>
      </c>
      <c r="K29" s="933">
        <f t="shared" si="3"/>
        <v>0</v>
      </c>
      <c r="L29" s="773" t="str">
        <f t="shared" si="4"/>
        <v>2.5</v>
      </c>
      <c r="M29" s="773" t="str">
        <f t="shared" si="5"/>
        <v>Расходы на  химические реагенты, используемые в технологическом процессе</v>
      </c>
      <c r="N29" s="773" t="str">
        <f t="shared" si="6"/>
        <v/>
      </c>
      <c r="O29" s="885" t="s">
        <v>735</v>
      </c>
      <c r="P29" s="885" t="s">
        <v>309</v>
      </c>
      <c r="Q29" s="885"/>
      <c r="R29" s="885" t="s">
        <v>309</v>
      </c>
      <c r="S29" s="885"/>
      <c r="T29" s="892" t="str">
        <f>"Расходы на  хим"&amp;IF(TITLE_TYPE_ORG="Регулируемая организация","ические",".")&amp;" реагенты, используемые в технологическом процессе"</f>
        <v>Расходы на  химические реагенты, используемые в технологическом процессе</v>
      </c>
      <c r="U29" s="775" t="s">
        <v>2063</v>
      </c>
      <c r="V29" s="775"/>
      <c r="W29" s="775" t="s">
        <v>2063</v>
      </c>
      <c r="X29" s="772"/>
      <c r="Y29" s="928"/>
      <c r="Z29" s="775"/>
      <c r="AA29" s="778"/>
      <c r="AB29" s="775"/>
      <c r="AC29" s="775"/>
      <c r="AD29" s="775"/>
    </row>
    <row r="30" spans="1:30" ht="54" customHeight="1">
      <c r="A30" s="774"/>
      <c r="B30" s="827">
        <v>13</v>
      </c>
      <c r="C30" s="772">
        <v>9</v>
      </c>
      <c r="D30" s="895"/>
      <c r="E30" s="772"/>
      <c r="F30" s="772"/>
      <c r="G30" s="819"/>
      <c r="H30" s="886"/>
      <c r="I30" s="933" t="str">
        <f t="shared" si="1"/>
        <v>2.6</v>
      </c>
      <c r="J30" s="933" t="str">
        <f t="shared" si="2"/>
        <v>Расходы на оплату труда и страховые взносы на обязательное социальное страхование, выплачиваемые из фонда оплаты труда основного производственного персонала, в том числе:</v>
      </c>
      <c r="K30" s="933">
        <f t="shared" si="3"/>
        <v>0</v>
      </c>
      <c r="L30" s="773" t="str">
        <f t="shared" si="4"/>
        <v>2.6</v>
      </c>
      <c r="M30" s="773" t="str">
        <f t="shared" si="5"/>
        <v>Расходы на оплату труда и страховые взносы на обязательное социальное страхование, выплачиваемые из фонда оплаты труда основного производственного персонала, в том числе:</v>
      </c>
      <c r="N30" s="773" t="str">
        <f t="shared" si="6"/>
        <v/>
      </c>
      <c r="O30" s="885" t="s">
        <v>737</v>
      </c>
      <c r="P30" s="885" t="s">
        <v>728</v>
      </c>
      <c r="Q30" s="885" t="s">
        <v>737</v>
      </c>
      <c r="R30" s="885" t="s">
        <v>728</v>
      </c>
      <c r="S30" s="885"/>
      <c r="T30" s="892" t="s">
        <v>2064</v>
      </c>
      <c r="U30" s="775" t="s">
        <v>2064</v>
      </c>
      <c r="V30" s="775" t="s">
        <v>2064</v>
      </c>
      <c r="W30" s="775" t="s">
        <v>2064</v>
      </c>
      <c r="X30" s="772"/>
      <c r="Y30" s="928"/>
      <c r="Z30" s="775"/>
      <c r="AA30" s="778" t="s">
        <v>2065</v>
      </c>
      <c r="AB30" s="778" t="s">
        <v>2065</v>
      </c>
      <c r="AC30" s="778" t="s">
        <v>2065</v>
      </c>
      <c r="AD30" s="775"/>
    </row>
    <row r="31" spans="1:30" ht="18" customHeight="1">
      <c r="A31" s="774"/>
      <c r="B31" s="827">
        <v>14</v>
      </c>
      <c r="C31" s="772" t="s">
        <v>2066</v>
      </c>
      <c r="D31" s="895"/>
      <c r="E31" s="772"/>
      <c r="F31" s="772"/>
      <c r="G31" s="819"/>
      <c r="H31" s="886"/>
      <c r="I31" s="933" t="str">
        <f t="shared" si="1"/>
        <v>2.6.1</v>
      </c>
      <c r="J31" s="933" t="str">
        <f t="shared" si="2"/>
        <v>Расходы на оплату труда основного производственного персонала</v>
      </c>
      <c r="K31" s="933">
        <f t="shared" si="3"/>
        <v>0</v>
      </c>
      <c r="L31" s="773" t="str">
        <f t="shared" si="4"/>
        <v>2.6.1</v>
      </c>
      <c r="M31" s="773" t="str">
        <f t="shared" si="5"/>
        <v>Расходы на оплату труда основного производственного персонала</v>
      </c>
      <c r="N31" s="773" t="str">
        <f t="shared" si="6"/>
        <v/>
      </c>
      <c r="O31" s="885" t="s">
        <v>2067</v>
      </c>
      <c r="P31" s="885" t="s">
        <v>731</v>
      </c>
      <c r="Q31" s="885" t="s">
        <v>2067</v>
      </c>
      <c r="R31" s="885" t="s">
        <v>731</v>
      </c>
      <c r="S31" s="885"/>
      <c r="T31" s="893" t="s">
        <v>2068</v>
      </c>
      <c r="U31" s="775" t="s">
        <v>2068</v>
      </c>
      <c r="V31" s="775" t="s">
        <v>2068</v>
      </c>
      <c r="W31" s="775" t="s">
        <v>2068</v>
      </c>
      <c r="X31" s="772"/>
      <c r="Y31" s="928"/>
      <c r="Z31" s="775"/>
      <c r="AA31" s="778"/>
      <c r="AB31" s="778"/>
      <c r="AC31" s="778"/>
      <c r="AD31" s="775"/>
    </row>
    <row r="32" spans="1:30" ht="36" customHeight="1">
      <c r="A32" s="774"/>
      <c r="B32" s="827">
        <v>15</v>
      </c>
      <c r="C32" s="772" t="s">
        <v>2069</v>
      </c>
      <c r="D32" s="895"/>
      <c r="E32" s="772"/>
      <c r="F32" s="772"/>
      <c r="G32" s="819"/>
      <c r="H32" s="886"/>
      <c r="I32" s="933" t="str">
        <f t="shared" si="1"/>
        <v>2.6.2</v>
      </c>
      <c r="J32" s="933" t="str">
        <f t="shared" si="2"/>
        <v>Страховые взносы на обязательное социальное страхование, выплачиваемые из фонда оплаты труда основного производственного персонала</v>
      </c>
      <c r="K32" s="933">
        <f t="shared" si="3"/>
        <v>0</v>
      </c>
      <c r="L32" s="773" t="str">
        <f t="shared" si="4"/>
        <v>2.6.2</v>
      </c>
      <c r="M32" s="773" t="str">
        <f t="shared" si="5"/>
        <v>Страховые взносы на обязательное социальное страхование, выплачиваемые из фонда оплаты труда основного производственного персонала</v>
      </c>
      <c r="N32" s="773" t="str">
        <f t="shared" si="6"/>
        <v/>
      </c>
      <c r="O32" s="885" t="s">
        <v>2070</v>
      </c>
      <c r="P32" s="885" t="s">
        <v>733</v>
      </c>
      <c r="Q32" s="885" t="s">
        <v>2070</v>
      </c>
      <c r="R32" s="885" t="s">
        <v>733</v>
      </c>
      <c r="S32" s="885"/>
      <c r="T32" s="894" t="str">
        <f>IF(TITLE_TYPE_ORG="Регулируемая организация","С","Расходы на с")&amp;"траховые взносы на обязательное социальное страхование, выплачиваемые из фонда оплаты труда основного производственного персонала"</f>
        <v>Страховые взносы на обязательное социальное страхование, выплачиваемые из фонда оплаты труда основного производственного персонала</v>
      </c>
      <c r="U32" s="775" t="s">
        <v>2071</v>
      </c>
      <c r="V32" s="775" t="s">
        <v>2071</v>
      </c>
      <c r="W32" s="775" t="s">
        <v>2071</v>
      </c>
      <c r="X32" s="772"/>
      <c r="Y32" s="928"/>
      <c r="Z32" s="775"/>
      <c r="AA32" s="778"/>
      <c r="AB32" s="778"/>
      <c r="AC32" s="778"/>
      <c r="AD32" s="775"/>
    </row>
    <row r="33" spans="1:30" ht="45" customHeight="1">
      <c r="A33" s="774"/>
      <c r="B33" s="827">
        <v>16</v>
      </c>
      <c r="C33" s="772">
        <v>10</v>
      </c>
      <c r="D33" s="895"/>
      <c r="E33" s="772"/>
      <c r="F33" s="772"/>
      <c r="G33" s="819"/>
      <c r="H33" s="886"/>
      <c r="I33" s="933" t="str">
        <f t="shared" si="1"/>
        <v>2.7</v>
      </c>
      <c r="J33" s="933" t="str">
        <f t="shared" si="2"/>
        <v>Расходы на оплату труда и страховые взносы на обязательное социальное страхование, выплачиваемые из фонда оплаты труда административно-управленческого персонала, в том числе:</v>
      </c>
      <c r="K33" s="933">
        <f t="shared" si="3"/>
        <v>0</v>
      </c>
      <c r="L33" s="773" t="str">
        <f t="shared" si="4"/>
        <v>2.7</v>
      </c>
      <c r="M33" s="773" t="str">
        <f t="shared" si="5"/>
        <v>Расходы на оплату труда и страховые взносы на обязательное социальное страхование, выплачиваемые из фонда оплаты труда административно-управленческого персонала, в том числе:</v>
      </c>
      <c r="N33" s="773" t="str">
        <f t="shared" si="6"/>
        <v/>
      </c>
      <c r="O33" s="885" t="s">
        <v>739</v>
      </c>
      <c r="P33" s="885" t="s">
        <v>735</v>
      </c>
      <c r="Q33" s="885" t="s">
        <v>739</v>
      </c>
      <c r="R33" s="885" t="s">
        <v>735</v>
      </c>
      <c r="S33" s="885"/>
      <c r="T33" s="893" t="str">
        <f>"Расходы на оплату труда и страховые взносы на обязательное социальное страхование, выплачиваемые из фонда оплаты труда административно-управленческого персонала"&amp;IF(TITLE_TYPE_ORG="Регулируемая организация",", в том числе","")&amp;":"</f>
        <v>Расходы на оплату труда и страховые взносы на обязательное социальное страхование, выплачиваемые из фонда оплаты труда административно-управленческого персонала, в том числе:</v>
      </c>
      <c r="U33" s="775" t="s">
        <v>2072</v>
      </c>
      <c r="V33" s="775" t="s">
        <v>2072</v>
      </c>
      <c r="W33" s="775" t="s">
        <v>2073</v>
      </c>
      <c r="X33" s="772"/>
      <c r="Y33" s="928"/>
      <c r="Z33" s="775"/>
      <c r="AA33" s="778" t="s">
        <v>2074</v>
      </c>
      <c r="AB33" s="778" t="s">
        <v>2074</v>
      </c>
      <c r="AC33" s="778" t="s">
        <v>2074</v>
      </c>
      <c r="AD33" s="775"/>
    </row>
    <row r="34" spans="1:30" ht="27" customHeight="1">
      <c r="A34" s="774"/>
      <c r="B34" s="827">
        <v>17</v>
      </c>
      <c r="C34" s="772" t="s">
        <v>2075</v>
      </c>
      <c r="D34" s="895"/>
      <c r="E34" s="772"/>
      <c r="F34" s="772"/>
      <c r="G34" s="819"/>
      <c r="H34" s="886"/>
      <c r="I34" s="933" t="str">
        <f t="shared" si="1"/>
        <v>2.7.1</v>
      </c>
      <c r="J34" s="933" t="str">
        <f t="shared" si="2"/>
        <v>Расходы на оплату труда административно-управленческого персонала</v>
      </c>
      <c r="K34" s="933">
        <f t="shared" si="3"/>
        <v>0</v>
      </c>
      <c r="L34" s="773" t="str">
        <f t="shared" si="4"/>
        <v>2.7.1</v>
      </c>
      <c r="M34" s="773" t="str">
        <f t="shared" si="5"/>
        <v>Расходы на оплату труда административно-управленческого персонала</v>
      </c>
      <c r="N34" s="773" t="str">
        <f t="shared" si="6"/>
        <v/>
      </c>
      <c r="O34" s="885" t="s">
        <v>2076</v>
      </c>
      <c r="P34" s="885" t="s">
        <v>2058</v>
      </c>
      <c r="Q34" s="885" t="s">
        <v>2076</v>
      </c>
      <c r="R34" s="885" t="s">
        <v>2058</v>
      </c>
      <c r="S34" s="885"/>
      <c r="T34" s="894" t="s">
        <v>2077</v>
      </c>
      <c r="U34" s="775" t="s">
        <v>2077</v>
      </c>
      <c r="V34" s="775" t="s">
        <v>2077</v>
      </c>
      <c r="W34" s="775" t="s">
        <v>2078</v>
      </c>
      <c r="X34" s="772"/>
      <c r="Y34" s="928"/>
      <c r="Z34" s="775"/>
      <c r="AA34" s="778"/>
      <c r="AB34" s="775"/>
      <c r="AC34" s="775"/>
      <c r="AD34" s="775"/>
    </row>
    <row r="35" spans="1:30" ht="45" customHeight="1">
      <c r="A35" s="774"/>
      <c r="B35" s="827">
        <v>18</v>
      </c>
      <c r="C35" s="772" t="s">
        <v>2079</v>
      </c>
      <c r="D35" s="895"/>
      <c r="E35" s="772"/>
      <c r="F35" s="772"/>
      <c r="G35" s="819"/>
      <c r="H35" s="886"/>
      <c r="I35" s="933" t="str">
        <f t="shared" si="1"/>
        <v>2.7.2</v>
      </c>
      <c r="J35" s="933" t="str">
        <f t="shared" si="2"/>
        <v>Страховые взносы на обязательное социальное страхование, выплачиваемые из фонда оплаты труда административно-управленческого персонала</v>
      </c>
      <c r="K35" s="933">
        <f t="shared" si="3"/>
        <v>0</v>
      </c>
      <c r="L35" s="773" t="str">
        <f t="shared" si="4"/>
        <v>2.7.2</v>
      </c>
      <c r="M35" s="773" t="str">
        <f t="shared" si="5"/>
        <v>Страховые взносы на обязательное социальное страхование, выплачиваемые из фонда оплаты труда административно-управленческого персонала</v>
      </c>
      <c r="N35" s="773" t="str">
        <f t="shared" si="6"/>
        <v/>
      </c>
      <c r="O35" s="885" t="s">
        <v>2080</v>
      </c>
      <c r="P35" s="885" t="s">
        <v>2060</v>
      </c>
      <c r="Q35" s="885" t="s">
        <v>2080</v>
      </c>
      <c r="R35" s="885" t="s">
        <v>2060</v>
      </c>
      <c r="S35" s="885"/>
      <c r="T35" s="892" t="str">
        <f>IF(TITLE_TYPE_ORG="Регулируемая организация","С","Расходы на с")&amp;"траховые взносы на обязательное социальное страхование, выплачиваемые из фонда оплаты труда административно-управленческого персонала"</f>
        <v>Страховые взносы на обязательное социальное страхование, выплачиваемые из фонда оплаты труда административно-управленческого персонала</v>
      </c>
      <c r="U35" s="775" t="s">
        <v>2081</v>
      </c>
      <c r="V35" s="775" t="s">
        <v>2081</v>
      </c>
      <c r="W35" s="775" t="s">
        <v>2081</v>
      </c>
      <c r="X35" s="772"/>
      <c r="Y35" s="928"/>
      <c r="Z35" s="775"/>
      <c r="AA35" s="778"/>
      <c r="AB35" s="775"/>
      <c r="AC35" s="775"/>
      <c r="AD35" s="775"/>
    </row>
    <row r="36" spans="1:30" ht="18" customHeight="1">
      <c r="A36" s="774"/>
      <c r="B36" s="827">
        <v>19</v>
      </c>
      <c r="C36" s="772">
        <v>11</v>
      </c>
      <c r="D36" s="895"/>
      <c r="E36" s="772"/>
      <c r="F36" s="772"/>
      <c r="G36" s="819"/>
      <c r="H36" s="886"/>
      <c r="I36" s="933" t="str">
        <f t="shared" si="1"/>
        <v>2.8</v>
      </c>
      <c r="J36" s="933" t="str">
        <f t="shared" si="2"/>
        <v>Расходы на амортизацию основных средств и нематериальных активов</v>
      </c>
      <c r="K36" s="933">
        <f t="shared" si="3"/>
        <v>0</v>
      </c>
      <c r="L36" s="773" t="str">
        <f t="shared" si="4"/>
        <v>2.8</v>
      </c>
      <c r="M36" s="773" t="str">
        <f t="shared" si="5"/>
        <v>Расходы на амортизацию основных средств и нематериальных активов</v>
      </c>
      <c r="N36" s="773" t="str">
        <f t="shared" si="6"/>
        <v/>
      </c>
      <c r="O36" s="885" t="s">
        <v>741</v>
      </c>
      <c r="P36" s="885" t="s">
        <v>737</v>
      </c>
      <c r="Q36" s="885" t="s">
        <v>741</v>
      </c>
      <c r="R36" s="885" t="s">
        <v>737</v>
      </c>
      <c r="S36" s="885"/>
      <c r="T36" s="892" t="s">
        <v>2082</v>
      </c>
      <c r="U36" s="775" t="s">
        <v>2082</v>
      </c>
      <c r="V36" s="775" t="s">
        <v>2082</v>
      </c>
      <c r="W36" s="775" t="s">
        <v>2082</v>
      </c>
      <c r="X36" s="772"/>
      <c r="Y36" s="928"/>
      <c r="Z36" s="775"/>
      <c r="AA36" s="778"/>
      <c r="AB36" s="775"/>
      <c r="AC36" s="775"/>
      <c r="AD36" s="775"/>
    </row>
    <row r="37" spans="1:30" ht="18" customHeight="1">
      <c r="A37" s="774"/>
      <c r="B37" s="827">
        <v>20</v>
      </c>
      <c r="C37" s="772" t="s">
        <v>2083</v>
      </c>
      <c r="D37" s="895"/>
      <c r="E37" s="772"/>
      <c r="F37" s="772"/>
      <c r="G37" s="819"/>
      <c r="H37" s="886"/>
      <c r="I37" s="933" t="str">
        <f t="shared" si="1"/>
        <v>2.8.1</v>
      </c>
      <c r="J37" s="933" t="str">
        <f t="shared" si="2"/>
        <v>Расходы на амортизацию основных средств</v>
      </c>
      <c r="K37" s="933">
        <f t="shared" si="3"/>
        <v>0</v>
      </c>
      <c r="L37" s="773" t="str">
        <f t="shared" si="4"/>
        <v>2.8.1</v>
      </c>
      <c r="M37" s="773" t="str">
        <f t="shared" si="5"/>
        <v>Расходы на амортизацию основных средств</v>
      </c>
      <c r="N37" s="773" t="str">
        <f t="shared" si="6"/>
        <v/>
      </c>
      <c r="O37" s="885" t="s">
        <v>2084</v>
      </c>
      <c r="P37" s="885" t="s">
        <v>2067</v>
      </c>
      <c r="Q37" s="885" t="s">
        <v>2084</v>
      </c>
      <c r="R37" s="885" t="s">
        <v>2067</v>
      </c>
      <c r="S37" s="885"/>
      <c r="T37" s="892" t="s">
        <v>2085</v>
      </c>
      <c r="U37" s="775" t="s">
        <v>2085</v>
      </c>
      <c r="V37" s="775" t="s">
        <v>2085</v>
      </c>
      <c r="W37" s="775" t="s">
        <v>2085</v>
      </c>
      <c r="X37" s="772"/>
      <c r="Y37" s="928"/>
      <c r="Z37" s="775"/>
      <c r="AA37" s="778"/>
      <c r="AB37" s="775"/>
      <c r="AC37" s="775"/>
      <c r="AD37" s="775"/>
    </row>
    <row r="38" spans="1:30" ht="18" customHeight="1">
      <c r="A38" s="774"/>
      <c r="B38" s="827">
        <v>21</v>
      </c>
      <c r="C38" s="772" t="s">
        <v>2086</v>
      </c>
      <c r="D38" s="895"/>
      <c r="E38" s="772"/>
      <c r="F38" s="772"/>
      <c r="G38" s="819"/>
      <c r="H38" s="886"/>
      <c r="I38" s="933" t="str">
        <f t="shared" si="1"/>
        <v>2.8.2</v>
      </c>
      <c r="J38" s="933" t="str">
        <f t="shared" si="2"/>
        <v>Расходы на амортизацию нематериальных активов</v>
      </c>
      <c r="K38" s="933">
        <f t="shared" si="3"/>
        <v>0</v>
      </c>
      <c r="L38" s="773" t="str">
        <f t="shared" si="4"/>
        <v>2.8.2</v>
      </c>
      <c r="M38" s="773" t="str">
        <f t="shared" si="5"/>
        <v>Расходы на амортизацию нематериальных активов</v>
      </c>
      <c r="N38" s="773" t="str">
        <f t="shared" si="6"/>
        <v/>
      </c>
      <c r="O38" s="885" t="s">
        <v>2087</v>
      </c>
      <c r="P38" s="885" t="s">
        <v>2070</v>
      </c>
      <c r="Q38" s="885" t="s">
        <v>2087</v>
      </c>
      <c r="R38" s="885" t="s">
        <v>2070</v>
      </c>
      <c r="S38" s="885"/>
      <c r="T38" s="892" t="s">
        <v>2088</v>
      </c>
      <c r="U38" s="775" t="s">
        <v>2088</v>
      </c>
      <c r="V38" s="775" t="s">
        <v>2088</v>
      </c>
      <c r="W38" s="775" t="s">
        <v>2088</v>
      </c>
      <c r="X38" s="772"/>
      <c r="Y38" s="928"/>
      <c r="Z38" s="775"/>
      <c r="AA38" s="778"/>
      <c r="AB38" s="775"/>
      <c r="AC38" s="775"/>
      <c r="AD38" s="775"/>
    </row>
    <row r="39" spans="1:30" ht="36" customHeight="1">
      <c r="A39" s="774"/>
      <c r="B39" s="827">
        <v>22</v>
      </c>
      <c r="C39" s="772">
        <v>12</v>
      </c>
      <c r="D39" s="895"/>
      <c r="E39" s="772"/>
      <c r="F39" s="772"/>
      <c r="G39" s="819"/>
      <c r="H39" s="886"/>
      <c r="I39" s="933" t="str">
        <f t="shared" si="1"/>
        <v>2.9</v>
      </c>
      <c r="J39" s="933" t="str">
        <f t="shared" si="2"/>
        <v>Расходы на аренду имущества, используемого для осуществления регулируемого вида деятельности</v>
      </c>
      <c r="K39" s="933">
        <f t="shared" si="3"/>
        <v>0</v>
      </c>
      <c r="L39" s="773" t="str">
        <f t="shared" si="4"/>
        <v>2.9</v>
      </c>
      <c r="M39" s="773" t="str">
        <f t="shared" si="5"/>
        <v>Расходы на аренду имущества, используемого для осуществления регулируемого вида деятельности</v>
      </c>
      <c r="N39" s="773" t="str">
        <f t="shared" si="6"/>
        <v/>
      </c>
      <c r="O39" s="885" t="s">
        <v>745</v>
      </c>
      <c r="P39" s="885" t="s">
        <v>739</v>
      </c>
      <c r="Q39" s="885" t="s">
        <v>745</v>
      </c>
      <c r="R39" s="885" t="s">
        <v>739</v>
      </c>
      <c r="S39" s="885"/>
      <c r="T39" s="892" t="s">
        <v>2089</v>
      </c>
      <c r="U39" s="775" t="s">
        <v>2090</v>
      </c>
      <c r="V39" s="775" t="s">
        <v>2091</v>
      </c>
      <c r="W39" s="775" t="s">
        <v>2092</v>
      </c>
      <c r="X39" s="772"/>
      <c r="Y39" s="928"/>
      <c r="Z39" s="775"/>
      <c r="AA39" s="778"/>
      <c r="AB39" s="775"/>
      <c r="AC39" s="775"/>
      <c r="AD39" s="775"/>
    </row>
    <row r="40" spans="1:30" ht="18" customHeight="1">
      <c r="A40" s="774"/>
      <c r="B40" s="827">
        <v>23</v>
      </c>
      <c r="C40" s="772">
        <v>13</v>
      </c>
      <c r="D40" s="895"/>
      <c r="E40" s="772"/>
      <c r="F40" s="772"/>
      <c r="G40" s="772"/>
      <c r="H40" s="822"/>
      <c r="I40" s="933" t="str">
        <f t="shared" si="1"/>
        <v>2.10</v>
      </c>
      <c r="J40" s="933" t="str">
        <f t="shared" si="2"/>
        <v>Общепроизводственные расходы, в том числе:</v>
      </c>
      <c r="K40" s="933" t="str">
        <f t="shared" si="3"/>
        <v>Указывается общая сумма общепроизводственных расходов.</v>
      </c>
      <c r="L40" s="773" t="str">
        <f t="shared" si="4"/>
        <v>2.10</v>
      </c>
      <c r="M40" s="773" t="str">
        <f t="shared" si="5"/>
        <v>Общепроизводственные расходы, в том числе:</v>
      </c>
      <c r="N40" s="773" t="str">
        <f t="shared" si="6"/>
        <v>Указывается общая сумма общепроизводственных расходов.</v>
      </c>
      <c r="O40" s="885" t="s">
        <v>2093</v>
      </c>
      <c r="P40" s="885" t="s">
        <v>741</v>
      </c>
      <c r="Q40" s="885" t="s">
        <v>2093</v>
      </c>
      <c r="R40" s="885" t="s">
        <v>741</v>
      </c>
      <c r="S40" s="885"/>
      <c r="T40" s="772" t="s">
        <v>2094</v>
      </c>
      <c r="U40" s="772" t="s">
        <v>2094</v>
      </c>
      <c r="V40" s="772" t="s">
        <v>2094</v>
      </c>
      <c r="W40" s="772" t="s">
        <v>2094</v>
      </c>
      <c r="X40" s="772"/>
      <c r="Y40" s="928"/>
      <c r="Z40" s="775" t="s">
        <v>2095</v>
      </c>
      <c r="AA40" s="778" t="s">
        <v>2095</v>
      </c>
      <c r="AB40" s="778" t="s">
        <v>2095</v>
      </c>
      <c r="AC40" s="778" t="s">
        <v>2095</v>
      </c>
      <c r="AD40" s="775"/>
    </row>
    <row r="41" spans="1:30" ht="27" customHeight="1">
      <c r="A41" s="774"/>
      <c r="B41" s="827">
        <v>24</v>
      </c>
      <c r="C41" s="772" t="s">
        <v>2096</v>
      </c>
      <c r="D41" s="895"/>
      <c r="E41" s="772"/>
      <c r="F41" s="772"/>
      <c r="G41" s="772"/>
      <c r="H41" s="819"/>
      <c r="I41" s="933" t="str">
        <f t="shared" si="1"/>
        <v>2.10.1</v>
      </c>
      <c r="J41" s="933" t="str">
        <f t="shared" si="2"/>
        <v>Расходы на текущий ремонт</v>
      </c>
      <c r="K41" s="933" t="str">
        <f t="shared" si="3"/>
        <v>Указываются расходы на текущий ремонт, отнесенные к общепроизводственным расходам.</v>
      </c>
      <c r="L41" s="773" t="str">
        <f t="shared" si="4"/>
        <v>2.10.1</v>
      </c>
      <c r="M41" s="773" t="str">
        <f t="shared" si="5"/>
        <v>Расходы на текущий ремонт</v>
      </c>
      <c r="N41" s="773" t="str">
        <f t="shared" si="6"/>
        <v>Указываются расходы на текущий ремонт, отнесенные к общепроизводственным расходам.</v>
      </c>
      <c r="O41" s="885" t="s">
        <v>2097</v>
      </c>
      <c r="P41" s="885" t="s">
        <v>2084</v>
      </c>
      <c r="Q41" s="885" t="s">
        <v>2097</v>
      </c>
      <c r="R41" s="885" t="s">
        <v>2084</v>
      </c>
      <c r="S41" s="885"/>
      <c r="T41" s="772" t="s">
        <v>2098</v>
      </c>
      <c r="U41" s="772" t="s">
        <v>2098</v>
      </c>
      <c r="V41" s="772" t="s">
        <v>2098</v>
      </c>
      <c r="W41" s="772" t="s">
        <v>2098</v>
      </c>
      <c r="X41" s="772"/>
      <c r="Y41" s="928"/>
      <c r="Z41" s="775" t="s">
        <v>2099</v>
      </c>
      <c r="AA41" s="775" t="s">
        <v>2099</v>
      </c>
      <c r="AB41" s="775" t="s">
        <v>2099</v>
      </c>
      <c r="AC41" s="775" t="s">
        <v>2099</v>
      </c>
      <c r="AD41" s="775"/>
    </row>
    <row r="42" spans="1:30" ht="27" customHeight="1">
      <c r="A42" s="774"/>
      <c r="B42" s="827">
        <v>25</v>
      </c>
      <c r="C42" s="772" t="s">
        <v>2100</v>
      </c>
      <c r="D42" s="895"/>
      <c r="E42" s="772"/>
      <c r="F42" s="772"/>
      <c r="G42" s="772"/>
      <c r="H42" s="819"/>
      <c r="I42" s="933" t="str">
        <f t="shared" si="1"/>
        <v>2.10.2</v>
      </c>
      <c r="J42" s="933" t="str">
        <f t="shared" si="2"/>
        <v>Расходы на капитальный ремонт</v>
      </c>
      <c r="K42" s="933" t="str">
        <f t="shared" si="3"/>
        <v>Указываются расходы на капитальный ремонт, отнесенные к общепроизводственным расходам.</v>
      </c>
      <c r="L42" s="773" t="str">
        <f t="shared" si="4"/>
        <v>2.10.2</v>
      </c>
      <c r="M42" s="773" t="str">
        <f t="shared" si="5"/>
        <v>Расходы на капитальный ремонт</v>
      </c>
      <c r="N42" s="773" t="str">
        <f t="shared" si="6"/>
        <v>Указываются расходы на капитальный ремонт, отнесенные к общепроизводственным расходам.</v>
      </c>
      <c r="O42" s="885" t="s">
        <v>2101</v>
      </c>
      <c r="P42" s="885" t="s">
        <v>2087</v>
      </c>
      <c r="Q42" s="885" t="s">
        <v>2101</v>
      </c>
      <c r="R42" s="885" t="s">
        <v>2087</v>
      </c>
      <c r="S42" s="885"/>
      <c r="T42" s="772" t="s">
        <v>2102</v>
      </c>
      <c r="U42" s="772" t="s">
        <v>2102</v>
      </c>
      <c r="V42" s="772" t="s">
        <v>2102</v>
      </c>
      <c r="W42" s="772" t="s">
        <v>2102</v>
      </c>
      <c r="X42" s="772"/>
      <c r="Y42" s="928"/>
      <c r="Z42" s="775" t="s">
        <v>2103</v>
      </c>
      <c r="AA42" s="775" t="s">
        <v>2103</v>
      </c>
      <c r="AB42" s="775" t="s">
        <v>2103</v>
      </c>
      <c r="AC42" s="775" t="s">
        <v>2103</v>
      </c>
      <c r="AD42" s="775"/>
    </row>
    <row r="43" spans="1:30" ht="18" customHeight="1">
      <c r="A43" s="774"/>
      <c r="B43" s="827">
        <v>26</v>
      </c>
      <c r="C43" s="772">
        <v>14</v>
      </c>
      <c r="D43" s="895"/>
      <c r="E43" s="772"/>
      <c r="F43" s="772"/>
      <c r="G43" s="772"/>
      <c r="H43" s="819"/>
      <c r="I43" s="933" t="str">
        <f t="shared" si="1"/>
        <v>2.11</v>
      </c>
      <c r="J43" s="933" t="str">
        <f t="shared" si="2"/>
        <v>Общехозяйственные расходы, в том числе:</v>
      </c>
      <c r="K43" s="933" t="str">
        <f t="shared" si="3"/>
        <v>Указывается общая сумма общехозяйственных расходов.</v>
      </c>
      <c r="L43" s="773" t="str">
        <f t="shared" si="4"/>
        <v>2.11</v>
      </c>
      <c r="M43" s="773" t="str">
        <f t="shared" si="5"/>
        <v>Общехозяйственные расходы, в том числе:</v>
      </c>
      <c r="N43" s="773" t="str">
        <f t="shared" si="6"/>
        <v>Указывается общая сумма общехозяйственных расходов.</v>
      </c>
      <c r="O43" s="885" t="s">
        <v>2104</v>
      </c>
      <c r="P43" s="885" t="s">
        <v>745</v>
      </c>
      <c r="Q43" s="885" t="s">
        <v>2104</v>
      </c>
      <c r="R43" s="885" t="s">
        <v>745</v>
      </c>
      <c r="S43" s="885"/>
      <c r="T43" s="772" t="s">
        <v>2105</v>
      </c>
      <c r="U43" s="772" t="s">
        <v>2105</v>
      </c>
      <c r="V43" s="772" t="s">
        <v>2105</v>
      </c>
      <c r="W43" s="772" t="s">
        <v>2105</v>
      </c>
      <c r="X43" s="772"/>
      <c r="Y43" s="928"/>
      <c r="Z43" s="775" t="s">
        <v>2106</v>
      </c>
      <c r="AA43" s="775" t="s">
        <v>2106</v>
      </c>
      <c r="AB43" s="775" t="s">
        <v>2106</v>
      </c>
      <c r="AC43" s="775" t="s">
        <v>2106</v>
      </c>
      <c r="AD43" s="775"/>
    </row>
    <row r="44" spans="1:30" ht="27" customHeight="1">
      <c r="A44" s="774"/>
      <c r="B44" s="827">
        <v>27</v>
      </c>
      <c r="C44" s="772" t="s">
        <v>2107</v>
      </c>
      <c r="D44" s="895"/>
      <c r="E44" s="772"/>
      <c r="F44" s="772"/>
      <c r="G44" s="772"/>
      <c r="H44" s="819"/>
      <c r="I44" s="933" t="str">
        <f t="shared" si="1"/>
        <v>2.11.1</v>
      </c>
      <c r="J44" s="933" t="str">
        <f t="shared" si="2"/>
        <v>Расходы на текущий ремонт</v>
      </c>
      <c r="K44" s="933" t="str">
        <f t="shared" si="3"/>
        <v>Указываются расходы на текущий ремонт, отнесенные к общехозяйственным расходам.</v>
      </c>
      <c r="L44" s="773" t="str">
        <f t="shared" si="4"/>
        <v>2.11.1</v>
      </c>
      <c r="M44" s="773" t="str">
        <f t="shared" si="5"/>
        <v>Расходы на текущий ремонт</v>
      </c>
      <c r="N44" s="773" t="str">
        <f t="shared" si="6"/>
        <v>Указываются расходы на текущий ремонт, отнесенные к общехозяйственным расходам.</v>
      </c>
      <c r="O44" s="885" t="s">
        <v>2108</v>
      </c>
      <c r="P44" s="885" t="s">
        <v>2109</v>
      </c>
      <c r="Q44" s="885" t="s">
        <v>2108</v>
      </c>
      <c r="R44" s="885" t="s">
        <v>2109</v>
      </c>
      <c r="S44" s="885"/>
      <c r="T44" s="772" t="s">
        <v>2098</v>
      </c>
      <c r="U44" s="772" t="s">
        <v>2098</v>
      </c>
      <c r="V44" s="772" t="s">
        <v>2098</v>
      </c>
      <c r="W44" s="772" t="s">
        <v>2098</v>
      </c>
      <c r="X44" s="772"/>
      <c r="Y44" s="928"/>
      <c r="Z44" s="775" t="s">
        <v>2110</v>
      </c>
      <c r="AA44" s="775" t="s">
        <v>2110</v>
      </c>
      <c r="AB44" s="775" t="s">
        <v>2110</v>
      </c>
      <c r="AC44" s="775" t="s">
        <v>2110</v>
      </c>
      <c r="AD44" s="775"/>
    </row>
    <row r="45" spans="1:30" ht="27" customHeight="1">
      <c r="A45" s="774"/>
      <c r="B45" s="827">
        <v>28</v>
      </c>
      <c r="C45" s="772" t="s">
        <v>2111</v>
      </c>
      <c r="D45" s="895"/>
      <c r="E45" s="772"/>
      <c r="F45" s="772"/>
      <c r="G45" s="772"/>
      <c r="H45" s="819"/>
      <c r="I45" s="933" t="str">
        <f t="shared" si="1"/>
        <v>2.11.2</v>
      </c>
      <c r="J45" s="933" t="str">
        <f t="shared" si="2"/>
        <v>Расходы на капитальный ремонт</v>
      </c>
      <c r="K45" s="933" t="str">
        <f t="shared" si="3"/>
        <v>Указываются расходы на капитальный ремонт, отнесенные к общехозяйственным расходам.</v>
      </c>
      <c r="L45" s="773" t="str">
        <f t="shared" si="4"/>
        <v>2.11.2</v>
      </c>
      <c r="M45" s="773" t="str">
        <f t="shared" si="5"/>
        <v>Расходы на капитальный ремонт</v>
      </c>
      <c r="N45" s="773" t="str">
        <f t="shared" si="6"/>
        <v>Указываются расходы на капитальный ремонт, отнесенные к общехозяйственным расходам.</v>
      </c>
      <c r="O45" s="885" t="s">
        <v>2112</v>
      </c>
      <c r="P45" s="885" t="s">
        <v>2113</v>
      </c>
      <c r="Q45" s="885" t="s">
        <v>2112</v>
      </c>
      <c r="R45" s="885" t="s">
        <v>2113</v>
      </c>
      <c r="S45" s="885"/>
      <c r="T45" s="772" t="s">
        <v>2102</v>
      </c>
      <c r="U45" s="772" t="s">
        <v>2102</v>
      </c>
      <c r="V45" s="772" t="s">
        <v>2102</v>
      </c>
      <c r="W45" s="772" t="s">
        <v>2102</v>
      </c>
      <c r="X45" s="772"/>
      <c r="Y45" s="928"/>
      <c r="Z45" s="775" t="s">
        <v>2114</v>
      </c>
      <c r="AA45" s="775" t="s">
        <v>2114</v>
      </c>
      <c r="AB45" s="775" t="s">
        <v>2114</v>
      </c>
      <c r="AC45" s="775" t="s">
        <v>2114</v>
      </c>
      <c r="AD45" s="775"/>
    </row>
    <row r="46" spans="1:30" ht="54" customHeight="1">
      <c r="A46" s="774"/>
      <c r="B46" s="827">
        <v>29</v>
      </c>
      <c r="C46" s="772">
        <v>15</v>
      </c>
      <c r="D46" s="895"/>
      <c r="E46" s="772"/>
      <c r="F46" s="772"/>
      <c r="G46" s="772"/>
      <c r="H46" s="819"/>
      <c r="I46" s="933" t="str">
        <f t="shared" si="1"/>
        <v>2.12</v>
      </c>
      <c r="J46" s="933" t="str">
        <f t="shared" si="2"/>
        <v>Расходы на капитальный и текущий ремонт основных средств</v>
      </c>
      <c r="K46" s="933" t="str">
        <f t="shared" si="3"/>
        <v>Указывается информация об объемах товаров и услуг, их стоимости и о способах приобретения у тех организаций, сумма оплаты услуг которых превышает 20 процентов суммы расходов по указанной статье расходов</v>
      </c>
      <c r="L46" s="773" t="str">
        <f t="shared" si="4"/>
        <v>2.12</v>
      </c>
      <c r="M46" s="773" t="str">
        <f t="shared" si="5"/>
        <v>Расходы на капитальный и текущий ремонт основных средств</v>
      </c>
      <c r="N46" s="773" t="str">
        <f t="shared" si="6"/>
        <v>Указывается информация об объемах товаров и услуг, их стоимости и о способах приобретения у тех организаций, сумма оплаты услуг которых превышает 20 процентов суммы расходов по указанной статье расходов</v>
      </c>
      <c r="O46" s="885" t="s">
        <v>2115</v>
      </c>
      <c r="P46" s="885" t="s">
        <v>2093</v>
      </c>
      <c r="Q46" s="885" t="s">
        <v>2115</v>
      </c>
      <c r="R46" s="885" t="s">
        <v>2093</v>
      </c>
      <c r="S46" s="885"/>
      <c r="T46" s="773" t="str">
        <f>"Расходы на капитальный и текущий ремонт основных"&amp;IF(TITLE_TYPE_ORG="Регулируемая организация",""," производственных")&amp;" средств"</f>
        <v>Расходы на капитальный и текущий ремонт основных средств</v>
      </c>
      <c r="U46" s="772" t="s">
        <v>2116</v>
      </c>
      <c r="V46" s="772" t="s">
        <v>2116</v>
      </c>
      <c r="W46" s="772" t="s">
        <v>2116</v>
      </c>
      <c r="X46" s="772"/>
      <c r="Y46" s="928"/>
      <c r="Z46" s="775" t="s">
        <v>2117</v>
      </c>
      <c r="AA46" s="775" t="s">
        <v>2118</v>
      </c>
      <c r="AB46" s="775" t="s">
        <v>2118</v>
      </c>
      <c r="AC46" s="775" t="s">
        <v>2118</v>
      </c>
      <c r="AD46" s="775"/>
    </row>
    <row r="47" spans="1:30" ht="54" customHeight="1">
      <c r="A47" s="774"/>
      <c r="B47" s="827">
        <v>30</v>
      </c>
      <c r="C47" s="772" t="s">
        <v>2119</v>
      </c>
      <c r="D47" s="895"/>
      <c r="E47" s="772"/>
      <c r="F47" s="772"/>
      <c r="G47" s="772"/>
      <c r="H47" s="819"/>
      <c r="I47" s="933" t="str">
        <f t="shared" si="1"/>
        <v>2.12.1</v>
      </c>
      <c r="J47" s="933" t="str">
        <f t="shared" si="2"/>
        <v>Информация об объемах товаров и услуг, их стоимости и способах приобретения у тех организаций, сумма оплаты услуг которых превышает 20 процентов суммы расходов по указанной статье расходов</v>
      </c>
      <c r="K47" s="933">
        <f t="shared" si="3"/>
        <v>0</v>
      </c>
      <c r="L47" s="773" t="str">
        <f t="shared" si="4"/>
        <v>2.12.1</v>
      </c>
      <c r="M47" s="773" t="str">
        <f t="shared" si="5"/>
        <v>Информация об объемах товаров и услуг, их стоимости и способах приобретения у тех организаций, сумма оплаты услуг которых превышает 20 процентов суммы расходов по указанной статье расходов</v>
      </c>
      <c r="N47" s="773" t="str">
        <f t="shared" si="6"/>
        <v/>
      </c>
      <c r="O47" s="885" t="s">
        <v>2120</v>
      </c>
      <c r="P47" s="885" t="s">
        <v>2097</v>
      </c>
      <c r="Q47" s="885" t="s">
        <v>2120</v>
      </c>
      <c r="R47" s="885" t="s">
        <v>2097</v>
      </c>
      <c r="S47" s="885"/>
      <c r="T47" s="772" t="s">
        <v>2121</v>
      </c>
      <c r="U47" s="772" t="s">
        <v>2121</v>
      </c>
      <c r="V47" s="772" t="s">
        <v>2121</v>
      </c>
      <c r="W47" s="772" t="s">
        <v>2121</v>
      </c>
      <c r="X47" s="772"/>
      <c r="Y47" s="928"/>
      <c r="Z47" s="775"/>
      <c r="AA47" s="778"/>
      <c r="AB47" s="778"/>
      <c r="AC47" s="778"/>
      <c r="AD47" s="775"/>
    </row>
    <row r="48" spans="1:30" ht="54" customHeight="1">
      <c r="A48" s="774"/>
      <c r="B48" s="827">
        <v>31</v>
      </c>
      <c r="C48" s="772">
        <v>16</v>
      </c>
      <c r="D48" s="895"/>
      <c r="E48" s="772"/>
      <c r="F48" s="772"/>
      <c r="G48" s="772"/>
      <c r="H48" s="819"/>
      <c r="I48" s="933">
        <f t="shared" si="1"/>
        <v>0</v>
      </c>
      <c r="J48" s="933">
        <f t="shared" si="2"/>
        <v>0</v>
      </c>
      <c r="K48" s="933">
        <f t="shared" si="3"/>
        <v>0</v>
      </c>
      <c r="L48" s="773" t="str">
        <f t="shared" si="4"/>
        <v/>
      </c>
      <c r="M48" s="773" t="str">
        <f t="shared" si="5"/>
        <v/>
      </c>
      <c r="N48" s="773" t="str">
        <f t="shared" si="6"/>
        <v/>
      </c>
      <c r="O48" s="885"/>
      <c r="P48" s="885" t="s">
        <v>2104</v>
      </c>
      <c r="Q48" s="885" t="s">
        <v>2122</v>
      </c>
      <c r="R48" s="885" t="s">
        <v>2104</v>
      </c>
      <c r="S48" s="885"/>
      <c r="T48" s="772"/>
      <c r="U48" s="772" t="s">
        <v>2123</v>
      </c>
      <c r="V48" s="772" t="s">
        <v>2124</v>
      </c>
      <c r="W48" s="772" t="s">
        <v>2124</v>
      </c>
      <c r="X48" s="772"/>
      <c r="Y48" s="928"/>
      <c r="Z48" s="775"/>
      <c r="AA48" s="778" t="s">
        <v>2118</v>
      </c>
      <c r="AB48" s="778" t="s">
        <v>2118</v>
      </c>
      <c r="AC48" s="778" t="s">
        <v>2118</v>
      </c>
      <c r="AD48" s="775"/>
    </row>
    <row r="49" spans="1:30" ht="54" customHeight="1">
      <c r="A49" s="774"/>
      <c r="B49" s="827">
        <v>32</v>
      </c>
      <c r="C49" s="772" t="s">
        <v>2125</v>
      </c>
      <c r="D49" s="895"/>
      <c r="E49" s="772"/>
      <c r="F49" s="772"/>
      <c r="G49" s="772"/>
      <c r="H49" s="819"/>
      <c r="I49" s="933">
        <f t="shared" si="1"/>
        <v>0</v>
      </c>
      <c r="J49" s="933">
        <f t="shared" si="2"/>
        <v>0</v>
      </c>
      <c r="K49" s="933">
        <f t="shared" si="3"/>
        <v>0</v>
      </c>
      <c r="L49" s="773" t="str">
        <f t="shared" si="4"/>
        <v/>
      </c>
      <c r="M49" s="773" t="str">
        <f t="shared" si="5"/>
        <v/>
      </c>
      <c r="N49" s="773" t="str">
        <f t="shared" si="6"/>
        <v/>
      </c>
      <c r="O49" s="885"/>
      <c r="P49" s="885" t="s">
        <v>2108</v>
      </c>
      <c r="Q49" s="885" t="s">
        <v>2126</v>
      </c>
      <c r="R49" s="885" t="s">
        <v>2108</v>
      </c>
      <c r="S49" s="885"/>
      <c r="T49" s="772"/>
      <c r="U49" s="772" t="s">
        <v>2121</v>
      </c>
      <c r="V49" s="772" t="s">
        <v>2121</v>
      </c>
      <c r="W49" s="772" t="s">
        <v>2121</v>
      </c>
      <c r="X49" s="772"/>
      <c r="Y49" s="928"/>
      <c r="Z49" s="775"/>
      <c r="AA49" s="778"/>
      <c r="AB49" s="778"/>
      <c r="AC49" s="778"/>
      <c r="AD49" s="775"/>
    </row>
    <row r="50" spans="1:30" ht="126" customHeight="1">
      <c r="A50" s="774"/>
      <c r="B50" s="827">
        <v>33</v>
      </c>
      <c r="C50" s="772">
        <v>17</v>
      </c>
      <c r="D50" s="895"/>
      <c r="E50" s="772"/>
      <c r="F50" s="772"/>
      <c r="G50" s="772"/>
      <c r="H50" s="819"/>
      <c r="I50" s="933" t="str">
        <f t="shared" ref="I50:I81" si="7">INDEX(TEMPLATE_NUMBER_POINT_FHD,B50,MATCH(TEMPLATE_SPHERE,TEMPLATE_SPHERE_LIST_FOR_NOTE,0))</f>
        <v>2.13</v>
      </c>
      <c r="J50" s="933" t="str">
        <f t="shared" ref="J50:J81" si="8">INDEX(TEMPLATE_DATA_POINT_FHD,B50,MATCH(TEMPLATE_SPHERE,TEMPLATE_SPHERE_LIST_FOR_NOTE,0))</f>
        <v>Прочие расходы, которые подлежат отнесению на регулируемые виды деятельности в соответствии с законодательством Российской Федерации</v>
      </c>
      <c r="K50" s="933" t="str">
        <f t="shared" ref="K50:K81" si="9">INDEX(TEMPLATE_NOTE_POINT_FHD,B50,MATCH(TEMPLATE_SPHERE,TEMPLATE_SPHERE_LIST_FOR_NOTE,0))</f>
        <v>Указывается общая сумма прочих расходов, которые подлежат отнесению на регулируемые виды деятельности в соответствии с законодательством в сфере теплоснабжения.</v>
      </c>
      <c r="L50" s="773" t="str">
        <f t="shared" ref="L50:L81" si="10">IF(I50=0,"",I50)</f>
        <v>2.13</v>
      </c>
      <c r="M50" s="773" t="str">
        <f t="shared" ref="M50:M81" si="11">IF(J50=0,"",J50)</f>
        <v>Прочие расходы, которые подлежат отнесению на регулируемые виды деятельности в соответствии с законодательством Российской Федерации</v>
      </c>
      <c r="N50" s="773" t="str">
        <f t="shared" ref="N50:N81" si="12">IF(K50=0,"",K50)</f>
        <v>Указывается общая сумма прочих расходов, которые подлежат отнесению на регулируемые виды деятельности в соответствии с законодательством в сфере теплоснабжения.</v>
      </c>
      <c r="O50" s="885" t="s">
        <v>2122</v>
      </c>
      <c r="P50" s="885" t="s">
        <v>2115</v>
      </c>
      <c r="Q50" s="885" t="s">
        <v>2127</v>
      </c>
      <c r="R50" s="885" t="s">
        <v>2115</v>
      </c>
      <c r="S50" s="885"/>
      <c r="T50" s="772" t="s">
        <v>2128</v>
      </c>
      <c r="U50" s="772" t="s">
        <v>2129</v>
      </c>
      <c r="V50" s="772" t="s">
        <v>2130</v>
      </c>
      <c r="W50" s="772" t="s">
        <v>2131</v>
      </c>
      <c r="X50" s="772"/>
      <c r="Y50" s="928"/>
      <c r="Z50" s="775" t="s">
        <v>2132</v>
      </c>
      <c r="AA50" s="778" t="s">
        <v>2133</v>
      </c>
      <c r="AB50" s="778" t="s">
        <v>2133</v>
      </c>
      <c r="AC50" s="778" t="s">
        <v>2133</v>
      </c>
      <c r="AD50" s="775"/>
    </row>
    <row r="51" spans="1:30" ht="27" customHeight="1">
      <c r="A51" s="774"/>
      <c r="B51" s="827">
        <v>34</v>
      </c>
      <c r="C51" s="772" t="s">
        <v>2134</v>
      </c>
      <c r="D51" s="895"/>
      <c r="E51" s="772"/>
      <c r="F51" s="772"/>
      <c r="G51" s="772"/>
      <c r="H51" s="819"/>
      <c r="I51" s="933" t="str">
        <f t="shared" si="7"/>
        <v>3</v>
      </c>
      <c r="J51" s="933" t="str">
        <f t="shared" si="8"/>
        <v>Валовая прибыль (убытки) от реализации товаров и оказания услуг по регулируемому виду деятельности</v>
      </c>
      <c r="K51" s="933">
        <f t="shared" si="9"/>
        <v>0</v>
      </c>
      <c r="L51" s="773" t="str">
        <f t="shared" si="10"/>
        <v>3</v>
      </c>
      <c r="M51" s="773" t="str">
        <f t="shared" si="11"/>
        <v>Валовая прибыль (убытки) от реализации товаров и оказания услуг по регулируемому виду деятельности</v>
      </c>
      <c r="N51" s="773" t="str">
        <f t="shared" si="12"/>
        <v/>
      </c>
      <c r="O51" s="885" t="s">
        <v>90</v>
      </c>
      <c r="P51" s="885"/>
      <c r="Q51" s="885"/>
      <c r="R51" s="885"/>
      <c r="S51" s="885"/>
      <c r="T51" s="772" t="s">
        <v>2135</v>
      </c>
      <c r="U51" s="772"/>
      <c r="V51" s="772"/>
      <c r="W51" s="772"/>
      <c r="X51" s="772"/>
      <c r="Y51" s="928"/>
      <c r="Z51" s="775"/>
      <c r="AA51" s="778"/>
      <c r="AB51" s="778"/>
      <c r="AC51" s="778"/>
      <c r="AD51" s="775"/>
    </row>
    <row r="52" spans="1:30" ht="36" customHeight="1">
      <c r="A52" s="774"/>
      <c r="B52" s="827">
        <v>35</v>
      </c>
      <c r="C52" s="772" t="s">
        <v>2028</v>
      </c>
      <c r="D52" s="895" t="s">
        <v>2028</v>
      </c>
      <c r="E52" s="772" t="s">
        <v>2028</v>
      </c>
      <c r="F52" s="772" t="s">
        <v>2028</v>
      </c>
      <c r="G52" s="772"/>
      <c r="H52" s="819"/>
      <c r="I52" s="933" t="str">
        <f t="shared" si="7"/>
        <v>4</v>
      </c>
      <c r="J52" s="933" t="str">
        <f t="shared" si="8"/>
        <v>Чистая прибыль, полученная от регулируемого вида деятельности, в том числе:</v>
      </c>
      <c r="K52" s="933" t="str">
        <f t="shared" si="9"/>
        <v>Указывается общая сумма чистой прибыли, полученной от регулируемого вида деятельности.</v>
      </c>
      <c r="L52" s="773" t="str">
        <f t="shared" si="10"/>
        <v>4</v>
      </c>
      <c r="M52" s="773" t="str">
        <f t="shared" si="11"/>
        <v>Чистая прибыль, полученная от регулируемого вида деятельности, в том числе:</v>
      </c>
      <c r="N52" s="773" t="str">
        <f t="shared" si="12"/>
        <v>Указывается общая сумма чистой прибыли, полученной от регулируемого вида деятельности.</v>
      </c>
      <c r="O52" s="885" t="s">
        <v>91</v>
      </c>
      <c r="P52" s="885" t="s">
        <v>90</v>
      </c>
      <c r="Q52" s="885" t="s">
        <v>90</v>
      </c>
      <c r="R52" s="885" t="s">
        <v>90</v>
      </c>
      <c r="S52" s="885"/>
      <c r="T52" s="772" t="s">
        <v>2136</v>
      </c>
      <c r="U52" s="772" t="s">
        <v>2137</v>
      </c>
      <c r="V52" s="772" t="s">
        <v>2138</v>
      </c>
      <c r="W52" s="772" t="s">
        <v>2139</v>
      </c>
      <c r="X52" s="772"/>
      <c r="Y52" s="928"/>
      <c r="Z52" s="775" t="s">
        <v>749</v>
      </c>
      <c r="AA52" s="778" t="s">
        <v>749</v>
      </c>
      <c r="AB52" s="778" t="s">
        <v>749</v>
      </c>
      <c r="AC52" s="778" t="s">
        <v>749</v>
      </c>
      <c r="AD52" s="775"/>
    </row>
    <row r="53" spans="1:30" ht="36" customHeight="1">
      <c r="A53" s="774"/>
      <c r="B53" s="827">
        <v>36</v>
      </c>
      <c r="C53" s="772">
        <v>1</v>
      </c>
      <c r="D53" s="895"/>
      <c r="E53" s="772"/>
      <c r="F53" s="772"/>
      <c r="G53" s="772"/>
      <c r="H53" s="819"/>
      <c r="I53" s="933" t="str">
        <f t="shared" si="7"/>
        <v>4.1</v>
      </c>
      <c r="J53" s="933" t="str">
        <f t="shared" si="8"/>
        <v>Размер расходования чистой прибыли на финансирование мероприятий, предусмотренных инвестиционной программой регулируемой организации</v>
      </c>
      <c r="K53" s="933">
        <f t="shared" si="9"/>
        <v>0</v>
      </c>
      <c r="L53" s="773" t="str">
        <f t="shared" si="10"/>
        <v>4.1</v>
      </c>
      <c r="M53" s="773" t="str">
        <f t="shared" si="11"/>
        <v>Размер расходования чистой прибыли на финансирование мероприятий, предусмотренных инвестиционной программой регулируемой организации</v>
      </c>
      <c r="N53" s="773" t="str">
        <f t="shared" si="12"/>
        <v/>
      </c>
      <c r="O53" s="885" t="s">
        <v>753</v>
      </c>
      <c r="P53" s="885" t="s">
        <v>323</v>
      </c>
      <c r="Q53" s="885" t="s">
        <v>323</v>
      </c>
      <c r="R53" s="885" t="s">
        <v>323</v>
      </c>
      <c r="S53" s="885"/>
      <c r="T53" s="772" t="s">
        <v>2140</v>
      </c>
      <c r="U53" s="772" t="s">
        <v>2140</v>
      </c>
      <c r="V53" s="772" t="s">
        <v>2140</v>
      </c>
      <c r="W53" s="772" t="s">
        <v>2140</v>
      </c>
      <c r="X53" s="772"/>
      <c r="Y53" s="928"/>
      <c r="Z53" s="775"/>
      <c r="AA53" s="778"/>
      <c r="AB53" s="775"/>
      <c r="AC53" s="775"/>
      <c r="AD53" s="775"/>
    </row>
    <row r="54" spans="1:30" ht="18" customHeight="1">
      <c r="A54" s="774"/>
      <c r="B54" s="827">
        <v>37</v>
      </c>
      <c r="C54" s="772" t="s">
        <v>2034</v>
      </c>
      <c r="D54" s="895" t="s">
        <v>2034</v>
      </c>
      <c r="E54" s="772" t="s">
        <v>2034</v>
      </c>
      <c r="F54" s="772" t="s">
        <v>2034</v>
      </c>
      <c r="G54" s="772"/>
      <c r="H54" s="819"/>
      <c r="I54" s="933" t="str">
        <f t="shared" si="7"/>
        <v>5</v>
      </c>
      <c r="J54" s="933" t="str">
        <f t="shared" si="8"/>
        <v>Изменение стоимости основных фондов, в том числе:</v>
      </c>
      <c r="K54" s="933" t="str">
        <f t="shared" si="9"/>
        <v>Указывается общее изменение стоимости основных фондов.</v>
      </c>
      <c r="L54" s="773" t="str">
        <f t="shared" si="10"/>
        <v>5</v>
      </c>
      <c r="M54" s="773" t="str">
        <f t="shared" si="11"/>
        <v>Изменение стоимости основных фондов, в том числе:</v>
      </c>
      <c r="N54" s="773" t="str">
        <f t="shared" si="12"/>
        <v>Указывается общее изменение стоимости основных фондов.</v>
      </c>
      <c r="O54" s="885" t="s">
        <v>111</v>
      </c>
      <c r="P54" s="885" t="s">
        <v>91</v>
      </c>
      <c r="Q54" s="885" t="s">
        <v>91</v>
      </c>
      <c r="R54" s="885" t="s">
        <v>91</v>
      </c>
      <c r="S54" s="885"/>
      <c r="T54" s="772" t="s">
        <v>751</v>
      </c>
      <c r="U54" s="772" t="s">
        <v>751</v>
      </c>
      <c r="V54" s="772" t="s">
        <v>751</v>
      </c>
      <c r="W54" s="772" t="s">
        <v>751</v>
      </c>
      <c r="X54" s="772"/>
      <c r="Y54" s="928"/>
      <c r="Z54" s="775" t="s">
        <v>752</v>
      </c>
      <c r="AA54" s="775" t="s">
        <v>752</v>
      </c>
      <c r="AB54" s="775" t="s">
        <v>752</v>
      </c>
      <c r="AC54" s="775" t="s">
        <v>752</v>
      </c>
      <c r="AD54" s="775"/>
    </row>
    <row r="55" spans="1:30" ht="36" customHeight="1">
      <c r="A55" s="774"/>
      <c r="B55" s="827">
        <v>38</v>
      </c>
      <c r="C55" s="772">
        <v>1</v>
      </c>
      <c r="D55" s="895"/>
      <c r="E55" s="772"/>
      <c r="F55" s="772"/>
      <c r="G55" s="772"/>
      <c r="H55" s="819"/>
      <c r="I55" s="933" t="str">
        <f t="shared" si="7"/>
        <v>5.1</v>
      </c>
      <c r="J55" s="933" t="str">
        <f t="shared" si="8"/>
        <v>Изменение стоимости основных фондов за счет:</v>
      </c>
      <c r="K55" s="933" t="str">
        <f t="shared" si="9"/>
        <v>Указываются общее изменение стоимости основных фондов за счет их ввода в эксплуатацию и вывода из эксплуатации.</v>
      </c>
      <c r="L55" s="773" t="str">
        <f t="shared" si="10"/>
        <v>5.1</v>
      </c>
      <c r="M55" s="773" t="str">
        <f t="shared" si="11"/>
        <v>Изменение стоимости основных фондов за счет:</v>
      </c>
      <c r="N55" s="773" t="str">
        <f t="shared" si="12"/>
        <v>Указываются общее изменение стоимости основных фондов за счет их ввода в эксплуатацию и вывода из эксплуатации.</v>
      </c>
      <c r="O55" s="885" t="s">
        <v>312</v>
      </c>
      <c r="P55" s="885" t="s">
        <v>753</v>
      </c>
      <c r="Q55" s="885" t="s">
        <v>753</v>
      </c>
      <c r="R55" s="885" t="s">
        <v>753</v>
      </c>
      <c r="S55" s="885"/>
      <c r="T55" s="773" t="str">
        <f>IF(TITLE_TYPE_ORG="Регулируемая организация","Изменение стоимости основных фондов за счет:","за счет их ввода в эксплуатацию (вывода из эксплуатации)")</f>
        <v>Изменение стоимости основных фондов за счет:</v>
      </c>
      <c r="U55" s="772" t="s">
        <v>2141</v>
      </c>
      <c r="V55" s="772" t="s">
        <v>2141</v>
      </c>
      <c r="W55" s="772" t="s">
        <v>2141</v>
      </c>
      <c r="X55" s="772"/>
      <c r="Y55" s="928"/>
      <c r="Z55" s="775" t="s">
        <v>2142</v>
      </c>
      <c r="AA55" s="775" t="s">
        <v>2142</v>
      </c>
      <c r="AB55" s="775" t="s">
        <v>2142</v>
      </c>
      <c r="AC55" s="775" t="s">
        <v>2142</v>
      </c>
      <c r="AD55" s="775"/>
    </row>
    <row r="56" spans="1:30" ht="27" customHeight="1">
      <c r="A56" s="774"/>
      <c r="B56" s="827">
        <v>39</v>
      </c>
      <c r="C56" s="772" t="s">
        <v>1022</v>
      </c>
      <c r="D56" s="895"/>
      <c r="E56" s="772"/>
      <c r="F56" s="772"/>
      <c r="G56" s="772"/>
      <c r="H56" s="819"/>
      <c r="I56" s="933" t="str">
        <f t="shared" si="7"/>
        <v>5.1.1</v>
      </c>
      <c r="J56" s="933" t="str">
        <f t="shared" si="8"/>
        <v>Изменения стоимости основных фондов за счет их ввода в эксплуатацию</v>
      </c>
      <c r="K56" s="933" t="str">
        <f t="shared" si="9"/>
        <v>Указываются изменение стоимости основных фондов за счет их ввода в эксплуатацию.</v>
      </c>
      <c r="L56" s="773" t="str">
        <f t="shared" si="10"/>
        <v>5.1.1</v>
      </c>
      <c r="M56" s="773" t="str">
        <f t="shared" si="11"/>
        <v>Изменения стоимости основных фондов за счет их ввода в эксплуатацию</v>
      </c>
      <c r="N56" s="773" t="str">
        <f t="shared" si="12"/>
        <v>Указываются изменение стоимости основных фондов за счет их ввода в эксплуатацию.</v>
      </c>
      <c r="O56" s="885" t="s">
        <v>1140</v>
      </c>
      <c r="P56" s="885" t="s">
        <v>756</v>
      </c>
      <c r="Q56" s="885" t="s">
        <v>756</v>
      </c>
      <c r="R56" s="885" t="s">
        <v>756</v>
      </c>
      <c r="S56" s="885"/>
      <c r="T56" s="773" t="str">
        <f>IF(TITLE_TYPE_ORG="Регулируемая организация","Изменения стоимости основных фондов за счет их ввода в эксплуатацию","за счет их ввода в эксплуатацию")</f>
        <v>Изменения стоимости основных фондов за счет их ввода в эксплуатацию</v>
      </c>
      <c r="U56" s="772" t="s">
        <v>2143</v>
      </c>
      <c r="V56" s="772" t="s">
        <v>2143</v>
      </c>
      <c r="W56" s="772" t="s">
        <v>2143</v>
      </c>
      <c r="X56" s="772"/>
      <c r="Y56" s="928"/>
      <c r="Z56" s="775" t="s">
        <v>758</v>
      </c>
      <c r="AA56" s="775" t="s">
        <v>758</v>
      </c>
      <c r="AB56" s="775" t="s">
        <v>758</v>
      </c>
      <c r="AC56" s="775" t="s">
        <v>758</v>
      </c>
      <c r="AD56" s="775"/>
    </row>
    <row r="57" spans="1:30" ht="27" customHeight="1">
      <c r="A57" s="774"/>
      <c r="B57" s="827">
        <v>40</v>
      </c>
      <c r="C57" s="772" t="s">
        <v>1024</v>
      </c>
      <c r="D57" s="895"/>
      <c r="E57" s="772"/>
      <c r="F57" s="772"/>
      <c r="G57" s="772"/>
      <c r="H57" s="819"/>
      <c r="I57" s="933" t="str">
        <f t="shared" si="7"/>
        <v>5.1.2</v>
      </c>
      <c r="J57" s="933" t="str">
        <f t="shared" si="8"/>
        <v>Изменения стоимости основных фондов за счет их вывода в эксплуатацию</v>
      </c>
      <c r="K57" s="933" t="str">
        <f t="shared" si="9"/>
        <v>Указываются изменение стоимости основных фондов за счет их вывода из эксплуатации.</v>
      </c>
      <c r="L57" s="773" t="str">
        <f t="shared" si="10"/>
        <v>5.1.2</v>
      </c>
      <c r="M57" s="773" t="str">
        <f t="shared" si="11"/>
        <v>Изменения стоимости основных фондов за счет их вывода в эксплуатацию</v>
      </c>
      <c r="N57" s="773" t="str">
        <f t="shared" si="12"/>
        <v>Указываются изменение стоимости основных фондов за счет их вывода из эксплуатации.</v>
      </c>
      <c r="O57" s="885" t="s">
        <v>2144</v>
      </c>
      <c r="P57" s="885" t="s">
        <v>759</v>
      </c>
      <c r="Q57" s="885" t="s">
        <v>759</v>
      </c>
      <c r="R57" s="885" t="s">
        <v>759</v>
      </c>
      <c r="S57" s="885"/>
      <c r="T57" s="773" t="str">
        <f>IF(TITLE_TYPE_ORG="Регулируемая организация","Изменения стоимости основных фондов за счет их вывода в эксплуатацию","за счет их вывода в эксплуатацию")</f>
        <v>Изменения стоимости основных фондов за счет их вывода в эксплуатацию</v>
      </c>
      <c r="U57" s="772" t="s">
        <v>2145</v>
      </c>
      <c r="V57" s="772" t="s">
        <v>2145</v>
      </c>
      <c r="W57" s="772" t="s">
        <v>2145</v>
      </c>
      <c r="X57" s="772"/>
      <c r="Y57" s="928"/>
      <c r="Z57" s="775" t="s">
        <v>761</v>
      </c>
      <c r="AA57" s="775" t="s">
        <v>761</v>
      </c>
      <c r="AB57" s="775" t="s">
        <v>761</v>
      </c>
      <c r="AC57" s="775" t="s">
        <v>761</v>
      </c>
      <c r="AD57" s="775"/>
    </row>
    <row r="58" spans="1:30" ht="18" customHeight="1">
      <c r="A58" s="774"/>
      <c r="B58" s="827">
        <v>41</v>
      </c>
      <c r="C58" s="772">
        <v>2</v>
      </c>
      <c r="D58" s="895"/>
      <c r="E58" s="772"/>
      <c r="F58" s="772"/>
      <c r="G58" s="772"/>
      <c r="H58" s="819"/>
      <c r="I58" s="933" t="str">
        <f t="shared" si="7"/>
        <v>5.2</v>
      </c>
      <c r="J58" s="933" t="str">
        <f t="shared" si="8"/>
        <v>Изменение стоимости основных фондов за счет их переоценки</v>
      </c>
      <c r="K58" s="933">
        <f t="shared" si="9"/>
        <v>0</v>
      </c>
      <c r="L58" s="773" t="str">
        <f t="shared" si="10"/>
        <v>5.2</v>
      </c>
      <c r="M58" s="773" t="str">
        <f t="shared" si="11"/>
        <v>Изменение стоимости основных фондов за счет их переоценки</v>
      </c>
      <c r="N58" s="773" t="str">
        <f t="shared" si="12"/>
        <v/>
      </c>
      <c r="O58" s="885" t="s">
        <v>881</v>
      </c>
      <c r="P58" s="885" t="s">
        <v>795</v>
      </c>
      <c r="Q58" s="885" t="s">
        <v>795</v>
      </c>
      <c r="R58" s="885" t="s">
        <v>795</v>
      </c>
      <c r="S58" s="885"/>
      <c r="T58" s="773" t="str">
        <f>IF(TITLE_TYPE_ORG="Регулируемая организация","Изменение стоимости основных фондов за счет их переоценки","за счет их переоценки")</f>
        <v>Изменение стоимости основных фондов за счет их переоценки</v>
      </c>
      <c r="U58" s="772" t="s">
        <v>2146</v>
      </c>
      <c r="V58" s="772" t="s">
        <v>2146</v>
      </c>
      <c r="W58" s="772" t="s">
        <v>2146</v>
      </c>
      <c r="X58" s="772"/>
      <c r="Y58" s="928"/>
      <c r="Z58" s="775"/>
      <c r="AA58" s="778"/>
      <c r="AB58" s="775"/>
      <c r="AC58" s="775"/>
      <c r="AD58" s="775"/>
    </row>
    <row r="59" spans="1:30" ht="36" customHeight="1">
      <c r="A59" s="774"/>
      <c r="B59" s="827">
        <v>42</v>
      </c>
      <c r="C59" s="772">
        <v>3</v>
      </c>
      <c r="D59" s="895" t="s">
        <v>2134</v>
      </c>
      <c r="E59" s="772" t="s">
        <v>2134</v>
      </c>
      <c r="F59" s="772" t="s">
        <v>2134</v>
      </c>
      <c r="G59" s="772"/>
      <c r="H59" s="819"/>
      <c r="I59" s="933">
        <f t="shared" si="7"/>
        <v>0</v>
      </c>
      <c r="J59" s="933">
        <f t="shared" si="8"/>
        <v>0</v>
      </c>
      <c r="K59" s="933">
        <f t="shared" si="9"/>
        <v>0</v>
      </c>
      <c r="L59" s="773" t="str">
        <f t="shared" si="10"/>
        <v/>
      </c>
      <c r="M59" s="773" t="str">
        <f t="shared" si="11"/>
        <v/>
      </c>
      <c r="N59" s="773" t="str">
        <f t="shared" si="12"/>
        <v/>
      </c>
      <c r="O59" s="885"/>
      <c r="P59" s="885" t="s">
        <v>111</v>
      </c>
      <c r="Q59" s="885" t="s">
        <v>111</v>
      </c>
      <c r="R59" s="885" t="s">
        <v>111</v>
      </c>
      <c r="S59" s="885"/>
      <c r="T59" s="772"/>
      <c r="U59" s="772" t="s">
        <v>2147</v>
      </c>
      <c r="V59" s="772" t="s">
        <v>2148</v>
      </c>
      <c r="W59" s="772" t="s">
        <v>2149</v>
      </c>
      <c r="X59" s="772"/>
      <c r="Y59" s="928"/>
      <c r="Z59" s="775"/>
      <c r="AA59" s="778"/>
      <c r="AB59" s="775"/>
      <c r="AC59" s="775"/>
      <c r="AD59" s="775"/>
    </row>
    <row r="60" spans="1:30" ht="81" customHeight="1">
      <c r="A60" s="774"/>
      <c r="B60" s="827">
        <v>43</v>
      </c>
      <c r="C60" s="772" t="s">
        <v>2150</v>
      </c>
      <c r="D60" s="895" t="s">
        <v>2150</v>
      </c>
      <c r="E60" s="772" t="s">
        <v>2150</v>
      </c>
      <c r="F60" s="772" t="s">
        <v>2150</v>
      </c>
      <c r="G60" s="772"/>
      <c r="H60" s="819"/>
      <c r="I60" s="933" t="str">
        <f t="shared" si="7"/>
        <v>6</v>
      </c>
      <c r="J60" s="933" t="str">
        <f t="shared" si="8"/>
        <v>Годовая бухгалтерская (финансовая) отчетность, включая бухгалтерский баланс и приложения к нему</v>
      </c>
      <c r="K60" s="933" t="str">
        <f t="shared" si="9"/>
        <v>Указывается ссылка на документ, предварительно загруженный в хранилище файлов ФГИС ЕИАС._x000D_
Регулируемыми организациями информация раскрывается в случае, если выручка от регулируемых видов деятельности превышает 80 процентов совокупной выручки за отчетный год.</v>
      </c>
      <c r="L60" s="773" t="str">
        <f t="shared" si="10"/>
        <v>6</v>
      </c>
      <c r="M60" s="773" t="str">
        <f t="shared" si="11"/>
        <v>Годовая бухгалтерская (финансовая) отчетность, включая бухгалтерский баланс и приложения к нему</v>
      </c>
      <c r="N60" s="773" t="str">
        <f t="shared" si="12"/>
        <v>Указывается ссылка на документ, предварительно загруженный в хранилище файлов ФГИС ЕИАС._x000D_
Регулируемыми организациями информация раскрывается в случае, если выручка от регулируемых видов деятельности превышает 80 процентов совокупной выручки за отчетный год.</v>
      </c>
      <c r="O60" s="885" t="s">
        <v>92</v>
      </c>
      <c r="P60" s="885" t="s">
        <v>92</v>
      </c>
      <c r="Q60" s="885" t="s">
        <v>92</v>
      </c>
      <c r="R60" s="885" t="s">
        <v>92</v>
      </c>
      <c r="S60" s="885"/>
      <c r="T60" s="772" t="s">
        <v>628</v>
      </c>
      <c r="U60" s="772" t="s">
        <v>628</v>
      </c>
      <c r="V60" s="772" t="s">
        <v>628</v>
      </c>
      <c r="W60" s="772" t="s">
        <v>628</v>
      </c>
      <c r="X60" s="772"/>
      <c r="Y60" s="928"/>
      <c r="Z60" s="775" t="s">
        <v>2151</v>
      </c>
      <c r="AA60" s="778" t="s">
        <v>2152</v>
      </c>
      <c r="AB60" s="775" t="s">
        <v>2153</v>
      </c>
      <c r="AC60" s="775" t="s">
        <v>2152</v>
      </c>
      <c r="AD60" s="775"/>
    </row>
    <row r="61" spans="1:30" ht="9" customHeight="1">
      <c r="A61" s="774"/>
      <c r="B61" s="827">
        <v>44</v>
      </c>
      <c r="C61" s="772"/>
      <c r="D61" s="895" t="s">
        <v>2154</v>
      </c>
      <c r="E61" s="772"/>
      <c r="F61" s="772"/>
      <c r="G61" s="772"/>
      <c r="H61" s="819"/>
      <c r="I61" s="933">
        <f t="shared" si="7"/>
        <v>0</v>
      </c>
      <c r="J61" s="933">
        <f t="shared" si="8"/>
        <v>0</v>
      </c>
      <c r="K61" s="933">
        <f t="shared" si="9"/>
        <v>0</v>
      </c>
      <c r="L61" s="773" t="str">
        <f t="shared" si="10"/>
        <v/>
      </c>
      <c r="M61" s="773" t="str">
        <f t="shared" si="11"/>
        <v/>
      </c>
      <c r="N61" s="773" t="str">
        <f t="shared" si="12"/>
        <v/>
      </c>
      <c r="O61" s="885"/>
      <c r="P61" s="885" t="s">
        <v>93</v>
      </c>
      <c r="Q61" s="885"/>
      <c r="R61" s="885"/>
      <c r="S61" s="885"/>
      <c r="T61" s="772"/>
      <c r="U61" s="772" t="s">
        <v>2155</v>
      </c>
      <c r="V61" s="772"/>
      <c r="W61" s="772"/>
      <c r="X61" s="772"/>
      <c r="Y61" s="928"/>
      <c r="Z61" s="775"/>
      <c r="AA61" s="778"/>
      <c r="AB61" s="775"/>
      <c r="AC61" s="775"/>
      <c r="AD61" s="775"/>
    </row>
    <row r="62" spans="1:30" ht="9" customHeight="1">
      <c r="A62" s="774"/>
      <c r="B62" s="827">
        <v>45</v>
      </c>
      <c r="C62" s="772"/>
      <c r="D62" s="895" t="s">
        <v>2156</v>
      </c>
      <c r="E62" s="772"/>
      <c r="F62" s="772"/>
      <c r="G62" s="772"/>
      <c r="H62" s="819"/>
      <c r="I62" s="933">
        <f t="shared" si="7"/>
        <v>0</v>
      </c>
      <c r="J62" s="933">
        <f t="shared" si="8"/>
        <v>0</v>
      </c>
      <c r="K62" s="933">
        <f t="shared" si="9"/>
        <v>0</v>
      </c>
      <c r="L62" s="773" t="str">
        <f t="shared" si="10"/>
        <v/>
      </c>
      <c r="M62" s="773" t="str">
        <f t="shared" si="11"/>
        <v/>
      </c>
      <c r="N62" s="773" t="str">
        <f t="shared" si="12"/>
        <v/>
      </c>
      <c r="O62" s="885"/>
      <c r="P62" s="885" t="s">
        <v>112</v>
      </c>
      <c r="Q62" s="885"/>
      <c r="R62" s="885"/>
      <c r="S62" s="885"/>
      <c r="T62" s="772"/>
      <c r="U62" s="772" t="s">
        <v>2157</v>
      </c>
      <c r="V62" s="772"/>
      <c r="W62" s="772"/>
      <c r="X62" s="772"/>
      <c r="Y62" s="928"/>
      <c r="Z62" s="775"/>
      <c r="AA62" s="778"/>
      <c r="AB62" s="775"/>
      <c r="AC62" s="775"/>
      <c r="AD62" s="775"/>
    </row>
    <row r="63" spans="1:30" ht="18" customHeight="1">
      <c r="A63" s="774"/>
      <c r="B63" s="827">
        <v>46</v>
      </c>
      <c r="C63" s="772"/>
      <c r="D63" s="895" t="s">
        <v>2158</v>
      </c>
      <c r="E63" s="772"/>
      <c r="F63" s="772"/>
      <c r="G63" s="772"/>
      <c r="H63" s="819"/>
      <c r="I63" s="933">
        <f t="shared" si="7"/>
        <v>0</v>
      </c>
      <c r="J63" s="933">
        <f t="shared" si="8"/>
        <v>0</v>
      </c>
      <c r="K63" s="933">
        <f t="shared" si="9"/>
        <v>0</v>
      </c>
      <c r="L63" s="773" t="str">
        <f t="shared" si="10"/>
        <v/>
      </c>
      <c r="M63" s="773" t="str">
        <f t="shared" si="11"/>
        <v/>
      </c>
      <c r="N63" s="773" t="str">
        <f t="shared" si="12"/>
        <v/>
      </c>
      <c r="O63" s="885"/>
      <c r="P63" s="885" t="s">
        <v>149</v>
      </c>
      <c r="Q63" s="885"/>
      <c r="R63" s="885"/>
      <c r="S63" s="885"/>
      <c r="T63" s="772"/>
      <c r="U63" s="772" t="s">
        <v>2159</v>
      </c>
      <c r="V63" s="772"/>
      <c r="W63" s="772"/>
      <c r="X63" s="772"/>
      <c r="Y63" s="928"/>
      <c r="Z63" s="775"/>
      <c r="AA63" s="778"/>
      <c r="AB63" s="775"/>
      <c r="AC63" s="775"/>
      <c r="AD63" s="775"/>
    </row>
    <row r="64" spans="1:30" ht="18" customHeight="1">
      <c r="A64" s="774"/>
      <c r="B64" s="827">
        <v>47</v>
      </c>
      <c r="C64" s="772"/>
      <c r="D64" s="895" t="s">
        <v>2160</v>
      </c>
      <c r="E64" s="772"/>
      <c r="F64" s="772"/>
      <c r="G64" s="772"/>
      <c r="H64" s="819"/>
      <c r="I64" s="933">
        <f t="shared" si="7"/>
        <v>0</v>
      </c>
      <c r="J64" s="933">
        <f t="shared" si="8"/>
        <v>0</v>
      </c>
      <c r="K64" s="933">
        <f t="shared" si="9"/>
        <v>0</v>
      </c>
      <c r="L64" s="773" t="str">
        <f t="shared" si="10"/>
        <v/>
      </c>
      <c r="M64" s="773" t="str">
        <f t="shared" si="11"/>
        <v/>
      </c>
      <c r="N64" s="773" t="str">
        <f t="shared" si="12"/>
        <v/>
      </c>
      <c r="O64" s="885"/>
      <c r="P64" s="885" t="s">
        <v>150</v>
      </c>
      <c r="Q64" s="885"/>
      <c r="R64" s="885"/>
      <c r="S64" s="885"/>
      <c r="T64" s="772"/>
      <c r="U64" s="772" t="s">
        <v>2161</v>
      </c>
      <c r="V64" s="772"/>
      <c r="W64" s="772"/>
      <c r="X64" s="772"/>
      <c r="Y64" s="928"/>
      <c r="Z64" s="775"/>
      <c r="AA64" s="778" t="s">
        <v>2162</v>
      </c>
      <c r="AB64" s="775"/>
      <c r="AC64" s="775"/>
      <c r="AD64" s="775"/>
    </row>
    <row r="65" spans="1:30" ht="18" customHeight="1">
      <c r="A65" s="774"/>
      <c r="B65" s="827">
        <v>48</v>
      </c>
      <c r="C65" s="772"/>
      <c r="D65" s="895"/>
      <c r="E65" s="772"/>
      <c r="F65" s="772"/>
      <c r="G65" s="772"/>
      <c r="H65" s="819"/>
      <c r="I65" s="933">
        <f t="shared" si="7"/>
        <v>0</v>
      </c>
      <c r="J65" s="933">
        <f t="shared" si="8"/>
        <v>0</v>
      </c>
      <c r="K65" s="933">
        <f t="shared" si="9"/>
        <v>0</v>
      </c>
      <c r="L65" s="773" t="str">
        <f t="shared" si="10"/>
        <v/>
      </c>
      <c r="M65" s="773" t="str">
        <f t="shared" si="11"/>
        <v/>
      </c>
      <c r="N65" s="773" t="str">
        <f t="shared" si="12"/>
        <v/>
      </c>
      <c r="O65" s="885"/>
      <c r="P65" s="885" t="s">
        <v>2075</v>
      </c>
      <c r="Q65" s="885"/>
      <c r="R65" s="885"/>
      <c r="S65" s="885"/>
      <c r="T65" s="772"/>
      <c r="U65" s="772" t="s">
        <v>2163</v>
      </c>
      <c r="V65" s="772"/>
      <c r="W65" s="772"/>
      <c r="X65" s="772"/>
      <c r="Y65" s="928"/>
      <c r="Z65" s="775"/>
      <c r="AA65" s="778"/>
      <c r="AB65" s="775"/>
      <c r="AC65" s="775"/>
      <c r="AD65" s="775"/>
    </row>
    <row r="66" spans="1:30" ht="18" customHeight="1">
      <c r="A66" s="774"/>
      <c r="B66" s="827">
        <v>49</v>
      </c>
      <c r="C66" s="772"/>
      <c r="D66" s="895"/>
      <c r="E66" s="772"/>
      <c r="F66" s="772"/>
      <c r="G66" s="772"/>
      <c r="H66" s="819"/>
      <c r="I66" s="933">
        <f t="shared" si="7"/>
        <v>0</v>
      </c>
      <c r="J66" s="933">
        <f t="shared" si="8"/>
        <v>0</v>
      </c>
      <c r="K66" s="933">
        <f t="shared" si="9"/>
        <v>0</v>
      </c>
      <c r="L66" s="773" t="str">
        <f t="shared" si="10"/>
        <v/>
      </c>
      <c r="M66" s="773" t="str">
        <f t="shared" si="11"/>
        <v/>
      </c>
      <c r="N66" s="773" t="str">
        <f t="shared" si="12"/>
        <v/>
      </c>
      <c r="O66" s="885"/>
      <c r="P66" s="885" t="s">
        <v>2079</v>
      </c>
      <c r="Q66" s="885"/>
      <c r="R66" s="885"/>
      <c r="S66" s="885"/>
      <c r="T66" s="772"/>
      <c r="U66" s="772" t="s">
        <v>2164</v>
      </c>
      <c r="V66" s="772"/>
      <c r="W66" s="772"/>
      <c r="X66" s="772"/>
      <c r="Y66" s="928"/>
      <c r="Z66" s="775"/>
      <c r="AA66" s="778"/>
      <c r="AB66" s="775"/>
      <c r="AC66" s="775"/>
      <c r="AD66" s="775"/>
    </row>
    <row r="67" spans="1:30" ht="27" customHeight="1">
      <c r="A67" s="774"/>
      <c r="B67" s="827">
        <v>50</v>
      </c>
      <c r="C67" s="772"/>
      <c r="D67" s="895"/>
      <c r="E67" s="772"/>
      <c r="F67" s="772"/>
      <c r="G67" s="772"/>
      <c r="H67" s="819"/>
      <c r="I67" s="933">
        <f t="shared" si="7"/>
        <v>0</v>
      </c>
      <c r="J67" s="933">
        <f t="shared" si="8"/>
        <v>0</v>
      </c>
      <c r="K67" s="933">
        <f t="shared" si="9"/>
        <v>0</v>
      </c>
      <c r="L67" s="773" t="str">
        <f t="shared" si="10"/>
        <v/>
      </c>
      <c r="M67" s="773" t="str">
        <f t="shared" si="11"/>
        <v/>
      </c>
      <c r="N67" s="773" t="str">
        <f t="shared" si="12"/>
        <v/>
      </c>
      <c r="O67" s="885"/>
      <c r="P67" s="885" t="s">
        <v>2165</v>
      </c>
      <c r="Q67" s="885"/>
      <c r="R67" s="885"/>
      <c r="S67" s="885"/>
      <c r="T67" s="772"/>
      <c r="U67" s="772" t="s">
        <v>2166</v>
      </c>
      <c r="V67" s="772"/>
      <c r="W67" s="772"/>
      <c r="X67" s="772"/>
      <c r="Y67" s="928"/>
      <c r="Z67" s="775"/>
      <c r="AA67" s="778"/>
      <c r="AB67" s="775"/>
      <c r="AC67" s="775"/>
      <c r="AD67" s="775"/>
    </row>
    <row r="68" spans="1:30" ht="27" customHeight="1">
      <c r="A68" s="774"/>
      <c r="B68" s="827">
        <v>51</v>
      </c>
      <c r="C68" s="772"/>
      <c r="D68" s="895"/>
      <c r="E68" s="772"/>
      <c r="F68" s="772"/>
      <c r="G68" s="772"/>
      <c r="H68" s="819"/>
      <c r="I68" s="933">
        <f t="shared" si="7"/>
        <v>0</v>
      </c>
      <c r="J68" s="933">
        <f t="shared" si="8"/>
        <v>0</v>
      </c>
      <c r="K68" s="933">
        <f t="shared" si="9"/>
        <v>0</v>
      </c>
      <c r="L68" s="773" t="str">
        <f t="shared" si="10"/>
        <v/>
      </c>
      <c r="M68" s="773" t="str">
        <f t="shared" si="11"/>
        <v/>
      </c>
      <c r="N68" s="773" t="str">
        <f t="shared" si="12"/>
        <v/>
      </c>
      <c r="O68" s="885"/>
      <c r="P68" s="885" t="s">
        <v>2167</v>
      </c>
      <c r="Q68" s="885"/>
      <c r="R68" s="885"/>
      <c r="S68" s="885"/>
      <c r="T68" s="772"/>
      <c r="U68" s="772" t="s">
        <v>2168</v>
      </c>
      <c r="V68" s="772"/>
      <c r="W68" s="772"/>
      <c r="X68" s="772"/>
      <c r="Y68" s="928"/>
      <c r="Z68" s="775"/>
      <c r="AA68" s="778"/>
      <c r="AB68" s="775"/>
      <c r="AC68" s="775"/>
      <c r="AD68" s="775"/>
    </row>
    <row r="69" spans="1:30" ht="9" customHeight="1">
      <c r="A69" s="774"/>
      <c r="B69" s="827">
        <v>52</v>
      </c>
      <c r="C69" s="772"/>
      <c r="D69" s="895" t="s">
        <v>2169</v>
      </c>
      <c r="E69" s="772"/>
      <c r="F69" s="772"/>
      <c r="G69" s="772"/>
      <c r="H69" s="819"/>
      <c r="I69" s="933">
        <f t="shared" si="7"/>
        <v>0</v>
      </c>
      <c r="J69" s="933">
        <f t="shared" si="8"/>
        <v>0</v>
      </c>
      <c r="K69" s="933">
        <f t="shared" si="9"/>
        <v>0</v>
      </c>
      <c r="L69" s="773" t="str">
        <f t="shared" si="10"/>
        <v/>
      </c>
      <c r="M69" s="773" t="str">
        <f t="shared" si="11"/>
        <v/>
      </c>
      <c r="N69" s="773" t="str">
        <f t="shared" si="12"/>
        <v/>
      </c>
      <c r="O69" s="885"/>
      <c r="P69" s="885" t="s">
        <v>151</v>
      </c>
      <c r="Q69" s="885"/>
      <c r="R69" s="885"/>
      <c r="S69" s="885"/>
      <c r="T69" s="772"/>
      <c r="U69" s="772" t="s">
        <v>2170</v>
      </c>
      <c r="V69" s="772"/>
      <c r="W69" s="772"/>
      <c r="X69" s="772"/>
      <c r="Y69" s="928"/>
      <c r="Z69" s="775"/>
      <c r="AA69" s="778"/>
      <c r="AB69" s="775"/>
      <c r="AC69" s="775"/>
      <c r="AD69" s="775"/>
    </row>
    <row r="70" spans="1:30" ht="27" customHeight="1">
      <c r="A70" s="774"/>
      <c r="B70" s="827">
        <v>53</v>
      </c>
      <c r="C70" s="772"/>
      <c r="D70" s="895"/>
      <c r="E70" s="772" t="s">
        <v>2154</v>
      </c>
      <c r="F70" s="772"/>
      <c r="G70" s="772"/>
      <c r="H70" s="819"/>
      <c r="I70" s="933">
        <f t="shared" si="7"/>
        <v>0</v>
      </c>
      <c r="J70" s="933">
        <f t="shared" si="8"/>
        <v>0</v>
      </c>
      <c r="K70" s="933">
        <f t="shared" si="9"/>
        <v>0</v>
      </c>
      <c r="L70" s="773" t="str">
        <f t="shared" si="10"/>
        <v/>
      </c>
      <c r="M70" s="773" t="str">
        <f t="shared" si="11"/>
        <v/>
      </c>
      <c r="N70" s="773" t="str">
        <f t="shared" si="12"/>
        <v/>
      </c>
      <c r="O70" s="885"/>
      <c r="P70" s="885"/>
      <c r="Q70" s="885" t="s">
        <v>93</v>
      </c>
      <c r="R70" s="885"/>
      <c r="S70" s="885"/>
      <c r="T70" s="772"/>
      <c r="U70" s="772"/>
      <c r="V70" s="772" t="s">
        <v>2171</v>
      </c>
      <c r="W70" s="772"/>
      <c r="X70" s="772"/>
      <c r="Y70" s="928"/>
      <c r="Z70" s="775"/>
      <c r="AA70" s="778"/>
      <c r="AB70" s="775"/>
      <c r="AC70" s="775"/>
      <c r="AD70" s="775"/>
    </row>
    <row r="71" spans="1:30" ht="36" customHeight="1">
      <c r="A71" s="774"/>
      <c r="B71" s="827">
        <v>54</v>
      </c>
      <c r="C71" s="772"/>
      <c r="D71" s="895"/>
      <c r="E71" s="772" t="s">
        <v>2156</v>
      </c>
      <c r="F71" s="772"/>
      <c r="G71" s="772"/>
      <c r="H71" s="819"/>
      <c r="I71" s="933">
        <f t="shared" si="7"/>
        <v>0</v>
      </c>
      <c r="J71" s="933">
        <f t="shared" si="8"/>
        <v>0</v>
      </c>
      <c r="K71" s="933">
        <f t="shared" si="9"/>
        <v>0</v>
      </c>
      <c r="L71" s="773" t="str">
        <f t="shared" si="10"/>
        <v/>
      </c>
      <c r="M71" s="773" t="str">
        <f t="shared" si="11"/>
        <v/>
      </c>
      <c r="N71" s="773" t="str">
        <f t="shared" si="12"/>
        <v/>
      </c>
      <c r="O71" s="885"/>
      <c r="P71" s="885"/>
      <c r="Q71" s="885" t="s">
        <v>112</v>
      </c>
      <c r="R71" s="885"/>
      <c r="S71" s="885"/>
      <c r="T71" s="772"/>
      <c r="U71" s="772"/>
      <c r="V71" s="772" t="s">
        <v>2172</v>
      </c>
      <c r="W71" s="772"/>
      <c r="X71" s="772"/>
      <c r="Y71" s="928"/>
      <c r="Z71" s="775"/>
      <c r="AA71" s="778"/>
      <c r="AB71" s="775"/>
      <c r="AC71" s="775"/>
      <c r="AD71" s="775"/>
    </row>
    <row r="72" spans="1:30" ht="27" customHeight="1">
      <c r="A72" s="774"/>
      <c r="B72" s="827">
        <v>55</v>
      </c>
      <c r="C72" s="772"/>
      <c r="D72" s="895"/>
      <c r="E72" s="772" t="s">
        <v>2158</v>
      </c>
      <c r="F72" s="772"/>
      <c r="G72" s="772"/>
      <c r="H72" s="819"/>
      <c r="I72" s="933">
        <f t="shared" si="7"/>
        <v>0</v>
      </c>
      <c r="J72" s="933">
        <f t="shared" si="8"/>
        <v>0</v>
      </c>
      <c r="K72" s="933">
        <f t="shared" si="9"/>
        <v>0</v>
      </c>
      <c r="L72" s="773" t="str">
        <f t="shared" si="10"/>
        <v/>
      </c>
      <c r="M72" s="773" t="str">
        <f t="shared" si="11"/>
        <v/>
      </c>
      <c r="N72" s="773" t="str">
        <f t="shared" si="12"/>
        <v/>
      </c>
      <c r="O72" s="885"/>
      <c r="P72" s="885"/>
      <c r="Q72" s="885" t="s">
        <v>149</v>
      </c>
      <c r="R72" s="885"/>
      <c r="S72" s="885"/>
      <c r="T72" s="772"/>
      <c r="U72" s="772"/>
      <c r="V72" s="772" t="s">
        <v>2173</v>
      </c>
      <c r="W72" s="772"/>
      <c r="X72" s="772"/>
      <c r="Y72" s="928"/>
      <c r="Z72" s="775"/>
      <c r="AA72" s="778"/>
      <c r="AB72" s="775"/>
      <c r="AC72" s="775"/>
      <c r="AD72" s="775"/>
    </row>
    <row r="73" spans="1:30" ht="36" customHeight="1">
      <c r="A73" s="774"/>
      <c r="B73" s="827">
        <v>56</v>
      </c>
      <c r="C73" s="772"/>
      <c r="D73" s="895"/>
      <c r="E73" s="772" t="s">
        <v>2160</v>
      </c>
      <c r="F73" s="772"/>
      <c r="G73" s="772"/>
      <c r="H73" s="819"/>
      <c r="I73" s="933">
        <f t="shared" si="7"/>
        <v>0</v>
      </c>
      <c r="J73" s="933">
        <f t="shared" si="8"/>
        <v>0</v>
      </c>
      <c r="K73" s="933">
        <f t="shared" si="9"/>
        <v>0</v>
      </c>
      <c r="L73" s="773" t="str">
        <f t="shared" si="10"/>
        <v/>
      </c>
      <c r="M73" s="773" t="str">
        <f t="shared" si="11"/>
        <v/>
      </c>
      <c r="N73" s="773" t="str">
        <f t="shared" si="12"/>
        <v/>
      </c>
      <c r="O73" s="885"/>
      <c r="P73" s="885"/>
      <c r="Q73" s="885" t="s">
        <v>150</v>
      </c>
      <c r="R73" s="885"/>
      <c r="S73" s="885"/>
      <c r="T73" s="772"/>
      <c r="U73" s="772"/>
      <c r="V73" s="772" t="s">
        <v>2174</v>
      </c>
      <c r="W73" s="772"/>
      <c r="X73" s="772"/>
      <c r="Y73" s="928"/>
      <c r="Z73" s="775"/>
      <c r="AA73" s="778"/>
      <c r="AB73" s="775"/>
      <c r="AC73" s="775"/>
      <c r="AD73" s="775"/>
    </row>
    <row r="74" spans="1:30" ht="18" customHeight="1">
      <c r="A74" s="774"/>
      <c r="B74" s="827">
        <v>57</v>
      </c>
      <c r="C74" s="772"/>
      <c r="D74" s="895"/>
      <c r="E74" s="772" t="s">
        <v>2169</v>
      </c>
      <c r="F74" s="772"/>
      <c r="G74" s="772"/>
      <c r="H74" s="819"/>
      <c r="I74" s="933">
        <f t="shared" si="7"/>
        <v>0</v>
      </c>
      <c r="J74" s="933">
        <f t="shared" si="8"/>
        <v>0</v>
      </c>
      <c r="K74" s="933">
        <f t="shared" si="9"/>
        <v>0</v>
      </c>
      <c r="L74" s="773" t="str">
        <f t="shared" si="10"/>
        <v/>
      </c>
      <c r="M74" s="773" t="str">
        <f t="shared" si="11"/>
        <v/>
      </c>
      <c r="N74" s="773" t="str">
        <f t="shared" si="12"/>
        <v/>
      </c>
      <c r="O74" s="885"/>
      <c r="P74" s="885"/>
      <c r="Q74" s="885" t="s">
        <v>151</v>
      </c>
      <c r="R74" s="885"/>
      <c r="S74" s="885"/>
      <c r="T74" s="772"/>
      <c r="U74" s="772"/>
      <c r="V74" s="772" t="s">
        <v>2175</v>
      </c>
      <c r="W74" s="772"/>
      <c r="X74" s="772"/>
      <c r="Y74" s="928"/>
      <c r="Z74" s="775"/>
      <c r="AA74" s="778"/>
      <c r="AB74" s="775"/>
      <c r="AC74" s="775"/>
      <c r="AD74" s="775"/>
    </row>
    <row r="75" spans="1:30" ht="18" customHeight="1">
      <c r="A75" s="774"/>
      <c r="B75" s="827">
        <v>58</v>
      </c>
      <c r="C75" s="772"/>
      <c r="D75" s="895"/>
      <c r="E75" s="772"/>
      <c r="F75" s="772" t="s">
        <v>2154</v>
      </c>
      <c r="G75" s="772"/>
      <c r="H75" s="819"/>
      <c r="I75" s="933">
        <f t="shared" si="7"/>
        <v>0</v>
      </c>
      <c r="J75" s="933">
        <f t="shared" si="8"/>
        <v>0</v>
      </c>
      <c r="K75" s="933">
        <f t="shared" si="9"/>
        <v>0</v>
      </c>
      <c r="L75" s="773" t="str">
        <f t="shared" si="10"/>
        <v/>
      </c>
      <c r="M75" s="773" t="str">
        <f t="shared" si="11"/>
        <v/>
      </c>
      <c r="N75" s="773" t="str">
        <f t="shared" si="12"/>
        <v/>
      </c>
      <c r="O75" s="885"/>
      <c r="P75" s="885"/>
      <c r="Q75" s="885"/>
      <c r="R75" s="885" t="s">
        <v>93</v>
      </c>
      <c r="S75" s="885"/>
      <c r="T75" s="772"/>
      <c r="U75" s="772"/>
      <c r="V75" s="772"/>
      <c r="W75" s="772" t="s">
        <v>2176</v>
      </c>
      <c r="X75" s="772"/>
      <c r="Y75" s="928"/>
      <c r="Z75" s="775"/>
      <c r="AA75" s="778"/>
      <c r="AB75" s="775"/>
      <c r="AC75" s="775"/>
      <c r="AD75" s="775"/>
    </row>
    <row r="76" spans="1:30" ht="36" customHeight="1">
      <c r="A76" s="774"/>
      <c r="B76" s="827">
        <v>59</v>
      </c>
      <c r="C76" s="772"/>
      <c r="D76" s="895"/>
      <c r="E76" s="772"/>
      <c r="F76" s="772" t="s">
        <v>2156</v>
      </c>
      <c r="G76" s="772"/>
      <c r="H76" s="819"/>
      <c r="I76" s="933">
        <f t="shared" si="7"/>
        <v>0</v>
      </c>
      <c r="J76" s="933">
        <f t="shared" si="8"/>
        <v>0</v>
      </c>
      <c r="K76" s="933">
        <f t="shared" si="9"/>
        <v>0</v>
      </c>
      <c r="L76" s="773" t="str">
        <f t="shared" si="10"/>
        <v/>
      </c>
      <c r="M76" s="773" t="str">
        <f t="shared" si="11"/>
        <v/>
      </c>
      <c r="N76" s="773" t="str">
        <f t="shared" si="12"/>
        <v/>
      </c>
      <c r="O76" s="885"/>
      <c r="P76" s="885"/>
      <c r="Q76" s="885"/>
      <c r="R76" s="885" t="s">
        <v>112</v>
      </c>
      <c r="S76" s="885"/>
      <c r="T76" s="772"/>
      <c r="U76" s="772"/>
      <c r="V76" s="772"/>
      <c r="W76" s="772" t="s">
        <v>2177</v>
      </c>
      <c r="X76" s="772"/>
      <c r="Y76" s="928"/>
      <c r="Z76" s="775"/>
      <c r="AA76" s="778"/>
      <c r="AB76" s="775"/>
      <c r="AC76" s="775"/>
      <c r="AD76" s="775"/>
    </row>
    <row r="77" spans="1:30" ht="18" customHeight="1">
      <c r="A77" s="774"/>
      <c r="B77" s="827">
        <v>60</v>
      </c>
      <c r="C77" s="772"/>
      <c r="D77" s="895"/>
      <c r="E77" s="772"/>
      <c r="F77" s="772" t="s">
        <v>2158</v>
      </c>
      <c r="G77" s="772"/>
      <c r="H77" s="819"/>
      <c r="I77" s="933">
        <f t="shared" si="7"/>
        <v>0</v>
      </c>
      <c r="J77" s="933">
        <f t="shared" si="8"/>
        <v>0</v>
      </c>
      <c r="K77" s="933">
        <f t="shared" si="9"/>
        <v>0</v>
      </c>
      <c r="L77" s="773" t="str">
        <f t="shared" si="10"/>
        <v/>
      </c>
      <c r="M77" s="773" t="str">
        <f t="shared" si="11"/>
        <v/>
      </c>
      <c r="N77" s="773" t="str">
        <f t="shared" si="12"/>
        <v/>
      </c>
      <c r="O77" s="885"/>
      <c r="P77" s="885"/>
      <c r="Q77" s="885"/>
      <c r="R77" s="885" t="s">
        <v>149</v>
      </c>
      <c r="S77" s="885"/>
      <c r="T77" s="772"/>
      <c r="U77" s="772"/>
      <c r="V77" s="772"/>
      <c r="W77" s="772" t="s">
        <v>2178</v>
      </c>
      <c r="X77" s="772"/>
      <c r="Y77" s="928"/>
      <c r="Z77" s="775"/>
      <c r="AA77" s="778"/>
      <c r="AB77" s="775"/>
      <c r="AC77" s="775"/>
      <c r="AD77" s="775"/>
    </row>
    <row r="78" spans="1:30" ht="72" customHeight="1">
      <c r="A78" s="774"/>
      <c r="B78" s="827">
        <v>61</v>
      </c>
      <c r="C78" s="772" t="s">
        <v>2154</v>
      </c>
      <c r="D78" s="895"/>
      <c r="E78" s="772"/>
      <c r="F78" s="772"/>
      <c r="G78" s="772"/>
      <c r="H78" s="819"/>
      <c r="I78" s="933" t="str">
        <f t="shared" si="7"/>
        <v>7</v>
      </c>
      <c r="J78" s="933" t="str">
        <f t="shared" si="8"/>
        <v>Установленная тепловая мощность объектов основных фондов, используемых для теплоснабжения, в том числе по каждому источнику тепловой энергии</v>
      </c>
      <c r="K78" s="933" t="str">
        <f t="shared" si="9"/>
        <v>Указывается суммарная установленная тепловая мощность объектов основных фондов, используемых для осуществления теплоснабжения._x000D_
Регулируемыми организациями указывается информация по объектам, используемым для осуществления регулируемых видов деятельности.</v>
      </c>
      <c r="L78" s="773" t="str">
        <f t="shared" si="10"/>
        <v>7</v>
      </c>
      <c r="M78" s="773" t="str">
        <f t="shared" si="11"/>
        <v>Установленная тепловая мощность объектов основных фондов, используемых для теплоснабжения, в том числе по каждому источнику тепловой энергии</v>
      </c>
      <c r="N78" s="773" t="str">
        <f t="shared" si="12"/>
        <v>Указывается суммарная установленная тепловая мощность объектов основных фондов, используемых для осуществления теплоснабжения._x000D_
Регулируемыми организациями указывается информация по объектам, используемым для осуществления регулируемых видов деятельности.</v>
      </c>
      <c r="O78" s="885" t="s">
        <v>93</v>
      </c>
      <c r="P78" s="885"/>
      <c r="Q78" s="885"/>
      <c r="R78" s="885"/>
      <c r="S78" s="885"/>
      <c r="T78" s="772" t="s">
        <v>633</v>
      </c>
      <c r="U78" s="772"/>
      <c r="V78" s="772"/>
      <c r="W78" s="772"/>
      <c r="X78" s="772"/>
      <c r="Y78" s="928"/>
      <c r="Z78" s="775" t="s">
        <v>2179</v>
      </c>
      <c r="AA78" s="778"/>
      <c r="AB78" s="775"/>
      <c r="AC78" s="775"/>
      <c r="AD78" s="775"/>
    </row>
    <row r="79" spans="1:30" ht="36" customHeight="1">
      <c r="A79" s="774"/>
      <c r="B79" s="827">
        <v>62</v>
      </c>
      <c r="C79" s="772" t="s">
        <v>2156</v>
      </c>
      <c r="D79" s="895"/>
      <c r="E79" s="772"/>
      <c r="F79" s="772"/>
      <c r="G79" s="772"/>
      <c r="H79" s="819"/>
      <c r="I79" s="933" t="str">
        <f t="shared" si="7"/>
        <v>8</v>
      </c>
      <c r="J79" s="933" t="str">
        <f t="shared" si="8"/>
        <v>Тепловая нагрузка по договорам, заключенным в рамках осуществления регулируемых видов деятельности</v>
      </c>
      <c r="K79" s="933" t="str">
        <f t="shared" si="9"/>
        <v>Регулируемыми организациями указывается информация по договорам, заключенным в рамках осуществления регулируемых видов деятельности</v>
      </c>
      <c r="L79" s="773" t="str">
        <f t="shared" si="10"/>
        <v>8</v>
      </c>
      <c r="M79" s="773" t="str">
        <f t="shared" si="11"/>
        <v>Тепловая нагрузка по договорам, заключенным в рамках осуществления регулируемых видов деятельности</v>
      </c>
      <c r="N79" s="773" t="str">
        <f t="shared" si="12"/>
        <v>Регулируемыми организациями указывается информация по договорам, заключенным в рамках осуществления регулируемых видов деятельности</v>
      </c>
      <c r="O79" s="885" t="s">
        <v>112</v>
      </c>
      <c r="P79" s="885"/>
      <c r="Q79" s="885"/>
      <c r="R79" s="885"/>
      <c r="S79" s="885"/>
      <c r="T79" s="772" t="s">
        <v>2180</v>
      </c>
      <c r="U79" s="772"/>
      <c r="V79" s="772"/>
      <c r="W79" s="772"/>
      <c r="X79" s="772"/>
      <c r="Y79" s="928"/>
      <c r="Z79" s="775" t="s">
        <v>2181</v>
      </c>
      <c r="AA79" s="778"/>
      <c r="AB79" s="775"/>
      <c r="AC79" s="775"/>
      <c r="AD79" s="775"/>
    </row>
    <row r="80" spans="1:30" ht="45" customHeight="1">
      <c r="A80" s="774"/>
      <c r="B80" s="827">
        <v>63</v>
      </c>
      <c r="C80" s="772" t="s">
        <v>2158</v>
      </c>
      <c r="D80" s="895"/>
      <c r="E80" s="772"/>
      <c r="F80" s="772"/>
      <c r="G80" s="772"/>
      <c r="H80" s="819"/>
      <c r="I80" s="933" t="str">
        <f t="shared" si="7"/>
        <v>9</v>
      </c>
      <c r="J80" s="933" t="str">
        <f t="shared" si="8"/>
        <v>Объем вырабатываемой регулируемой организацией тепловой энергии в рамках осуществления регулируемых видов деятельности</v>
      </c>
      <c r="K80" s="933" t="str">
        <f t="shared" si="9"/>
        <v>Регулируемыми организациями указывается информация тепловой энергии, выработанной в рамках осуществления регулируемых видов деятельности.</v>
      </c>
      <c r="L80" s="773" t="str">
        <f t="shared" si="10"/>
        <v>9</v>
      </c>
      <c r="M80" s="773" t="str">
        <f t="shared" si="11"/>
        <v>Объем вырабатываемой регулируемой организацией тепловой энергии в рамках осуществления регулируемых видов деятельности</v>
      </c>
      <c r="N80" s="773" t="str">
        <f t="shared" si="12"/>
        <v>Регулируемыми организациями указывается информация тепловой энергии, выработанной в рамках осуществления регулируемых видов деятельности.</v>
      </c>
      <c r="O80" s="885" t="s">
        <v>149</v>
      </c>
      <c r="P80" s="885"/>
      <c r="Q80" s="885"/>
      <c r="R80" s="885"/>
      <c r="S80" s="885"/>
      <c r="T80" s="772" t="s">
        <v>2182</v>
      </c>
      <c r="U80" s="772"/>
      <c r="V80" s="772"/>
      <c r="W80" s="772"/>
      <c r="X80" s="772"/>
      <c r="Y80" s="928"/>
      <c r="Z80" s="775" t="s">
        <v>2183</v>
      </c>
      <c r="AA80" s="778"/>
      <c r="AB80" s="775"/>
      <c r="AC80" s="775"/>
      <c r="AD80" s="775"/>
    </row>
    <row r="81" spans="1:30" ht="36" customHeight="1">
      <c r="A81" s="774"/>
      <c r="B81" s="827">
        <v>64</v>
      </c>
      <c r="C81" s="772" t="s">
        <v>2160</v>
      </c>
      <c r="D81" s="895"/>
      <c r="E81" s="772"/>
      <c r="F81" s="772"/>
      <c r="G81" s="772"/>
      <c r="H81" s="819"/>
      <c r="I81" s="933" t="str">
        <f t="shared" si="7"/>
        <v>9.1</v>
      </c>
      <c r="J81" s="933" t="str">
        <f t="shared" si="8"/>
        <v>Объем приобретаемой регулируемой организацией тепловой энергии в рамках осуществления регулируемых видов деятельности</v>
      </c>
      <c r="K81" s="933" t="str">
        <f t="shared" si="9"/>
        <v>Информация указывается только едиными теплоснабжающими организациями.</v>
      </c>
      <c r="L81" s="773" t="str">
        <f t="shared" si="10"/>
        <v>9.1</v>
      </c>
      <c r="M81" s="773" t="str">
        <f t="shared" si="11"/>
        <v>Объем приобретаемой регулируемой организацией тепловой энергии в рамках осуществления регулируемых видов деятельности</v>
      </c>
      <c r="N81" s="773" t="str">
        <f t="shared" si="12"/>
        <v>Информация указывается только едиными теплоснабжающими организациями.</v>
      </c>
      <c r="O81" s="885" t="s">
        <v>2066</v>
      </c>
      <c r="P81" s="885"/>
      <c r="Q81" s="885"/>
      <c r="R81" s="885"/>
      <c r="S81" s="885"/>
      <c r="T81" s="772" t="s">
        <v>2184</v>
      </c>
      <c r="U81" s="772"/>
      <c r="V81" s="772"/>
      <c r="W81" s="772"/>
      <c r="X81" s="772"/>
      <c r="Y81" s="928"/>
      <c r="Z81" s="775" t="s">
        <v>2185</v>
      </c>
      <c r="AA81" s="778"/>
      <c r="AB81" s="775"/>
      <c r="AC81" s="775"/>
      <c r="AD81" s="775"/>
    </row>
    <row r="82" spans="1:30" ht="90" customHeight="1">
      <c r="A82" s="774"/>
      <c r="B82" s="827">
        <v>65</v>
      </c>
      <c r="C82" s="772" t="s">
        <v>2169</v>
      </c>
      <c r="D82" s="895"/>
      <c r="E82" s="772"/>
      <c r="F82" s="772"/>
      <c r="G82" s="772"/>
      <c r="H82" s="819"/>
      <c r="I82" s="933" t="str">
        <f t="shared" ref="I82:I101" si="13">INDEX(TEMPLATE_NUMBER_POINT_FHD,B82,MATCH(TEMPLATE_SPHERE,TEMPLATE_SPHERE_LIST_FOR_NOTE,0))</f>
        <v>10</v>
      </c>
      <c r="J82" s="933" t="str">
        <f t="shared" ref="J82:J101" si="14">INDEX(TEMPLATE_DATA_POINT_FHD,B82,MATCH(TEMPLATE_SPHERE,TEMPLATE_SPHERE_LIST_FOR_NOTE,0))</f>
        <v>Объем тепловой энергии, отпускаемой потребителям по договорам, заключенным в рамках осуществления регулируемых видов деятельности, определенном в том числе</v>
      </c>
      <c r="K82" s="933" t="str">
        <f t="shared" ref="K82:K101" si="15">INDEX(TEMPLATE_NOTE_POINT_FHD,B82,MATCH(TEMPLATE_SPHERE,TEMPLATE_SPHERE_LIST_FOR_NOTE,0))</f>
        <v>Указывается общий объем тепловой энергии, отпускаемой потребителям._x000D_
Регулируемыми организациями указывается информация, включая отдельно сведения об определенном по приборам учета объеме тепловой энергии, отпускаемой потребителям по договорам, максимальный объем потребления тепловой энергии объектов которых составляет менее чем 0,2 Гкал/ч</v>
      </c>
      <c r="L82" s="773" t="str">
        <f t="shared" ref="L82:L101" si="16">IF(I82=0,"",I82)</f>
        <v>10</v>
      </c>
      <c r="M82" s="773" t="str">
        <f t="shared" ref="M82:M101" si="17">IF(J82=0,"",J82)</f>
        <v>Объем тепловой энергии, отпускаемой потребителям по договорам, заключенным в рамках осуществления регулируемых видов деятельности, определенном в том числе</v>
      </c>
      <c r="N82" s="773" t="str">
        <f t="shared" ref="N82:N101" si="18">IF(K82=0,"",K82)</f>
        <v>Указывается общий объем тепловой энергии, отпускаемой потребителям._x000D_
Регулируемыми организациями указывается информация, включая отдельно сведения об определенном по приборам учета объеме тепловой энергии, отпускаемой потребителям по договорам, максимальный объем потребления тепловой энергии объектов которых составляет менее чем 0,2 Гкал/ч</v>
      </c>
      <c r="O82" s="885" t="s">
        <v>150</v>
      </c>
      <c r="P82" s="885"/>
      <c r="Q82" s="885"/>
      <c r="R82" s="885"/>
      <c r="S82" s="885"/>
      <c r="T82" s="772" t="s">
        <v>2186</v>
      </c>
      <c r="U82" s="772"/>
      <c r="V82" s="772"/>
      <c r="W82" s="772"/>
      <c r="X82" s="772"/>
      <c r="Y82" s="928"/>
      <c r="Z82" s="775" t="s">
        <v>2187</v>
      </c>
      <c r="AA82" s="778"/>
      <c r="AB82" s="775"/>
      <c r="AC82" s="775"/>
      <c r="AD82" s="775"/>
    </row>
    <row r="83" spans="1:30" ht="9" customHeight="1">
      <c r="A83" s="774"/>
      <c r="B83" s="827">
        <v>66</v>
      </c>
      <c r="C83" s="772"/>
      <c r="D83" s="895"/>
      <c r="E83" s="772"/>
      <c r="F83" s="772"/>
      <c r="G83" s="772"/>
      <c r="H83" s="819"/>
      <c r="I83" s="933" t="str">
        <f t="shared" si="13"/>
        <v>10.1</v>
      </c>
      <c r="J83" s="933" t="str">
        <f t="shared" si="14"/>
        <v xml:space="preserve">По приборам учёта </v>
      </c>
      <c r="K83" s="933">
        <f t="shared" si="15"/>
        <v>0</v>
      </c>
      <c r="L83" s="773" t="str">
        <f t="shared" si="16"/>
        <v>10.1</v>
      </c>
      <c r="M83" s="773" t="str">
        <f t="shared" si="17"/>
        <v xml:space="preserve">По приборам учёта </v>
      </c>
      <c r="N83" s="773" t="str">
        <f t="shared" si="18"/>
        <v/>
      </c>
      <c r="O83" s="885" t="s">
        <v>2075</v>
      </c>
      <c r="P83" s="885"/>
      <c r="Q83" s="885"/>
      <c r="R83" s="885"/>
      <c r="S83" s="885"/>
      <c r="T83" s="772" t="s">
        <v>2188</v>
      </c>
      <c r="U83" s="772"/>
      <c r="V83" s="772"/>
      <c r="W83" s="772"/>
      <c r="X83" s="772"/>
      <c r="Y83" s="928"/>
      <c r="Z83" s="775"/>
      <c r="AA83" s="778"/>
      <c r="AB83" s="775"/>
      <c r="AC83" s="775"/>
      <c r="AD83" s="775"/>
    </row>
    <row r="84" spans="1:30" ht="54" customHeight="1">
      <c r="A84" s="774"/>
      <c r="B84" s="827">
        <v>67</v>
      </c>
      <c r="C84" s="772"/>
      <c r="D84" s="895"/>
      <c r="E84" s="772"/>
      <c r="F84" s="772"/>
      <c r="G84" s="772"/>
      <c r="H84" s="819"/>
      <c r="I84" s="933" t="str">
        <f t="shared" si="13"/>
        <v>10.1.1</v>
      </c>
      <c r="J84" s="933" t="str">
        <f t="shared" si="14"/>
        <v>Определенный по приборам учета объем тепловой энергии, отпускаемой по договорам потребителям, максимальный объем потребления тепловой энергии объектов которых составляет менее чем 0,2 Гкал</v>
      </c>
      <c r="K84" s="933">
        <f t="shared" si="15"/>
        <v>0</v>
      </c>
      <c r="L84" s="773" t="str">
        <f t="shared" si="16"/>
        <v>10.1.1</v>
      </c>
      <c r="M84" s="773" t="str">
        <f t="shared" si="17"/>
        <v>Определенный по приборам учета объем тепловой энергии, отпускаемой по договорам потребителям, максимальный объем потребления тепловой энергии объектов которых составляет менее чем 0,2 Гкал</v>
      </c>
      <c r="N84" s="773" t="str">
        <f t="shared" si="18"/>
        <v/>
      </c>
      <c r="O84" s="885" t="s">
        <v>2189</v>
      </c>
      <c r="P84" s="885"/>
      <c r="Q84" s="885"/>
      <c r="R84" s="885"/>
      <c r="S84" s="885"/>
      <c r="T84" s="772" t="s">
        <v>2190</v>
      </c>
      <c r="U84" s="772"/>
      <c r="V84" s="772"/>
      <c r="W84" s="772"/>
      <c r="X84" s="772"/>
      <c r="Y84" s="928"/>
      <c r="Z84" s="775"/>
      <c r="AA84" s="778"/>
      <c r="AB84" s="775"/>
      <c r="AC84" s="775"/>
      <c r="AD84" s="775"/>
    </row>
    <row r="85" spans="1:30" ht="9" customHeight="1">
      <c r="A85" s="774"/>
      <c r="B85" s="827">
        <v>68</v>
      </c>
      <c r="C85" s="772"/>
      <c r="D85" s="895"/>
      <c r="E85" s="772"/>
      <c r="F85" s="772"/>
      <c r="G85" s="772"/>
      <c r="H85" s="819"/>
      <c r="I85" s="933" t="str">
        <f t="shared" si="13"/>
        <v>10.2</v>
      </c>
      <c r="J85" s="933" t="str">
        <f t="shared" si="14"/>
        <v>Расчётным путём</v>
      </c>
      <c r="K85" s="933">
        <f t="shared" si="15"/>
        <v>0</v>
      </c>
      <c r="L85" s="773" t="str">
        <f t="shared" si="16"/>
        <v>10.2</v>
      </c>
      <c r="M85" s="773" t="str">
        <f t="shared" si="17"/>
        <v>Расчётным путём</v>
      </c>
      <c r="N85" s="773" t="str">
        <f t="shared" si="18"/>
        <v/>
      </c>
      <c r="O85" s="885" t="s">
        <v>2079</v>
      </c>
      <c r="P85" s="885"/>
      <c r="Q85" s="885"/>
      <c r="R85" s="885"/>
      <c r="S85" s="885"/>
      <c r="T85" s="772" t="s">
        <v>2191</v>
      </c>
      <c r="U85" s="772"/>
      <c r="V85" s="772"/>
      <c r="W85" s="772"/>
      <c r="X85" s="772"/>
      <c r="Y85" s="928"/>
      <c r="Z85" s="775"/>
      <c r="AA85" s="778"/>
      <c r="AB85" s="775"/>
      <c r="AC85" s="775"/>
      <c r="AD85" s="775"/>
    </row>
    <row r="86" spans="1:30" ht="27" customHeight="1">
      <c r="A86" s="774"/>
      <c r="B86" s="827">
        <v>69</v>
      </c>
      <c r="C86" s="772"/>
      <c r="D86" s="895"/>
      <c r="E86" s="772"/>
      <c r="F86" s="772"/>
      <c r="G86" s="772"/>
      <c r="H86" s="819"/>
      <c r="I86" s="933" t="str">
        <f t="shared" si="13"/>
        <v>10.3</v>
      </c>
      <c r="J86" s="933" t="str">
        <f t="shared" si="14"/>
        <v>По нормативам потребления коммунальных услуг и нормативам потребления коммунальных ресурсов</v>
      </c>
      <c r="K86" s="933">
        <f t="shared" si="15"/>
        <v>0</v>
      </c>
      <c r="L86" s="773" t="str">
        <f t="shared" si="16"/>
        <v>10.3</v>
      </c>
      <c r="M86" s="773" t="str">
        <f t="shared" si="17"/>
        <v>По нормативам потребления коммунальных услуг и нормативам потребления коммунальных ресурсов</v>
      </c>
      <c r="N86" s="773" t="str">
        <f t="shared" si="18"/>
        <v/>
      </c>
      <c r="O86" s="885" t="s">
        <v>2192</v>
      </c>
      <c r="P86" s="885"/>
      <c r="Q86" s="885"/>
      <c r="R86" s="885"/>
      <c r="S86" s="885"/>
      <c r="T86" s="772" t="s">
        <v>2193</v>
      </c>
      <c r="U86" s="772"/>
      <c r="V86" s="772"/>
      <c r="W86" s="772"/>
      <c r="X86" s="772"/>
      <c r="Y86" s="928"/>
      <c r="Z86" s="775"/>
      <c r="AA86" s="778"/>
      <c r="AB86" s="775"/>
      <c r="AC86" s="775"/>
      <c r="AD86" s="775"/>
    </row>
    <row r="87" spans="1:30" ht="36" customHeight="1">
      <c r="A87" s="774"/>
      <c r="B87" s="827">
        <v>70</v>
      </c>
      <c r="C87" s="772" t="s">
        <v>2194</v>
      </c>
      <c r="D87" s="895"/>
      <c r="E87" s="772"/>
      <c r="F87" s="772"/>
      <c r="G87" s="772"/>
      <c r="H87" s="819"/>
      <c r="I87" s="933" t="str">
        <f t="shared" si="13"/>
        <v>11</v>
      </c>
      <c r="J87" s="933" t="str">
        <f t="shared" si="14"/>
        <v>Нормативы технологических потерь при передаче тепловой энергии, теплоносителя по тепловым сетям, утвержденные уполномоченным органом</v>
      </c>
      <c r="K87" s="933">
        <f t="shared" si="15"/>
        <v>0</v>
      </c>
      <c r="L87" s="773" t="str">
        <f t="shared" si="16"/>
        <v>11</v>
      </c>
      <c r="M87" s="773" t="str">
        <f t="shared" si="17"/>
        <v>Нормативы технологических потерь при передаче тепловой энергии, теплоносителя по тепловым сетям, утвержденные уполномоченным органом</v>
      </c>
      <c r="N87" s="773" t="str">
        <f t="shared" si="18"/>
        <v/>
      </c>
      <c r="O87" s="885" t="s">
        <v>151</v>
      </c>
      <c r="P87" s="885"/>
      <c r="Q87" s="885"/>
      <c r="R87" s="885"/>
      <c r="S87" s="885"/>
      <c r="T87" s="772" t="s">
        <v>2195</v>
      </c>
      <c r="U87" s="772"/>
      <c r="V87" s="772"/>
      <c r="W87" s="772"/>
      <c r="X87" s="772"/>
      <c r="Y87" s="928"/>
      <c r="Z87" s="775"/>
      <c r="AA87" s="778"/>
      <c r="AB87" s="775"/>
      <c r="AC87" s="775"/>
      <c r="AD87" s="775"/>
    </row>
    <row r="88" spans="1:30" ht="18" customHeight="1">
      <c r="A88" s="774"/>
      <c r="B88" s="827">
        <v>71</v>
      </c>
      <c r="C88" s="772" t="s">
        <v>2196</v>
      </c>
      <c r="D88" s="895"/>
      <c r="E88" s="772"/>
      <c r="F88" s="772"/>
      <c r="G88" s="772"/>
      <c r="H88" s="819"/>
      <c r="I88" s="933" t="str">
        <f t="shared" si="13"/>
        <v>12</v>
      </c>
      <c r="J88" s="933" t="str">
        <f t="shared" si="14"/>
        <v>Фактический объем потерь при передаче тепловой энергии</v>
      </c>
      <c r="K88" s="933">
        <f t="shared" si="15"/>
        <v>0</v>
      </c>
      <c r="L88" s="773" t="str">
        <f t="shared" si="16"/>
        <v>12</v>
      </c>
      <c r="M88" s="773" t="str">
        <f t="shared" si="17"/>
        <v>Фактический объем потерь при передаче тепловой энергии</v>
      </c>
      <c r="N88" s="773" t="str">
        <f t="shared" si="18"/>
        <v/>
      </c>
      <c r="O88" s="885" t="s">
        <v>152</v>
      </c>
      <c r="P88" s="885"/>
      <c r="Q88" s="885"/>
      <c r="R88" s="885"/>
      <c r="S88" s="885"/>
      <c r="T88" s="772" t="s">
        <v>665</v>
      </c>
      <c r="U88" s="772"/>
      <c r="V88" s="772"/>
      <c r="W88" s="772"/>
      <c r="X88" s="772"/>
      <c r="Y88" s="928"/>
      <c r="Z88" s="775"/>
      <c r="AA88" s="778"/>
      <c r="AB88" s="775"/>
      <c r="AC88" s="775"/>
      <c r="AD88" s="775"/>
    </row>
    <row r="89" spans="1:30" ht="18" customHeight="1">
      <c r="A89" s="774"/>
      <c r="B89" s="827">
        <v>72</v>
      </c>
      <c r="C89" s="772" t="s">
        <v>2197</v>
      </c>
      <c r="D89" s="895" t="s">
        <v>2194</v>
      </c>
      <c r="E89" s="772" t="s">
        <v>2194</v>
      </c>
      <c r="F89" s="772" t="s">
        <v>2160</v>
      </c>
      <c r="G89" s="772"/>
      <c r="H89" s="819"/>
      <c r="I89" s="933" t="str">
        <f t="shared" si="13"/>
        <v>13</v>
      </c>
      <c r="J89" s="933" t="str">
        <f t="shared" si="14"/>
        <v>Среднесписочная численность основного производственного персонала</v>
      </c>
      <c r="K89" s="933">
        <f t="shared" si="15"/>
        <v>0</v>
      </c>
      <c r="L89" s="773" t="str">
        <f t="shared" si="16"/>
        <v>13</v>
      </c>
      <c r="M89" s="773" t="str">
        <f t="shared" si="17"/>
        <v>Среднесписочная численность основного производственного персонала</v>
      </c>
      <c r="N89" s="773" t="str">
        <f t="shared" si="18"/>
        <v/>
      </c>
      <c r="O89" s="885" t="s">
        <v>153</v>
      </c>
      <c r="P89" s="885" t="s">
        <v>152</v>
      </c>
      <c r="Q89" s="885" t="s">
        <v>152</v>
      </c>
      <c r="R89" s="885" t="s">
        <v>150</v>
      </c>
      <c r="S89" s="885"/>
      <c r="T89" s="772" t="s">
        <v>673</v>
      </c>
      <c r="U89" s="772" t="s">
        <v>673</v>
      </c>
      <c r="V89" s="772" t="s">
        <v>673</v>
      </c>
      <c r="W89" s="772" t="s">
        <v>673</v>
      </c>
      <c r="X89" s="772"/>
      <c r="Y89" s="928"/>
      <c r="Z89" s="775"/>
      <c r="AA89" s="778"/>
      <c r="AB89" s="775"/>
      <c r="AC89" s="775"/>
      <c r="AD89" s="775"/>
    </row>
    <row r="90" spans="1:30" ht="27" customHeight="1">
      <c r="A90" s="774"/>
      <c r="B90" s="827">
        <v>73</v>
      </c>
      <c r="C90" s="772" t="s">
        <v>2198</v>
      </c>
      <c r="D90" s="895"/>
      <c r="E90" s="772"/>
      <c r="F90" s="772"/>
      <c r="G90" s="772"/>
      <c r="H90" s="819"/>
      <c r="I90" s="933" t="str">
        <f t="shared" si="13"/>
        <v>14</v>
      </c>
      <c r="J90" s="933" t="str">
        <f t="shared" si="14"/>
        <v>Среднесписочная численность административно-управленческого персонала</v>
      </c>
      <c r="K90" s="933">
        <f t="shared" si="15"/>
        <v>0</v>
      </c>
      <c r="L90" s="773" t="str">
        <f t="shared" si="16"/>
        <v>14</v>
      </c>
      <c r="M90" s="773" t="str">
        <f t="shared" si="17"/>
        <v>Среднесписочная численность административно-управленческого персонала</v>
      </c>
      <c r="N90" s="773" t="str">
        <f t="shared" si="18"/>
        <v/>
      </c>
      <c r="O90" s="885" t="s">
        <v>154</v>
      </c>
      <c r="P90" s="885"/>
      <c r="Q90" s="885"/>
      <c r="R90" s="885"/>
      <c r="S90" s="885"/>
      <c r="T90" s="772" t="s">
        <v>675</v>
      </c>
      <c r="U90" s="772"/>
      <c r="V90" s="772"/>
      <c r="W90" s="772"/>
      <c r="X90" s="772"/>
      <c r="Y90" s="928"/>
      <c r="Z90" s="775"/>
      <c r="AA90" s="778"/>
      <c r="AB90" s="775"/>
      <c r="AC90" s="775"/>
      <c r="AD90" s="775"/>
    </row>
    <row r="91" spans="1:30" ht="18" customHeight="1">
      <c r="A91" s="774"/>
      <c r="B91" s="827">
        <v>74</v>
      </c>
      <c r="C91" s="772"/>
      <c r="D91" s="895" t="s">
        <v>2196</v>
      </c>
      <c r="E91" s="772" t="s">
        <v>2196</v>
      </c>
      <c r="F91" s="772"/>
      <c r="G91" s="772"/>
      <c r="H91" s="819"/>
      <c r="I91" s="933">
        <f t="shared" si="13"/>
        <v>0</v>
      </c>
      <c r="J91" s="933">
        <f t="shared" si="14"/>
        <v>0</v>
      </c>
      <c r="K91" s="933">
        <f t="shared" si="15"/>
        <v>0</v>
      </c>
      <c r="L91" s="773" t="str">
        <f t="shared" si="16"/>
        <v/>
      </c>
      <c r="M91" s="773" t="str">
        <f t="shared" si="17"/>
        <v/>
      </c>
      <c r="N91" s="773" t="str">
        <f t="shared" si="18"/>
        <v/>
      </c>
      <c r="O91" s="885"/>
      <c r="P91" s="885" t="s">
        <v>153</v>
      </c>
      <c r="Q91" s="885" t="s">
        <v>153</v>
      </c>
      <c r="R91" s="885"/>
      <c r="S91" s="885"/>
      <c r="T91" s="772"/>
      <c r="U91" s="772" t="s">
        <v>2199</v>
      </c>
      <c r="V91" s="772" t="s">
        <v>2199</v>
      </c>
      <c r="W91" s="772"/>
      <c r="X91" s="772"/>
      <c r="Y91" s="928"/>
      <c r="Z91" s="775"/>
      <c r="AA91" s="778"/>
      <c r="AB91" s="775"/>
      <c r="AC91" s="775"/>
      <c r="AD91" s="775"/>
    </row>
    <row r="92" spans="1:30" ht="27" customHeight="1">
      <c r="A92" s="774"/>
      <c r="B92" s="827">
        <v>75</v>
      </c>
      <c r="C92" s="772"/>
      <c r="D92" s="895" t="s">
        <v>2197</v>
      </c>
      <c r="E92" s="772"/>
      <c r="F92" s="772"/>
      <c r="G92" s="772"/>
      <c r="H92" s="819"/>
      <c r="I92" s="933">
        <f t="shared" si="13"/>
        <v>0</v>
      </c>
      <c r="J92" s="933">
        <f t="shared" si="14"/>
        <v>0</v>
      </c>
      <c r="K92" s="933">
        <f t="shared" si="15"/>
        <v>0</v>
      </c>
      <c r="L92" s="773" t="str">
        <f t="shared" si="16"/>
        <v/>
      </c>
      <c r="M92" s="773" t="str">
        <f t="shared" si="17"/>
        <v/>
      </c>
      <c r="N92" s="773" t="str">
        <f t="shared" si="18"/>
        <v/>
      </c>
      <c r="O92" s="885"/>
      <c r="P92" s="885" t="s">
        <v>154</v>
      </c>
      <c r="Q92" s="885"/>
      <c r="R92" s="885"/>
      <c r="S92" s="885"/>
      <c r="T92" s="772"/>
      <c r="U92" s="772" t="s">
        <v>2200</v>
      </c>
      <c r="V92" s="772"/>
      <c r="W92" s="772"/>
      <c r="X92" s="772"/>
      <c r="Y92" s="928"/>
      <c r="Z92" s="775"/>
      <c r="AA92" s="778" t="s">
        <v>2201</v>
      </c>
      <c r="AB92" s="775"/>
      <c r="AC92" s="775"/>
      <c r="AD92" s="775"/>
    </row>
    <row r="93" spans="1:30" ht="27" customHeight="1">
      <c r="A93" s="774"/>
      <c r="B93" s="827">
        <v>76</v>
      </c>
      <c r="C93" s="772"/>
      <c r="D93" s="895"/>
      <c r="E93" s="772"/>
      <c r="F93" s="772"/>
      <c r="G93" s="772"/>
      <c r="H93" s="819"/>
      <c r="I93" s="933">
        <f t="shared" si="13"/>
        <v>0</v>
      </c>
      <c r="J93" s="933">
        <f t="shared" si="14"/>
        <v>0</v>
      </c>
      <c r="K93" s="933">
        <f t="shared" si="15"/>
        <v>0</v>
      </c>
      <c r="L93" s="773" t="str">
        <f t="shared" si="16"/>
        <v/>
      </c>
      <c r="M93" s="773" t="str">
        <f t="shared" si="17"/>
        <v/>
      </c>
      <c r="N93" s="773" t="str">
        <f t="shared" si="18"/>
        <v/>
      </c>
      <c r="O93" s="885"/>
      <c r="P93" s="885" t="s">
        <v>2107</v>
      </c>
      <c r="Q93" s="885"/>
      <c r="R93" s="885"/>
      <c r="S93" s="885"/>
      <c r="T93" s="772"/>
      <c r="U93" s="772" t="s">
        <v>2202</v>
      </c>
      <c r="V93" s="772"/>
      <c r="W93" s="772"/>
      <c r="X93" s="772"/>
      <c r="Y93" s="928"/>
      <c r="Z93" s="775"/>
      <c r="AA93" s="778" t="s">
        <v>2203</v>
      </c>
      <c r="AB93" s="775"/>
      <c r="AC93" s="775"/>
      <c r="AD93" s="775"/>
    </row>
    <row r="94" spans="1:30" ht="45" customHeight="1">
      <c r="A94" s="774"/>
      <c r="B94" s="827">
        <v>77</v>
      </c>
      <c r="C94" s="772"/>
      <c r="D94" s="895" t="s">
        <v>2198</v>
      </c>
      <c r="E94" s="772"/>
      <c r="F94" s="772"/>
      <c r="G94" s="772"/>
      <c r="H94" s="819"/>
      <c r="I94" s="933">
        <f t="shared" si="13"/>
        <v>0</v>
      </c>
      <c r="J94" s="933">
        <f t="shared" si="14"/>
        <v>0</v>
      </c>
      <c r="K94" s="933">
        <f t="shared" si="15"/>
        <v>0</v>
      </c>
      <c r="L94" s="773" t="str">
        <f t="shared" si="16"/>
        <v/>
      </c>
      <c r="M94" s="773" t="str">
        <f t="shared" si="17"/>
        <v/>
      </c>
      <c r="N94" s="773" t="str">
        <f t="shared" si="18"/>
        <v/>
      </c>
      <c r="O94" s="885"/>
      <c r="P94" s="885" t="s">
        <v>1462</v>
      </c>
      <c r="Q94" s="885"/>
      <c r="R94" s="885"/>
      <c r="S94" s="885"/>
      <c r="T94" s="772"/>
      <c r="U94" s="772" t="s">
        <v>2204</v>
      </c>
      <c r="V94" s="772"/>
      <c r="W94" s="772"/>
      <c r="X94" s="772"/>
      <c r="Y94" s="928"/>
      <c r="Z94" s="775"/>
      <c r="AA94" s="778" t="s">
        <v>2205</v>
      </c>
      <c r="AB94" s="775"/>
      <c r="AC94" s="775"/>
      <c r="AD94" s="775"/>
    </row>
    <row r="95" spans="1:30" ht="99" customHeight="1">
      <c r="A95" s="774"/>
      <c r="B95" s="827">
        <v>78</v>
      </c>
      <c r="C95" s="772" t="s">
        <v>2206</v>
      </c>
      <c r="D95" s="895"/>
      <c r="E95" s="772"/>
      <c r="F95" s="772"/>
      <c r="G95" s="772"/>
      <c r="H95" s="819"/>
      <c r="I95" s="933" t="str">
        <f t="shared" si="13"/>
        <v>15</v>
      </c>
      <c r="J95" s="933" t="str">
        <f t="shared" si="14"/>
        <v>Норматив удельного расхода условного топлива при производстве тепловой энергии источниками тепловой энергии, используемыми для осуществления регулируемых видов деятельности, в целом по регулируемой организации или с распределением по источникам тепловой энергии (в зависимости от показателя (показателей), утвержденного уполномоченным органом)</v>
      </c>
      <c r="K95" s="933">
        <f t="shared" si="15"/>
        <v>0</v>
      </c>
      <c r="L95" s="773" t="str">
        <f t="shared" si="16"/>
        <v>15</v>
      </c>
      <c r="M95" s="773" t="str">
        <f t="shared" si="17"/>
        <v>Норматив удельного расхода условного топлива при производстве тепловой энергии источниками тепловой энергии, используемыми для осуществления регулируемых видов деятельности, в целом по регулируемой организации или с распределением по источникам тепловой энергии (в зависимости от показателя (показателей), утвержденного уполномоченным органом)</v>
      </c>
      <c r="N95" s="773" t="str">
        <f t="shared" si="18"/>
        <v/>
      </c>
      <c r="O95" s="885" t="s">
        <v>1462</v>
      </c>
      <c r="P95" s="885"/>
      <c r="Q95" s="885"/>
      <c r="R95" s="885"/>
      <c r="S95" s="885"/>
      <c r="T95" s="772" t="s">
        <v>2207</v>
      </c>
      <c r="U95" s="772"/>
      <c r="V95" s="772"/>
      <c r="W95" s="772"/>
      <c r="X95" s="772"/>
      <c r="Y95" s="928"/>
      <c r="Z95" s="775"/>
      <c r="AA95" s="778"/>
      <c r="AB95" s="775"/>
      <c r="AC95" s="775"/>
      <c r="AD95" s="775"/>
    </row>
    <row r="96" spans="1:30" ht="99" customHeight="1">
      <c r="A96" s="774"/>
      <c r="B96" s="827">
        <v>79</v>
      </c>
      <c r="C96" s="772" t="s">
        <v>1149</v>
      </c>
      <c r="D96" s="895"/>
      <c r="E96" s="772"/>
      <c r="F96" s="772"/>
      <c r="G96" s="772"/>
      <c r="H96" s="819"/>
      <c r="I96" s="933" t="str">
        <f t="shared" si="13"/>
        <v>16</v>
      </c>
      <c r="J96" s="933" t="str">
        <f t="shared" si="14"/>
        <v>Фактический удельный расход условного топлива при производстве тепловой энергии источниками тепловой энергии, используемыми для осуществления регулируемых видов деятельности, в целом по регулируемой организации или с распределением по источникам тепловой энергии (в зависимости от показателя (показателей), утвержденного уполномоченным органом)</v>
      </c>
      <c r="K96" s="933" t="str">
        <f t="shared" si="15"/>
        <v>Регулируемыми организациями указывается информация с распределением по источникам тепловой энергии, используемым для осуществления регулируемых видов деятельности.</v>
      </c>
      <c r="L96" s="773" t="str">
        <f t="shared" si="16"/>
        <v>16</v>
      </c>
      <c r="M96" s="773" t="str">
        <f t="shared" si="17"/>
        <v>Фактический удельный расход условного топлива при производстве тепловой энергии источниками тепловой энергии, используемыми для осуществления регулируемых видов деятельности, в целом по регулируемой организации или с распределением по источникам тепловой энергии (в зависимости от показателя (показателей), утвержденного уполномоченным органом)</v>
      </c>
      <c r="N96" s="773" t="str">
        <f t="shared" si="18"/>
        <v>Регулируемыми организациями указывается информация с распределением по источникам тепловой энергии, используемым для осуществления регулируемых видов деятельности.</v>
      </c>
      <c r="O96" s="885" t="s">
        <v>1468</v>
      </c>
      <c r="P96" s="885"/>
      <c r="Q96" s="885"/>
      <c r="R96" s="885"/>
      <c r="S96" s="885"/>
      <c r="T96" s="772" t="s">
        <v>2208</v>
      </c>
      <c r="U96" s="772"/>
      <c r="V96" s="772"/>
      <c r="W96" s="772"/>
      <c r="X96" s="772"/>
      <c r="Y96" s="928"/>
      <c r="Z96" s="775" t="s">
        <v>2209</v>
      </c>
      <c r="AA96" s="778"/>
      <c r="AB96" s="775"/>
      <c r="AC96" s="775"/>
      <c r="AD96" s="775"/>
    </row>
    <row r="97" spans="1:30" ht="63" customHeight="1">
      <c r="A97" s="774"/>
      <c r="B97" s="827">
        <v>80</v>
      </c>
      <c r="C97" s="772" t="s">
        <v>2210</v>
      </c>
      <c r="D97" s="895"/>
      <c r="E97" s="772"/>
      <c r="F97" s="772"/>
      <c r="G97" s="772"/>
      <c r="H97" s="819"/>
      <c r="I97" s="933" t="str">
        <f t="shared" si="13"/>
        <v>17</v>
      </c>
      <c r="J97" s="933" t="str">
        <f t="shared" si="14"/>
        <v>Удельный расход электрической энергии на производство (передачу) тепловой энергии на единицу тепловой энергии, отпускаемой потребителям по договорам, заключенным в рамках осуществления регулируемых видов деятельности</v>
      </c>
      <c r="K97" s="933" t="str">
        <f t="shared" si="15"/>
        <v>Регулируемыми организациями указывается информация с по договорам, заключенным в рамках осуществления регулируемой деятельности.</v>
      </c>
      <c r="L97" s="773" t="str">
        <f t="shared" si="16"/>
        <v>17</v>
      </c>
      <c r="M97" s="773" t="str">
        <f t="shared" si="17"/>
        <v>Удельный расход электрической энергии на производство (передачу) тепловой энергии на единицу тепловой энергии, отпускаемой потребителям по договорам, заключенным в рамках осуществления регулируемых видов деятельности</v>
      </c>
      <c r="N97" s="773" t="str">
        <f t="shared" si="18"/>
        <v>Регулируемыми организациями указывается информация с по договорам, заключенным в рамках осуществления регулируемой деятельности.</v>
      </c>
      <c r="O97" s="885" t="s">
        <v>1480</v>
      </c>
      <c r="P97" s="885"/>
      <c r="Q97" s="885"/>
      <c r="R97" s="885"/>
      <c r="S97" s="885"/>
      <c r="T97" s="772" t="s">
        <v>2211</v>
      </c>
      <c r="U97" s="772"/>
      <c r="V97" s="772"/>
      <c r="W97" s="772"/>
      <c r="X97" s="772"/>
      <c r="Y97" s="928"/>
      <c r="Z97" s="775" t="s">
        <v>2212</v>
      </c>
      <c r="AA97" s="778"/>
      <c r="AB97" s="775"/>
      <c r="AC97" s="775"/>
      <c r="AD97" s="775"/>
    </row>
    <row r="98" spans="1:30" ht="63" customHeight="1">
      <c r="A98" s="774"/>
      <c r="B98" s="827">
        <v>81</v>
      </c>
      <c r="C98" s="772" t="s">
        <v>2213</v>
      </c>
      <c r="D98" s="895"/>
      <c r="E98" s="772"/>
      <c r="F98" s="772"/>
      <c r="G98" s="772"/>
      <c r="H98" s="819"/>
      <c r="I98" s="933" t="str">
        <f t="shared" si="13"/>
        <v>18</v>
      </c>
      <c r="J98" s="933" t="str">
        <f t="shared" si="14"/>
        <v>Удельный расход холодной воды на производство (передачу) тепловой энергии на единицу тепловой энергии, отпускаемой потребителям по договорам, заключенным в рамках осуществления регулируемых видов деятельности</v>
      </c>
      <c r="K98" s="933" t="str">
        <f t="shared" si="15"/>
        <v>Регулируемыми организациями указывается информация с по договорам, заключенным в рамках осуществления регулируемой деятельности.</v>
      </c>
      <c r="L98" s="773" t="str">
        <f t="shared" si="16"/>
        <v>18</v>
      </c>
      <c r="M98" s="773" t="str">
        <f t="shared" si="17"/>
        <v>Удельный расход холодной воды на производство (передачу) тепловой энергии на единицу тепловой энергии, отпускаемой потребителям по договорам, заключенным в рамках осуществления регулируемых видов деятельности</v>
      </c>
      <c r="N98" s="773" t="str">
        <f t="shared" si="18"/>
        <v>Регулируемыми организациями указывается информация с по договорам, заключенным в рамках осуществления регулируемой деятельности.</v>
      </c>
      <c r="O98" s="885" t="s">
        <v>1494</v>
      </c>
      <c r="P98" s="885"/>
      <c r="Q98" s="885"/>
      <c r="R98" s="885"/>
      <c r="S98" s="885"/>
      <c r="T98" s="772" t="s">
        <v>2214</v>
      </c>
      <c r="U98" s="772"/>
      <c r="V98" s="772"/>
      <c r="W98" s="772"/>
      <c r="X98" s="772"/>
      <c r="Y98" s="928"/>
      <c r="Z98" s="775" t="s">
        <v>2212</v>
      </c>
      <c r="AA98" s="778"/>
      <c r="AB98" s="775"/>
      <c r="AC98" s="775"/>
      <c r="AD98" s="775"/>
    </row>
    <row r="99" spans="1:30" ht="90" customHeight="1">
      <c r="A99" s="774"/>
      <c r="B99" s="827">
        <v>82</v>
      </c>
      <c r="C99" s="772" t="s">
        <v>2215</v>
      </c>
      <c r="D99" s="895"/>
      <c r="E99" s="772"/>
      <c r="F99" s="772"/>
      <c r="G99" s="772"/>
      <c r="H99" s="819"/>
      <c r="I99" s="933" t="str">
        <f t="shared" si="13"/>
        <v>19</v>
      </c>
      <c r="J99" s="933" t="str">
        <f t="shared" si="14"/>
        <v>Информация о показателях технико-экономического состояния систем теплоснабжения (за исключением теплопотребляющих установок потребителей тепловой энергии, теплоносителя, а также источников тепловой энергии, функционирующих в режиме комбинированной выработки электрической и тепловой энергии), в т.ч.:</v>
      </c>
      <c r="K99" s="933" t="str">
        <f t="shared" si="15"/>
        <v>Указывается ссылка на документ, предварительно загруженный в хранилище файлов ФГИС ЕИАС.</v>
      </c>
      <c r="L99" s="773" t="str">
        <f t="shared" si="16"/>
        <v>19</v>
      </c>
      <c r="M99" s="773" t="str">
        <f t="shared" si="17"/>
        <v>Информация о показателях технико-экономического состояния систем теплоснабжения (за исключением теплопотребляющих установок потребителей тепловой энергии, теплоносителя, а также источников тепловой энергии, функционирующих в режиме комбинированной выработки электрической и тепловой энергии), в т.ч.:</v>
      </c>
      <c r="N99" s="773" t="str">
        <f t="shared" si="18"/>
        <v>Указывается ссылка на документ, предварительно загруженный в хранилище файлов ФГИС ЕИАС.</v>
      </c>
      <c r="O99" s="885" t="s">
        <v>1506</v>
      </c>
      <c r="P99" s="885"/>
      <c r="Q99" s="885"/>
      <c r="R99" s="885"/>
      <c r="S99" s="885"/>
      <c r="T99" s="772" t="s">
        <v>2216</v>
      </c>
      <c r="U99" s="772"/>
      <c r="V99" s="772"/>
      <c r="W99" s="772"/>
      <c r="X99" s="772"/>
      <c r="Y99" s="928"/>
      <c r="Z99" s="775" t="s">
        <v>630</v>
      </c>
      <c r="AA99" s="778"/>
      <c r="AB99" s="775"/>
      <c r="AC99" s="775"/>
      <c r="AD99" s="775"/>
    </row>
    <row r="100" spans="1:30" ht="27" customHeight="1">
      <c r="A100" s="774"/>
      <c r="B100" s="827">
        <v>83</v>
      </c>
      <c r="C100" s="772"/>
      <c r="D100" s="895"/>
      <c r="E100" s="772"/>
      <c r="F100" s="772"/>
      <c r="G100" s="772"/>
      <c r="H100" s="819"/>
      <c r="I100" s="933" t="str">
        <f t="shared" si="13"/>
        <v>19.1</v>
      </c>
      <c r="J100" s="933" t="str">
        <f t="shared" si="14"/>
        <v>Информация о показателях физического износа объектов теплоснабжения</v>
      </c>
      <c r="K100" s="933" t="str">
        <f t="shared" si="15"/>
        <v>Указывается ссылка на документ, предварительно загруженный в хранилище файлов ФГИС ЕИАС.</v>
      </c>
      <c r="L100" s="773" t="str">
        <f t="shared" si="16"/>
        <v>19.1</v>
      </c>
      <c r="M100" s="773" t="str">
        <f t="shared" si="17"/>
        <v>Информация о показателях физического износа объектов теплоснабжения</v>
      </c>
      <c r="N100" s="773" t="str">
        <f t="shared" si="18"/>
        <v>Указывается ссылка на документ, предварительно загруженный в хранилище файлов ФГИС ЕИАС.</v>
      </c>
      <c r="O100" s="885" t="s">
        <v>2217</v>
      </c>
      <c r="P100" s="885"/>
      <c r="Q100" s="885"/>
      <c r="R100" s="885"/>
      <c r="S100" s="885"/>
      <c r="T100" s="772" t="s">
        <v>2218</v>
      </c>
      <c r="U100" s="772"/>
      <c r="V100" s="772"/>
      <c r="W100" s="772"/>
      <c r="X100" s="772"/>
      <c r="Y100" s="928"/>
      <c r="Z100" s="775" t="s">
        <v>630</v>
      </c>
      <c r="AA100" s="778"/>
      <c r="AB100" s="775"/>
      <c r="AC100" s="775"/>
      <c r="AD100" s="775"/>
    </row>
    <row r="101" spans="1:30" ht="27" customHeight="1">
      <c r="A101" s="774"/>
      <c r="B101" s="827">
        <v>84</v>
      </c>
      <c r="C101" s="772"/>
      <c r="D101" s="895"/>
      <c r="E101" s="772"/>
      <c r="F101" s="772"/>
      <c r="G101" s="772"/>
      <c r="H101" s="819"/>
      <c r="I101" s="933" t="str">
        <f t="shared" si="13"/>
        <v>19.2</v>
      </c>
      <c r="J101" s="933" t="str">
        <f t="shared" si="14"/>
        <v>Информация о показателях энергетической эффективности объектов теплоснабжения</v>
      </c>
      <c r="K101" s="933" t="str">
        <f t="shared" si="15"/>
        <v>Указывается ссылка на документ, предварительно загруженный в хранилище файлов ФГИС ЕИАС.</v>
      </c>
      <c r="L101" s="773" t="str">
        <f t="shared" si="16"/>
        <v>19.2</v>
      </c>
      <c r="M101" s="773" t="str">
        <f t="shared" si="17"/>
        <v>Информация о показателях энергетической эффективности объектов теплоснабжения</v>
      </c>
      <c r="N101" s="773" t="str">
        <f t="shared" si="18"/>
        <v>Указывается ссылка на документ, предварительно загруженный в хранилище файлов ФГИС ЕИАС.</v>
      </c>
      <c r="O101" s="885" t="s">
        <v>2219</v>
      </c>
      <c r="P101" s="885"/>
      <c r="Q101" s="885"/>
      <c r="R101" s="885"/>
      <c r="S101" s="885"/>
      <c r="T101" s="772" t="s">
        <v>2220</v>
      </c>
      <c r="U101" s="772"/>
      <c r="V101" s="772"/>
      <c r="W101" s="772"/>
      <c r="X101" s="772"/>
      <c r="Y101" s="928"/>
      <c r="Z101" s="775" t="s">
        <v>630</v>
      </c>
      <c r="AA101" s="778"/>
      <c r="AB101" s="775"/>
      <c r="AC101" s="775"/>
      <c r="AD101" s="775"/>
    </row>
    <row r="102" spans="1:30" ht="9" customHeight="1">
      <c r="A102" s="774"/>
      <c r="B102" s="774"/>
      <c r="C102" s="772"/>
      <c r="D102" s="772"/>
      <c r="E102" s="772"/>
      <c r="F102" s="772"/>
      <c r="G102" s="772"/>
      <c r="H102" s="819"/>
      <c r="I102" s="819"/>
      <c r="J102" s="819"/>
      <c r="K102" s="819"/>
      <c r="L102" s="819"/>
      <c r="M102" s="772"/>
      <c r="N102" s="818"/>
      <c r="O102" s="885"/>
      <c r="P102" s="885"/>
      <c r="Q102" s="885"/>
      <c r="R102" s="885"/>
      <c r="S102" s="772"/>
      <c r="T102" s="772"/>
      <c r="U102" s="772"/>
      <c r="V102" s="772"/>
      <c r="W102" s="772"/>
      <c r="X102" s="772"/>
      <c r="Y102" s="928"/>
      <c r="Z102" s="775"/>
      <c r="AA102" s="778"/>
      <c r="AB102" s="775"/>
      <c r="AC102" s="775"/>
      <c r="AD102" s="775"/>
    </row>
    <row r="103" spans="1:30" ht="9" customHeight="1">
      <c r="A103" s="774"/>
      <c r="B103" s="774"/>
      <c r="C103" s="772"/>
      <c r="D103" s="772"/>
      <c r="E103" s="772"/>
      <c r="F103" s="772"/>
      <c r="G103" s="772"/>
      <c r="H103" s="819"/>
      <c r="I103" s="819"/>
      <c r="J103" s="819"/>
      <c r="K103" s="819"/>
      <c r="L103" s="819"/>
      <c r="M103" s="772"/>
      <c r="N103" s="818"/>
      <c r="O103" s="885"/>
      <c r="P103" s="885"/>
      <c r="Q103" s="885"/>
      <c r="R103" s="885"/>
      <c r="S103" s="772"/>
      <c r="T103" s="772"/>
      <c r="U103" s="772"/>
      <c r="V103" s="772"/>
      <c r="W103" s="772"/>
      <c r="X103" s="772"/>
      <c r="Y103" s="928"/>
      <c r="Z103" s="775"/>
      <c r="AA103" s="778"/>
      <c r="AB103" s="775"/>
      <c r="AC103" s="775"/>
      <c r="AD103" s="775"/>
    </row>
    <row r="104" spans="1:30" ht="9" customHeight="1">
      <c r="A104" s="774"/>
      <c r="B104" s="774"/>
      <c r="C104" s="772"/>
      <c r="D104" s="772"/>
      <c r="E104" s="772"/>
      <c r="F104" s="772"/>
      <c r="G104" s="772"/>
      <c r="H104" s="819"/>
      <c r="I104" s="819"/>
      <c r="J104" s="819"/>
      <c r="K104" s="819"/>
      <c r="L104" s="819"/>
      <c r="M104" s="772"/>
      <c r="N104" s="818"/>
      <c r="O104" s="885"/>
      <c r="P104" s="885"/>
      <c r="Q104" s="885"/>
      <c r="R104" s="885"/>
      <c r="S104" s="772"/>
      <c r="T104" s="772"/>
      <c r="U104" s="772"/>
      <c r="V104" s="772"/>
      <c r="W104" s="772"/>
      <c r="X104" s="772"/>
      <c r="Y104" s="928"/>
      <c r="Z104" s="775"/>
      <c r="AA104" s="778"/>
      <c r="AB104" s="775"/>
      <c r="AC104" s="775"/>
      <c r="AD104" s="775"/>
    </row>
    <row r="105" spans="1:30" ht="9" customHeight="1">
      <c r="A105" s="774"/>
      <c r="B105" s="774"/>
      <c r="C105" s="772"/>
      <c r="D105" s="772"/>
      <c r="E105" s="772"/>
      <c r="F105" s="772"/>
      <c r="G105" s="772"/>
      <c r="H105" s="819"/>
      <c r="I105" s="819"/>
      <c r="J105" s="819"/>
      <c r="K105" s="819"/>
      <c r="L105" s="819"/>
      <c r="M105" s="772"/>
      <c r="N105" s="818"/>
      <c r="O105" s="885"/>
      <c r="P105" s="885"/>
      <c r="Q105" s="885"/>
      <c r="R105" s="885"/>
      <c r="S105" s="772"/>
      <c r="T105" s="772"/>
      <c r="U105" s="772"/>
      <c r="V105" s="772"/>
      <c r="W105" s="772"/>
      <c r="X105" s="772"/>
      <c r="Y105" s="928"/>
      <c r="Z105" s="775"/>
      <c r="AA105" s="778"/>
      <c r="AB105" s="775"/>
      <c r="AC105" s="775"/>
      <c r="AD105" s="775"/>
    </row>
    <row r="106" spans="1:30" ht="9" customHeight="1">
      <c r="A106" s="774"/>
      <c r="B106" s="774"/>
      <c r="C106" s="772"/>
      <c r="D106" s="772"/>
      <c r="E106" s="772"/>
      <c r="F106" s="772"/>
      <c r="G106" s="772"/>
      <c r="H106" s="819"/>
      <c r="I106" s="819"/>
      <c r="J106" s="819"/>
      <c r="K106" s="819"/>
      <c r="L106" s="819"/>
      <c r="M106" s="772"/>
      <c r="N106" s="818"/>
      <c r="O106" s="885"/>
      <c r="P106" s="885"/>
      <c r="Q106" s="885"/>
      <c r="R106" s="885"/>
      <c r="S106" s="772"/>
      <c r="T106" s="772"/>
      <c r="U106" s="772"/>
      <c r="V106" s="772"/>
      <c r="W106" s="772"/>
      <c r="X106" s="772"/>
      <c r="Y106" s="928"/>
      <c r="Z106" s="775"/>
      <c r="AA106" s="778"/>
      <c r="AB106" s="775"/>
      <c r="AC106" s="775"/>
      <c r="AD106" s="775"/>
    </row>
    <row r="107" spans="1:30" ht="9" customHeight="1">
      <c r="A107" s="774"/>
      <c r="B107" s="774"/>
      <c r="C107" s="772"/>
      <c r="D107" s="772"/>
      <c r="E107" s="772"/>
      <c r="F107" s="772"/>
      <c r="G107" s="772"/>
      <c r="H107" s="819"/>
      <c r="I107" s="819"/>
      <c r="J107" s="819"/>
      <c r="K107" s="819"/>
      <c r="L107" s="819"/>
      <c r="M107" s="772"/>
      <c r="N107" s="818"/>
      <c r="O107" s="885"/>
      <c r="P107" s="885"/>
      <c r="Q107" s="885"/>
      <c r="R107" s="885"/>
      <c r="S107" s="772"/>
      <c r="T107" s="772"/>
      <c r="U107" s="772"/>
      <c r="V107" s="772"/>
      <c r="W107" s="772"/>
      <c r="X107" s="772"/>
      <c r="Y107" s="928"/>
      <c r="Z107" s="775"/>
      <c r="AA107" s="778"/>
      <c r="AB107" s="775"/>
      <c r="AC107" s="775"/>
      <c r="AD107" s="775"/>
    </row>
    <row r="108" spans="1:30" ht="9" customHeight="1">
      <c r="A108" s="774"/>
      <c r="B108" s="774"/>
      <c r="C108" s="772"/>
      <c r="D108" s="772"/>
      <c r="E108" s="772"/>
      <c r="F108" s="772"/>
      <c r="G108" s="772"/>
      <c r="H108" s="819"/>
      <c r="I108" s="819"/>
      <c r="J108" s="819"/>
      <c r="K108" s="819"/>
      <c r="L108" s="819"/>
      <c r="M108" s="772"/>
      <c r="N108" s="818"/>
      <c r="O108" s="885"/>
      <c r="P108" s="885"/>
      <c r="Q108" s="885"/>
      <c r="R108" s="885"/>
      <c r="S108" s="772"/>
      <c r="T108" s="772"/>
      <c r="U108" s="772"/>
      <c r="V108" s="772"/>
      <c r="W108" s="772"/>
      <c r="X108" s="772"/>
      <c r="Y108" s="928"/>
      <c r="Z108" s="775"/>
      <c r="AA108" s="778"/>
      <c r="AB108" s="775"/>
      <c r="AC108" s="775"/>
      <c r="AD108" s="775"/>
    </row>
    <row r="109" spans="1:30" ht="9" customHeight="1">
      <c r="A109" s="774"/>
      <c r="B109" s="774"/>
      <c r="C109" s="772"/>
      <c r="D109" s="772"/>
      <c r="E109" s="772"/>
      <c r="F109" s="772"/>
      <c r="G109" s="772"/>
      <c r="H109" s="819"/>
      <c r="I109" s="819"/>
      <c r="J109" s="819"/>
      <c r="K109" s="819"/>
      <c r="L109" s="819"/>
      <c r="M109" s="772"/>
      <c r="N109" s="818"/>
      <c r="O109" s="885"/>
      <c r="P109" s="885"/>
      <c r="Q109" s="885"/>
      <c r="R109" s="885"/>
      <c r="S109" s="772"/>
      <c r="T109" s="772"/>
      <c r="U109" s="772"/>
      <c r="V109" s="772"/>
      <c r="W109" s="772"/>
      <c r="X109" s="772"/>
      <c r="Y109" s="928"/>
      <c r="Z109" s="775"/>
      <c r="AA109" s="778"/>
      <c r="AB109" s="775"/>
      <c r="AC109" s="775"/>
      <c r="AD109" s="775"/>
    </row>
    <row r="110" spans="1:30" ht="9" customHeight="1">
      <c r="A110" s="774"/>
      <c r="B110" s="774"/>
      <c r="C110" s="772"/>
      <c r="D110" s="772"/>
      <c r="E110" s="772"/>
      <c r="F110" s="772"/>
      <c r="G110" s="772"/>
      <c r="H110" s="819"/>
      <c r="I110" s="819"/>
      <c r="J110" s="819"/>
      <c r="K110" s="819"/>
      <c r="L110" s="819"/>
      <c r="M110" s="772"/>
      <c r="N110" s="818"/>
      <c r="O110" s="885"/>
      <c r="P110" s="885"/>
      <c r="Q110" s="885"/>
      <c r="R110" s="885"/>
      <c r="S110" s="772"/>
      <c r="T110" s="772"/>
      <c r="U110" s="772"/>
      <c r="V110" s="772"/>
      <c r="W110" s="772"/>
      <c r="X110" s="772"/>
      <c r="Y110" s="928"/>
      <c r="Z110" s="775"/>
      <c r="AA110" s="778"/>
      <c r="AB110" s="775"/>
      <c r="AC110" s="775"/>
      <c r="AD110" s="775"/>
    </row>
    <row r="111" spans="1:30" ht="9" customHeight="1">
      <c r="A111" s="774"/>
      <c r="B111" s="774"/>
      <c r="C111" s="772"/>
      <c r="D111" s="772"/>
      <c r="E111" s="772"/>
      <c r="F111" s="772"/>
      <c r="G111" s="772"/>
      <c r="H111" s="819"/>
      <c r="I111" s="819"/>
      <c r="J111" s="819"/>
      <c r="K111" s="819"/>
      <c r="L111" s="819"/>
      <c r="M111" s="772"/>
      <c r="N111" s="818"/>
      <c r="O111" s="885"/>
      <c r="P111" s="885"/>
      <c r="Q111" s="885"/>
      <c r="R111" s="885"/>
      <c r="S111" s="772"/>
      <c r="T111" s="772"/>
      <c r="U111" s="772"/>
      <c r="V111" s="772"/>
      <c r="W111" s="772"/>
      <c r="X111" s="772"/>
      <c r="Y111" s="928"/>
      <c r="Z111" s="775"/>
      <c r="AA111" s="778"/>
      <c r="AB111" s="775"/>
      <c r="AC111" s="775"/>
      <c r="AD111" s="775"/>
    </row>
    <row r="112" spans="1:30" ht="9" customHeight="1">
      <c r="A112" s="774"/>
      <c r="B112" s="774"/>
      <c r="C112" s="772"/>
      <c r="D112" s="772"/>
      <c r="E112" s="772"/>
      <c r="F112" s="772"/>
      <c r="G112" s="772"/>
      <c r="H112" s="819"/>
      <c r="I112" s="819"/>
      <c r="J112" s="819"/>
      <c r="K112" s="819"/>
      <c r="L112" s="819"/>
      <c r="M112" s="772"/>
      <c r="N112" s="818"/>
      <c r="O112" s="885"/>
      <c r="P112" s="885"/>
      <c r="Q112" s="885"/>
      <c r="R112" s="885"/>
      <c r="S112" s="772"/>
      <c r="T112" s="772"/>
      <c r="U112" s="772"/>
      <c r="V112" s="772"/>
      <c r="W112" s="772"/>
      <c r="X112" s="772"/>
      <c r="Y112" s="928"/>
      <c r="Z112" s="775"/>
      <c r="AA112" s="778"/>
      <c r="AB112" s="775"/>
      <c r="AC112" s="775"/>
      <c r="AD112" s="775"/>
    </row>
    <row r="113" spans="1:30" ht="9" customHeight="1">
      <c r="A113" s="774"/>
      <c r="B113" s="774"/>
      <c r="C113" s="772"/>
      <c r="D113" s="772"/>
      <c r="E113" s="772"/>
      <c r="F113" s="772"/>
      <c r="G113" s="772"/>
      <c r="H113" s="819"/>
      <c r="I113" s="819"/>
      <c r="J113" s="819"/>
      <c r="K113" s="819"/>
      <c r="L113" s="819"/>
      <c r="M113" s="772"/>
      <c r="N113" s="818"/>
      <c r="O113" s="885"/>
      <c r="P113" s="885"/>
      <c r="Q113" s="885"/>
      <c r="R113" s="885"/>
      <c r="S113" s="772"/>
      <c r="T113" s="772"/>
      <c r="U113" s="772"/>
      <c r="V113" s="772"/>
      <c r="W113" s="772"/>
      <c r="X113" s="772"/>
      <c r="Y113" s="928"/>
      <c r="Z113" s="775"/>
      <c r="AA113" s="778"/>
      <c r="AB113" s="775"/>
      <c r="AC113" s="775"/>
      <c r="AD113" s="775"/>
    </row>
    <row r="114" spans="1:30" ht="9" customHeight="1">
      <c r="A114" s="774"/>
      <c r="B114" s="774"/>
      <c r="C114" s="772"/>
      <c r="D114" s="772"/>
      <c r="E114" s="772"/>
      <c r="F114" s="772"/>
      <c r="G114" s="772"/>
      <c r="H114" s="819"/>
      <c r="I114" s="819"/>
      <c r="J114" s="819"/>
      <c r="K114" s="819"/>
      <c r="L114" s="819"/>
      <c r="M114" s="772"/>
      <c r="N114" s="818"/>
      <c r="O114" s="885"/>
      <c r="P114" s="885"/>
      <c r="Q114" s="885"/>
      <c r="R114" s="885"/>
      <c r="S114" s="772"/>
      <c r="T114" s="772"/>
      <c r="U114" s="772"/>
      <c r="V114" s="772"/>
      <c r="W114" s="772"/>
      <c r="X114" s="772"/>
      <c r="Y114" s="928"/>
      <c r="Z114" s="775"/>
      <c r="AA114" s="778"/>
      <c r="AB114" s="775"/>
      <c r="AC114" s="775"/>
      <c r="AD114" s="775"/>
    </row>
    <row r="115" spans="1:30" ht="9" customHeight="1">
      <c r="A115" s="774"/>
      <c r="B115" s="774"/>
      <c r="C115" s="772"/>
      <c r="D115" s="772"/>
      <c r="E115" s="772"/>
      <c r="F115" s="772"/>
      <c r="G115" s="772"/>
      <c r="H115" s="819"/>
      <c r="I115" s="819"/>
      <c r="J115" s="819"/>
      <c r="K115" s="819"/>
      <c r="L115" s="819"/>
      <c r="M115" s="772"/>
      <c r="N115" s="818"/>
      <c r="O115" s="885"/>
      <c r="P115" s="885"/>
      <c r="Q115" s="885"/>
      <c r="R115" s="885"/>
      <c r="S115" s="772"/>
      <c r="T115" s="772"/>
      <c r="U115" s="772"/>
      <c r="V115" s="772"/>
      <c r="W115" s="772"/>
      <c r="X115" s="772"/>
      <c r="Y115" s="928"/>
      <c r="Z115" s="775"/>
      <c r="AA115" s="778"/>
      <c r="AB115" s="775"/>
      <c r="AC115" s="775"/>
      <c r="AD115" s="775"/>
    </row>
    <row r="116" spans="1:30" ht="9" customHeight="1">
      <c r="A116" s="774"/>
      <c r="B116" s="774"/>
      <c r="C116" s="772"/>
      <c r="D116" s="772"/>
      <c r="E116" s="772"/>
      <c r="F116" s="772"/>
      <c r="G116" s="772"/>
      <c r="H116" s="819"/>
      <c r="I116" s="819"/>
      <c r="J116" s="819"/>
      <c r="K116" s="819"/>
      <c r="L116" s="819"/>
      <c r="M116" s="772"/>
      <c r="N116" s="818"/>
      <c r="O116" s="885"/>
      <c r="P116" s="885"/>
      <c r="Q116" s="885"/>
      <c r="R116" s="885"/>
      <c r="S116" s="772"/>
      <c r="T116" s="772"/>
      <c r="U116" s="772"/>
      <c r="V116" s="772"/>
      <c r="W116" s="772"/>
      <c r="X116" s="772"/>
      <c r="Y116" s="928"/>
      <c r="Z116" s="775"/>
      <c r="AA116" s="778"/>
      <c r="AB116" s="775"/>
      <c r="AC116" s="775"/>
      <c r="AD116" s="775"/>
    </row>
    <row r="117" spans="1:30" ht="9" customHeight="1">
      <c r="A117" s="774"/>
      <c r="B117" s="774"/>
      <c r="C117" s="772"/>
      <c r="D117" s="772"/>
      <c r="E117" s="772"/>
      <c r="F117" s="772"/>
      <c r="G117" s="772"/>
      <c r="H117" s="819"/>
      <c r="I117" s="819"/>
      <c r="J117" s="819"/>
      <c r="K117" s="819"/>
      <c r="L117" s="819"/>
      <c r="M117" s="772"/>
      <c r="N117" s="818"/>
      <c r="O117" s="885"/>
      <c r="P117" s="885"/>
      <c r="Q117" s="885"/>
      <c r="R117" s="885"/>
      <c r="S117" s="772"/>
      <c r="T117" s="772"/>
      <c r="U117" s="772"/>
      <c r="V117" s="772"/>
      <c r="W117" s="772"/>
      <c r="X117" s="772"/>
      <c r="Y117" s="928"/>
      <c r="Z117" s="775"/>
      <c r="AA117" s="778"/>
      <c r="AB117" s="775"/>
      <c r="AC117" s="775"/>
      <c r="AD117" s="775"/>
    </row>
    <row r="118" spans="1:30" ht="9" customHeight="1">
      <c r="A118" s="774"/>
      <c r="B118" s="774"/>
      <c r="C118" s="772"/>
      <c r="D118" s="772"/>
      <c r="E118" s="772"/>
      <c r="F118" s="772"/>
      <c r="G118" s="772"/>
      <c r="H118" s="819"/>
      <c r="I118" s="819"/>
      <c r="J118" s="819"/>
      <c r="K118" s="819"/>
      <c r="L118" s="819"/>
      <c r="M118" s="772"/>
      <c r="N118" s="818"/>
      <c r="O118" s="885"/>
      <c r="P118" s="885"/>
      <c r="Q118" s="885"/>
      <c r="R118" s="885"/>
      <c r="S118" s="772"/>
      <c r="T118" s="772"/>
      <c r="U118" s="772"/>
      <c r="V118" s="772"/>
      <c r="W118" s="772"/>
      <c r="X118" s="772"/>
      <c r="Y118" s="928"/>
      <c r="Z118" s="775"/>
      <c r="AA118" s="778"/>
      <c r="AB118" s="775"/>
      <c r="AC118" s="775"/>
      <c r="AD118" s="775"/>
    </row>
    <row r="119" spans="1:30" ht="9" customHeight="1">
      <c r="A119" s="774"/>
      <c r="B119" s="774"/>
      <c r="C119" s="772"/>
      <c r="D119" s="772"/>
      <c r="E119" s="772"/>
      <c r="F119" s="772"/>
      <c r="G119" s="772"/>
      <c r="H119" s="819"/>
      <c r="I119" s="819"/>
      <c r="J119" s="819"/>
      <c r="K119" s="819"/>
      <c r="L119" s="819"/>
      <c r="M119" s="772"/>
      <c r="N119" s="818"/>
      <c r="O119" s="885"/>
      <c r="P119" s="885"/>
      <c r="Q119" s="885"/>
      <c r="R119" s="885"/>
      <c r="S119" s="772"/>
      <c r="T119" s="772"/>
      <c r="U119" s="772"/>
      <c r="V119" s="772"/>
      <c r="W119" s="772"/>
      <c r="X119" s="772"/>
      <c r="Y119" s="928"/>
      <c r="Z119" s="775"/>
      <c r="AA119" s="778"/>
      <c r="AB119" s="775"/>
      <c r="AC119" s="775"/>
      <c r="AD119" s="775"/>
    </row>
    <row r="120" spans="1:30" ht="9" customHeight="1">
      <c r="A120" s="774"/>
      <c r="B120" s="774"/>
      <c r="C120" s="772"/>
      <c r="D120" s="772"/>
      <c r="E120" s="772"/>
      <c r="F120" s="772"/>
      <c r="G120" s="772"/>
      <c r="H120" s="819"/>
      <c r="I120" s="819"/>
      <c r="J120" s="819"/>
      <c r="K120" s="819"/>
      <c r="L120" s="819"/>
      <c r="M120" s="772"/>
      <c r="N120" s="818"/>
      <c r="O120" s="885"/>
      <c r="P120" s="885"/>
      <c r="Q120" s="885"/>
      <c r="R120" s="885"/>
      <c r="S120" s="772"/>
      <c r="T120" s="772"/>
      <c r="U120" s="772"/>
      <c r="V120" s="772"/>
      <c r="W120" s="772"/>
      <c r="X120" s="772"/>
      <c r="Y120" s="928"/>
      <c r="Z120" s="775"/>
      <c r="AA120" s="778"/>
      <c r="AB120" s="775"/>
      <c r="AC120" s="775"/>
      <c r="AD120" s="775"/>
    </row>
    <row r="121" spans="1:30" ht="9" customHeight="1">
      <c r="A121" s="774"/>
      <c r="B121" s="774"/>
      <c r="C121" s="772"/>
      <c r="D121" s="772"/>
      <c r="E121" s="772"/>
      <c r="F121" s="772"/>
      <c r="G121" s="772"/>
      <c r="H121" s="819"/>
      <c r="I121" s="819"/>
      <c r="J121" s="819"/>
      <c r="K121" s="819"/>
      <c r="L121" s="819"/>
      <c r="M121" s="772"/>
      <c r="N121" s="818"/>
      <c r="O121" s="885"/>
      <c r="P121" s="885"/>
      <c r="Q121" s="885"/>
      <c r="R121" s="885"/>
      <c r="S121" s="772"/>
      <c r="T121" s="772"/>
      <c r="U121" s="772"/>
      <c r="V121" s="772"/>
      <c r="W121" s="772"/>
      <c r="X121" s="772"/>
      <c r="Y121" s="928"/>
      <c r="Z121" s="775"/>
      <c r="AA121" s="778"/>
      <c r="AB121" s="775"/>
      <c r="AC121" s="775"/>
      <c r="AD121" s="775"/>
    </row>
    <row r="122" spans="1:30" ht="9" customHeight="1">
      <c r="A122" s="774"/>
      <c r="B122" s="774"/>
      <c r="C122" s="772"/>
      <c r="D122" s="772"/>
      <c r="E122" s="772"/>
      <c r="F122" s="772"/>
      <c r="G122" s="772"/>
      <c r="H122" s="819"/>
      <c r="I122" s="819"/>
      <c r="J122" s="819"/>
      <c r="K122" s="819"/>
      <c r="L122" s="819"/>
      <c r="M122" s="772"/>
      <c r="N122" s="818"/>
      <c r="O122" s="885"/>
      <c r="P122" s="885"/>
      <c r="Q122" s="885"/>
      <c r="R122" s="885"/>
      <c r="S122" s="772"/>
      <c r="T122" s="772"/>
      <c r="U122" s="772"/>
      <c r="V122" s="772"/>
      <c r="W122" s="772"/>
      <c r="X122" s="772"/>
      <c r="Y122" s="928"/>
      <c r="Z122" s="775"/>
      <c r="AA122" s="778"/>
      <c r="AB122" s="775"/>
      <c r="AC122" s="775"/>
      <c r="AD122" s="775"/>
    </row>
    <row r="123" spans="1:30" ht="9" customHeight="1">
      <c r="A123" s="774"/>
      <c r="B123" s="774"/>
      <c r="C123" s="772"/>
      <c r="D123" s="772"/>
      <c r="E123" s="772"/>
      <c r="F123" s="772"/>
      <c r="G123" s="772"/>
      <c r="H123" s="819"/>
      <c r="I123" s="819"/>
      <c r="J123" s="819"/>
      <c r="K123" s="819"/>
      <c r="L123" s="819"/>
      <c r="M123" s="772"/>
      <c r="N123" s="818"/>
      <c r="O123" s="885"/>
      <c r="P123" s="885"/>
      <c r="Q123" s="885"/>
      <c r="R123" s="885"/>
      <c r="S123" s="772"/>
      <c r="T123" s="772"/>
      <c r="U123" s="772"/>
      <c r="V123" s="772"/>
      <c r="W123" s="772"/>
      <c r="X123" s="772"/>
      <c r="Y123" s="928"/>
      <c r="Z123" s="775"/>
      <c r="AA123" s="778"/>
      <c r="AB123" s="775"/>
      <c r="AC123" s="775"/>
      <c r="AD123" s="775"/>
    </row>
    <row r="124" spans="1:30" ht="9" customHeight="1">
      <c r="A124" s="774"/>
      <c r="B124" s="774"/>
      <c r="C124" s="772"/>
      <c r="D124" s="772"/>
      <c r="E124" s="772"/>
      <c r="F124" s="772"/>
      <c r="G124" s="772"/>
      <c r="H124" s="819"/>
      <c r="I124" s="819"/>
      <c r="J124" s="819"/>
      <c r="K124" s="819"/>
      <c r="L124" s="819"/>
      <c r="M124" s="772"/>
      <c r="N124" s="818"/>
      <c r="O124" s="885"/>
      <c r="P124" s="885"/>
      <c r="Q124" s="885"/>
      <c r="R124" s="885"/>
      <c r="S124" s="772"/>
      <c r="T124" s="772"/>
      <c r="U124" s="772"/>
      <c r="V124" s="772"/>
      <c r="W124" s="772"/>
      <c r="X124" s="772"/>
      <c r="Y124" s="928"/>
      <c r="Z124" s="775"/>
      <c r="AA124" s="778"/>
      <c r="AB124" s="775"/>
      <c r="AC124" s="775"/>
      <c r="AD124" s="775"/>
    </row>
    <row r="125" spans="1:30" ht="9" customHeight="1">
      <c r="A125" s="774"/>
      <c r="B125" s="774"/>
      <c r="C125" s="772"/>
      <c r="D125" s="772"/>
      <c r="E125" s="772"/>
      <c r="F125" s="772"/>
      <c r="G125" s="772"/>
      <c r="H125" s="819"/>
      <c r="I125" s="819"/>
      <c r="J125" s="819"/>
      <c r="K125" s="819"/>
      <c r="L125" s="819"/>
      <c r="M125" s="772"/>
      <c r="N125" s="818"/>
      <c r="O125" s="885"/>
      <c r="P125" s="885"/>
      <c r="Q125" s="885"/>
      <c r="R125" s="885"/>
      <c r="S125" s="772"/>
      <c r="T125" s="772"/>
      <c r="U125" s="772"/>
      <c r="V125" s="772"/>
      <c r="W125" s="772"/>
      <c r="X125" s="772"/>
      <c r="Y125" s="928"/>
      <c r="Z125" s="775"/>
      <c r="AA125" s="778"/>
      <c r="AB125" s="775"/>
      <c r="AC125" s="775"/>
      <c r="AD125" s="775"/>
    </row>
    <row r="126" spans="1:30" ht="9" customHeight="1">
      <c r="A126" s="774"/>
      <c r="B126" s="774"/>
      <c r="C126" s="772"/>
      <c r="D126" s="772"/>
      <c r="E126" s="772"/>
      <c r="F126" s="772"/>
      <c r="G126" s="772"/>
      <c r="H126" s="819"/>
      <c r="I126" s="819"/>
      <c r="J126" s="819"/>
      <c r="K126" s="819"/>
      <c r="L126" s="819"/>
      <c r="M126" s="772"/>
      <c r="N126" s="818"/>
      <c r="O126" s="885"/>
      <c r="P126" s="885"/>
      <c r="Q126" s="885"/>
      <c r="R126" s="885"/>
      <c r="S126" s="772"/>
      <c r="T126" s="772"/>
      <c r="U126" s="772"/>
      <c r="V126" s="772"/>
      <c r="W126" s="772"/>
      <c r="X126" s="772"/>
      <c r="Y126" s="928"/>
      <c r="Z126" s="775"/>
      <c r="AA126" s="778"/>
      <c r="AB126" s="775"/>
      <c r="AC126" s="775"/>
      <c r="AD126" s="775"/>
    </row>
    <row r="127" spans="1:30" ht="9" customHeight="1">
      <c r="A127" s="774"/>
      <c r="B127" s="774"/>
      <c r="C127" s="772"/>
      <c r="D127" s="772"/>
      <c r="E127" s="772"/>
      <c r="F127" s="772"/>
      <c r="G127" s="772"/>
      <c r="H127" s="819"/>
      <c r="I127" s="819"/>
      <c r="J127" s="819"/>
      <c r="K127" s="819"/>
      <c r="L127" s="819"/>
      <c r="M127" s="772"/>
      <c r="N127" s="818"/>
      <c r="O127" s="885"/>
      <c r="P127" s="885"/>
      <c r="Q127" s="885"/>
      <c r="R127" s="885"/>
      <c r="S127" s="772"/>
      <c r="T127" s="772"/>
      <c r="U127" s="772"/>
      <c r="V127" s="772"/>
      <c r="W127" s="772"/>
      <c r="X127" s="772"/>
      <c r="Y127" s="928"/>
      <c r="Z127" s="775"/>
      <c r="AA127" s="778"/>
      <c r="AB127" s="775"/>
      <c r="AC127" s="775"/>
      <c r="AD127" s="775"/>
    </row>
    <row r="128" spans="1:30" ht="9" customHeight="1">
      <c r="A128" s="774"/>
      <c r="B128" s="774"/>
      <c r="C128" s="772"/>
      <c r="D128" s="772"/>
      <c r="E128" s="772"/>
      <c r="F128" s="772"/>
      <c r="G128" s="772"/>
      <c r="H128" s="819"/>
      <c r="I128" s="819"/>
      <c r="J128" s="819"/>
      <c r="K128" s="819"/>
      <c r="L128" s="819"/>
      <c r="M128" s="772"/>
      <c r="N128" s="818"/>
      <c r="O128" s="885"/>
      <c r="P128" s="885"/>
      <c r="Q128" s="885"/>
      <c r="R128" s="885"/>
      <c r="S128" s="772"/>
      <c r="T128" s="772"/>
      <c r="U128" s="772"/>
      <c r="V128" s="772"/>
      <c r="W128" s="772"/>
      <c r="X128" s="772"/>
      <c r="Y128" s="928"/>
      <c r="Z128" s="775"/>
      <c r="AA128" s="778"/>
      <c r="AB128" s="775"/>
      <c r="AC128" s="775"/>
      <c r="AD128" s="775"/>
    </row>
    <row r="129" spans="1:30" ht="9" customHeight="1">
      <c r="A129" s="774"/>
      <c r="B129" s="774"/>
      <c r="C129" s="772"/>
      <c r="D129" s="772"/>
      <c r="E129" s="772"/>
      <c r="F129" s="772"/>
      <c r="G129" s="772"/>
      <c r="H129" s="819"/>
      <c r="I129" s="819"/>
      <c r="J129" s="819"/>
      <c r="K129" s="819"/>
      <c r="L129" s="819"/>
      <c r="M129" s="772"/>
      <c r="N129" s="818"/>
      <c r="O129" s="885"/>
      <c r="P129" s="885"/>
      <c r="Q129" s="885"/>
      <c r="R129" s="885"/>
      <c r="S129" s="772"/>
      <c r="T129" s="772"/>
      <c r="U129" s="772"/>
      <c r="V129" s="772"/>
      <c r="W129" s="772"/>
      <c r="X129" s="772"/>
      <c r="Y129" s="928"/>
      <c r="Z129" s="775"/>
      <c r="AA129" s="778"/>
      <c r="AB129" s="775"/>
      <c r="AC129" s="775"/>
      <c r="AD129" s="775"/>
    </row>
    <row r="130" spans="1:30" ht="9" customHeight="1">
      <c r="A130" s="774"/>
      <c r="B130" s="774"/>
      <c r="C130" s="772"/>
      <c r="D130" s="772"/>
      <c r="E130" s="772"/>
      <c r="F130" s="772"/>
      <c r="G130" s="772"/>
      <c r="H130" s="819"/>
      <c r="I130" s="819"/>
      <c r="J130" s="819"/>
      <c r="K130" s="819"/>
      <c r="L130" s="819"/>
      <c r="M130" s="772"/>
      <c r="N130" s="818"/>
      <c r="O130" s="887"/>
      <c r="P130" s="887"/>
      <c r="Q130" s="887"/>
      <c r="R130" s="887"/>
      <c r="S130" s="772"/>
      <c r="T130" s="772"/>
      <c r="U130" s="772"/>
      <c r="V130" s="772"/>
      <c r="W130" s="772"/>
      <c r="X130" s="772"/>
      <c r="Y130" s="928"/>
      <c r="Z130" s="775"/>
      <c r="AA130" s="778"/>
      <c r="AB130" s="775"/>
      <c r="AC130" s="775"/>
      <c r="AD130" s="775"/>
    </row>
    <row r="131" spans="1:30" ht="9" customHeight="1">
      <c r="A131" s="774"/>
      <c r="B131" s="774"/>
      <c r="C131" s="772"/>
      <c r="D131" s="772"/>
      <c r="E131" s="772"/>
      <c r="F131" s="772"/>
      <c r="G131" s="772"/>
      <c r="H131" s="819"/>
      <c r="I131" s="819"/>
      <c r="J131" s="819"/>
      <c r="K131" s="819"/>
      <c r="L131" s="819"/>
      <c r="M131" s="772"/>
      <c r="N131" s="818"/>
      <c r="O131" s="888"/>
      <c r="P131" s="888"/>
      <c r="Q131" s="888"/>
      <c r="R131" s="888"/>
      <c r="S131" s="772"/>
      <c r="T131" s="772"/>
      <c r="U131" s="772"/>
      <c r="V131" s="772"/>
      <c r="W131" s="772"/>
      <c r="X131" s="772"/>
      <c r="Y131" s="928"/>
      <c r="Z131" s="775"/>
      <c r="AA131" s="778"/>
      <c r="AB131" s="775"/>
      <c r="AC131" s="775"/>
      <c r="AD131" s="775"/>
    </row>
    <row r="132" spans="1:30" ht="9" customHeight="1">
      <c r="A132" s="774"/>
      <c r="B132" s="774"/>
      <c r="C132" s="772"/>
      <c r="D132" s="772"/>
      <c r="E132" s="772"/>
      <c r="F132" s="772"/>
      <c r="G132" s="772"/>
      <c r="H132" s="819"/>
      <c r="I132" s="819"/>
      <c r="J132" s="819"/>
      <c r="K132" s="819"/>
      <c r="L132" s="819"/>
      <c r="M132" s="772"/>
      <c r="N132" s="818"/>
      <c r="O132" s="887"/>
      <c r="P132" s="887"/>
      <c r="Q132" s="887"/>
      <c r="R132" s="887"/>
      <c r="S132" s="772"/>
      <c r="T132" s="772"/>
      <c r="U132" s="772"/>
      <c r="V132" s="772"/>
      <c r="W132" s="772"/>
      <c r="X132" s="772"/>
      <c r="Y132" s="928"/>
      <c r="Z132" s="775"/>
      <c r="AA132" s="778"/>
      <c r="AB132" s="775"/>
      <c r="AC132" s="775"/>
      <c r="AD132" s="775"/>
    </row>
    <row r="133" spans="1:30" ht="9" customHeight="1">
      <c r="A133" s="774"/>
      <c r="B133" s="774"/>
      <c r="C133" s="772"/>
      <c r="D133" s="772"/>
      <c r="E133" s="772"/>
      <c r="F133" s="772"/>
      <c r="G133" s="772"/>
      <c r="H133" s="819"/>
      <c r="I133" s="819"/>
      <c r="J133" s="819"/>
      <c r="K133" s="819"/>
      <c r="L133" s="819"/>
      <c r="M133" s="772"/>
      <c r="N133" s="818"/>
      <c r="O133" s="888"/>
      <c r="P133" s="888"/>
      <c r="Q133" s="888"/>
      <c r="R133" s="888"/>
      <c r="S133" s="772"/>
      <c r="T133" s="772"/>
      <c r="U133" s="772"/>
      <c r="V133" s="772"/>
      <c r="W133" s="772"/>
      <c r="X133" s="772"/>
      <c r="Y133" s="928"/>
      <c r="Z133" s="775"/>
      <c r="AA133" s="778"/>
      <c r="AB133" s="775"/>
      <c r="AC133" s="775"/>
      <c r="AD133" s="775"/>
    </row>
    <row r="134" spans="1:30" ht="9" customHeight="1">
      <c r="A134" s="774"/>
      <c r="B134" s="774"/>
      <c r="C134" s="772"/>
      <c r="D134" s="772"/>
      <c r="E134" s="772"/>
      <c r="F134" s="772"/>
      <c r="G134" s="772"/>
      <c r="H134" s="819"/>
      <c r="I134" s="819"/>
      <c r="J134" s="819"/>
      <c r="K134" s="819"/>
      <c r="L134" s="819"/>
      <c r="M134" s="772"/>
      <c r="N134" s="818"/>
      <c r="O134" s="885"/>
      <c r="P134" s="885"/>
      <c r="Q134" s="885"/>
      <c r="R134" s="885"/>
      <c r="S134" s="772"/>
      <c r="T134" s="772"/>
      <c r="U134" s="772"/>
      <c r="V134" s="772"/>
      <c r="W134" s="772"/>
      <c r="X134" s="772"/>
      <c r="Y134" s="928"/>
      <c r="Z134" s="775"/>
      <c r="AA134" s="778"/>
      <c r="AB134" s="775"/>
      <c r="AC134" s="775"/>
      <c r="AD134" s="775"/>
    </row>
    <row r="135" spans="1:30" ht="9" customHeight="1">
      <c r="A135" s="774"/>
      <c r="B135" s="774"/>
      <c r="C135" s="772"/>
      <c r="D135" s="772"/>
      <c r="E135" s="772"/>
      <c r="F135" s="772"/>
      <c r="G135" s="772"/>
      <c r="H135" s="819"/>
      <c r="I135" s="819"/>
      <c r="J135" s="819"/>
      <c r="K135" s="819"/>
      <c r="L135" s="819"/>
      <c r="M135" s="772"/>
      <c r="N135" s="818"/>
      <c r="O135" s="885"/>
      <c r="P135" s="885"/>
      <c r="Q135" s="885"/>
      <c r="R135" s="885"/>
      <c r="S135" s="772"/>
      <c r="T135" s="772"/>
      <c r="U135" s="772"/>
      <c r="V135" s="772"/>
      <c r="W135" s="772"/>
      <c r="X135" s="772"/>
      <c r="Y135" s="928"/>
      <c r="Z135" s="775"/>
      <c r="AA135" s="778"/>
      <c r="AB135" s="775"/>
      <c r="AC135" s="775"/>
      <c r="AD135" s="775"/>
    </row>
    <row r="136" spans="1:30" ht="9" customHeight="1">
      <c r="A136" s="774"/>
      <c r="B136" s="774"/>
      <c r="C136" s="772"/>
      <c r="D136" s="772"/>
      <c r="E136" s="772"/>
      <c r="F136" s="772"/>
      <c r="G136" s="772"/>
      <c r="H136" s="819"/>
      <c r="I136" s="819"/>
      <c r="J136" s="819"/>
      <c r="K136" s="819"/>
      <c r="L136" s="819"/>
      <c r="M136" s="772"/>
      <c r="N136" s="818"/>
      <c r="O136" s="885"/>
      <c r="P136" s="885"/>
      <c r="Q136" s="885"/>
      <c r="R136" s="885"/>
      <c r="S136" s="772"/>
      <c r="T136" s="772"/>
      <c r="U136" s="772"/>
      <c r="V136" s="772"/>
      <c r="W136" s="772"/>
      <c r="X136" s="772"/>
      <c r="Y136" s="928"/>
      <c r="Z136" s="775"/>
      <c r="AA136" s="778"/>
      <c r="AB136" s="775"/>
      <c r="AC136" s="775"/>
      <c r="AD136" s="775"/>
    </row>
    <row r="137" spans="1:30" ht="9" customHeight="1">
      <c r="A137" s="774"/>
      <c r="B137" s="774"/>
      <c r="C137" s="772"/>
      <c r="D137" s="772"/>
      <c r="E137" s="772"/>
      <c r="F137" s="772"/>
      <c r="G137" s="772"/>
      <c r="H137" s="819"/>
      <c r="I137" s="819"/>
      <c r="J137" s="819"/>
      <c r="K137" s="819"/>
      <c r="L137" s="819"/>
      <c r="M137" s="772"/>
      <c r="N137" s="818"/>
      <c r="O137" s="889"/>
      <c r="P137" s="889"/>
      <c r="Q137" s="889"/>
      <c r="R137" s="889"/>
      <c r="S137" s="772"/>
      <c r="T137" s="772"/>
      <c r="U137" s="772"/>
      <c r="V137" s="772"/>
      <c r="W137" s="772"/>
      <c r="X137" s="772"/>
      <c r="Y137" s="928"/>
      <c r="Z137" s="775"/>
      <c r="AA137" s="778"/>
      <c r="AB137" s="775"/>
      <c r="AC137" s="775"/>
      <c r="AD137" s="775"/>
    </row>
    <row r="138" spans="1:30" ht="9" customHeight="1">
      <c r="A138" s="774"/>
      <c r="B138" s="774"/>
      <c r="C138" s="772"/>
      <c r="D138" s="772"/>
      <c r="E138" s="772"/>
      <c r="F138" s="772"/>
      <c r="G138" s="772"/>
      <c r="H138" s="819"/>
      <c r="I138" s="819"/>
      <c r="J138" s="819"/>
      <c r="K138" s="819"/>
      <c r="L138" s="819"/>
      <c r="M138" s="772"/>
      <c r="N138" s="818"/>
      <c r="O138" s="886"/>
      <c r="P138" s="886"/>
      <c r="Q138" s="886"/>
      <c r="R138" s="886"/>
      <c r="S138" s="772"/>
      <c r="T138" s="772"/>
      <c r="U138" s="772"/>
      <c r="V138" s="772"/>
      <c r="W138" s="772"/>
      <c r="X138" s="772"/>
      <c r="Y138" s="928"/>
      <c r="Z138" s="775"/>
      <c r="AA138" s="778"/>
      <c r="AB138" s="775"/>
      <c r="AC138" s="775"/>
      <c r="AD138" s="775"/>
    </row>
    <row r="139" spans="1:30" ht="9" customHeight="1">
      <c r="A139" s="774"/>
      <c r="B139" s="774"/>
      <c r="C139" s="772"/>
      <c r="D139" s="772"/>
      <c r="E139" s="772"/>
      <c r="F139" s="772"/>
      <c r="G139" s="772"/>
      <c r="H139" s="819"/>
      <c r="I139" s="819"/>
      <c r="J139" s="819"/>
      <c r="K139" s="819"/>
      <c r="L139" s="819"/>
      <c r="M139" s="772"/>
      <c r="N139" s="818"/>
      <c r="O139" s="772"/>
      <c r="P139" s="772"/>
      <c r="Q139" s="772"/>
      <c r="R139" s="772"/>
      <c r="S139" s="772"/>
      <c r="T139" s="772"/>
      <c r="U139" s="772"/>
      <c r="V139" s="772"/>
      <c r="W139" s="772"/>
      <c r="X139" s="772"/>
      <c r="Y139" s="928"/>
      <c r="Z139" s="775"/>
      <c r="AA139" s="778"/>
      <c r="AB139" s="775"/>
      <c r="AC139" s="775"/>
      <c r="AD139" s="775"/>
    </row>
    <row r="140" spans="1:30" ht="9" customHeight="1">
      <c r="A140" s="774"/>
      <c r="B140" s="774"/>
      <c r="C140" s="772"/>
      <c r="D140" s="772"/>
      <c r="E140" s="772"/>
      <c r="F140" s="772"/>
      <c r="G140" s="772"/>
      <c r="H140" s="819"/>
      <c r="I140" s="819"/>
      <c r="J140" s="819"/>
      <c r="K140" s="819"/>
      <c r="L140" s="819"/>
      <c r="M140" s="772"/>
      <c r="N140" s="818"/>
      <c r="O140" s="772"/>
      <c r="P140" s="772"/>
      <c r="Q140" s="772"/>
      <c r="R140" s="772"/>
      <c r="S140" s="772"/>
      <c r="T140" s="772"/>
      <c r="U140" s="772"/>
      <c r="V140" s="772"/>
      <c r="W140" s="772"/>
      <c r="X140" s="772"/>
      <c r="Y140" s="928"/>
      <c r="Z140" s="775"/>
      <c r="AA140" s="778"/>
      <c r="AB140" s="775"/>
      <c r="AC140" s="775"/>
      <c r="AD140" s="775"/>
    </row>
    <row r="141" spans="1:30" ht="9" customHeight="1">
      <c r="A141" s="774"/>
      <c r="B141" s="774"/>
      <c r="C141" s="772"/>
      <c r="D141" s="772"/>
      <c r="E141" s="772"/>
      <c r="F141" s="772"/>
      <c r="G141" s="772"/>
      <c r="H141" s="819"/>
      <c r="I141" s="819"/>
      <c r="J141" s="819"/>
      <c r="K141" s="819"/>
      <c r="L141" s="819"/>
      <c r="M141" s="772"/>
      <c r="N141" s="818"/>
      <c r="O141" s="772"/>
      <c r="P141" s="772"/>
      <c r="Q141" s="772"/>
      <c r="R141" s="772"/>
      <c r="S141" s="772"/>
      <c r="T141" s="772"/>
      <c r="U141" s="772"/>
      <c r="V141" s="772"/>
      <c r="W141" s="772"/>
      <c r="X141" s="772"/>
      <c r="Y141" s="928"/>
      <c r="Z141" s="775"/>
      <c r="AA141" s="778"/>
      <c r="AB141" s="775"/>
      <c r="AC141" s="775"/>
      <c r="AD141" s="775"/>
    </row>
    <row r="142" spans="1:30" ht="9" customHeight="1">
      <c r="A142" s="774"/>
      <c r="B142" s="774"/>
      <c r="C142" s="772"/>
      <c r="D142" s="772"/>
      <c r="E142" s="772"/>
      <c r="F142" s="772"/>
      <c r="G142" s="772"/>
      <c r="H142" s="819"/>
      <c r="I142" s="819"/>
      <c r="J142" s="819"/>
      <c r="K142" s="819"/>
      <c r="L142" s="819"/>
      <c r="M142" s="772"/>
      <c r="N142" s="818"/>
      <c r="O142" s="772"/>
      <c r="P142" s="772"/>
      <c r="Q142" s="772"/>
      <c r="R142" s="772"/>
      <c r="S142" s="772"/>
      <c r="T142" s="772"/>
      <c r="U142" s="772"/>
      <c r="V142" s="772"/>
      <c r="W142" s="772"/>
      <c r="X142" s="772"/>
      <c r="Y142" s="928"/>
      <c r="Z142" s="775"/>
      <c r="AA142" s="778"/>
      <c r="AB142" s="775"/>
      <c r="AC142" s="775"/>
      <c r="AD142" s="775"/>
    </row>
    <row r="143" spans="1:30" ht="9" customHeight="1">
      <c r="A143" s="774"/>
      <c r="B143" s="774"/>
      <c r="C143" s="772"/>
      <c r="D143" s="772"/>
      <c r="E143" s="772"/>
      <c r="F143" s="772"/>
      <c r="G143" s="772"/>
      <c r="H143" s="819"/>
      <c r="I143" s="819"/>
      <c r="J143" s="819"/>
      <c r="K143" s="819"/>
      <c r="L143" s="819"/>
      <c r="M143" s="772"/>
      <c r="N143" s="818"/>
      <c r="O143" s="772"/>
      <c r="P143" s="772"/>
      <c r="Q143" s="772"/>
      <c r="R143" s="772"/>
      <c r="S143" s="772"/>
      <c r="T143" s="772"/>
      <c r="U143" s="772"/>
      <c r="V143" s="772"/>
      <c r="W143" s="772"/>
      <c r="X143" s="772"/>
      <c r="Y143" s="928"/>
      <c r="Z143" s="775"/>
      <c r="AA143" s="778"/>
      <c r="AB143" s="775"/>
      <c r="AC143" s="775"/>
      <c r="AD143" s="775"/>
    </row>
    <row r="144" spans="1:30" ht="9" customHeight="1">
      <c r="A144" s="774"/>
      <c r="B144" s="774"/>
      <c r="C144" s="772"/>
      <c r="D144" s="772"/>
      <c r="E144" s="772"/>
      <c r="F144" s="772"/>
      <c r="G144" s="772"/>
      <c r="H144" s="819"/>
      <c r="I144" s="819"/>
      <c r="J144" s="819"/>
      <c r="K144" s="819"/>
      <c r="L144" s="819"/>
      <c r="M144" s="772"/>
      <c r="N144" s="818"/>
      <c r="O144" s="772"/>
      <c r="P144" s="772"/>
      <c r="Q144" s="772"/>
      <c r="R144" s="772"/>
      <c r="S144" s="772"/>
      <c r="T144" s="772"/>
      <c r="U144" s="772"/>
      <c r="V144" s="772"/>
      <c r="W144" s="772"/>
      <c r="X144" s="772"/>
      <c r="Y144" s="928"/>
      <c r="Z144" s="775"/>
      <c r="AA144" s="778"/>
      <c r="AB144" s="775"/>
      <c r="AC144" s="775"/>
      <c r="AD144" s="775"/>
    </row>
    <row r="145" spans="1:30" ht="9" customHeight="1">
      <c r="A145" s="774"/>
      <c r="B145" s="774"/>
      <c r="C145" s="772"/>
      <c r="D145" s="772"/>
      <c r="E145" s="772"/>
      <c r="F145" s="772"/>
      <c r="G145" s="772"/>
      <c r="H145" s="819"/>
      <c r="I145" s="819"/>
      <c r="J145" s="819"/>
      <c r="K145" s="819"/>
      <c r="L145" s="819"/>
      <c r="M145" s="772"/>
      <c r="N145" s="818"/>
      <c r="O145" s="772"/>
      <c r="P145" s="772"/>
      <c r="Q145" s="772"/>
      <c r="R145" s="772"/>
      <c r="S145" s="772"/>
      <c r="T145" s="772"/>
      <c r="U145" s="772"/>
      <c r="V145" s="772"/>
      <c r="W145" s="772"/>
      <c r="X145" s="772"/>
      <c r="Y145" s="928"/>
      <c r="Z145" s="775"/>
      <c r="AA145" s="778"/>
      <c r="AB145" s="775"/>
      <c r="AC145" s="775"/>
      <c r="AD145" s="775"/>
    </row>
    <row r="146" spans="1:30" ht="9" customHeight="1">
      <c r="A146" s="774"/>
      <c r="B146" s="774"/>
      <c r="C146" s="772"/>
      <c r="D146" s="772"/>
      <c r="E146" s="772"/>
      <c r="F146" s="772"/>
      <c r="G146" s="772"/>
      <c r="H146" s="819"/>
      <c r="I146" s="819"/>
      <c r="J146" s="819"/>
      <c r="K146" s="819"/>
      <c r="L146" s="819"/>
      <c r="M146" s="772"/>
      <c r="N146" s="818"/>
      <c r="O146" s="772"/>
      <c r="P146" s="772"/>
      <c r="Q146" s="772"/>
      <c r="R146" s="772"/>
      <c r="S146" s="772"/>
      <c r="T146" s="772"/>
      <c r="U146" s="772"/>
      <c r="V146" s="772"/>
      <c r="W146" s="772"/>
      <c r="X146" s="772"/>
      <c r="Y146" s="928"/>
      <c r="Z146" s="775"/>
      <c r="AA146" s="778"/>
      <c r="AB146" s="775"/>
      <c r="AC146" s="775"/>
      <c r="AD146" s="775"/>
    </row>
    <row r="147" spans="1:30" ht="9" customHeight="1">
      <c r="A147" s="774"/>
      <c r="B147" s="774"/>
      <c r="C147" s="774"/>
      <c r="D147" s="774"/>
      <c r="E147" s="774"/>
      <c r="F147" s="774"/>
      <c r="G147" s="774"/>
      <c r="H147" s="774"/>
      <c r="I147" s="774"/>
      <c r="J147" s="774"/>
      <c r="K147" s="774"/>
      <c r="L147" s="774"/>
      <c r="M147" s="774"/>
      <c r="N147" s="774"/>
      <c r="O147" s="774"/>
      <c r="P147" s="774"/>
      <c r="Q147" s="774"/>
      <c r="R147" s="774"/>
      <c r="S147" s="774"/>
      <c r="T147" s="774"/>
      <c r="U147" s="774"/>
      <c r="V147" s="774"/>
      <c r="W147" s="774"/>
      <c r="X147" s="774"/>
      <c r="Y147" s="774"/>
      <c r="Z147" s="774"/>
      <c r="AA147" s="774"/>
      <c r="AB147" s="774"/>
      <c r="AC147" s="774"/>
      <c r="AD147" s="774"/>
    </row>
    <row r="148" spans="1:30" ht="90" customHeight="1">
      <c r="A148" s="774" t="s">
        <v>1659</v>
      </c>
      <c r="B148" s="774"/>
      <c r="C148" s="772" t="s">
        <v>2221</v>
      </c>
      <c r="D148" s="772" t="s">
        <v>1562</v>
      </c>
      <c r="E148" s="772" t="s">
        <v>1661</v>
      </c>
      <c r="F148" s="772" t="s">
        <v>2222</v>
      </c>
      <c r="G148" s="772"/>
      <c r="H148" s="772"/>
      <c r="I148" s="891"/>
      <c r="J148" s="891"/>
      <c r="K148" s="891"/>
      <c r="L148" s="891"/>
      <c r="M148" s="821" t="str">
        <f>IF(TEMPLATE_SPHERE="HEAT",T148,IF(TEMPLATE_SPHERE="TKO",X148,U148))</f>
        <v>Сведения об условиях публичных договоров регулируемых организаций,  сведения об условиях публичных договоров, заключаемых единой теплоснабжающей организацией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 в том числе</v>
      </c>
      <c r="N148" s="777"/>
      <c r="O148" s="772"/>
      <c r="P148" s="773"/>
      <c r="Q148" s="773"/>
      <c r="R148" s="773"/>
      <c r="S148" s="772"/>
      <c r="T148" s="772" t="s">
        <v>2223</v>
      </c>
      <c r="U148" s="773" t="str">
        <f>"Сведения об условиях публичных договоров поставок товаров (оказания услуг), тарифы на которые подлежат регулированию, в том числе договоров о подключении (технологическом присоединении) к централизованной системе "&amp;TEMPLATE_SPHERE_RUS</f>
        <v>Сведения об условиях публичных договоров поставок товаров (оказания услуг), тарифы на которые подлежат регулированию, в том числе договоров о подключении (технологическом присоединении) к централизованной системе теплоснабжения</v>
      </c>
      <c r="V148" s="773"/>
      <c r="W148" s="773"/>
      <c r="X148" s="772" t="s">
        <v>2224</v>
      </c>
      <c r="Y148" s="928"/>
      <c r="Z148" s="775"/>
      <c r="AA148" s="778"/>
      <c r="AB148" s="775"/>
      <c r="AC148" s="775"/>
      <c r="AD148" s="775"/>
    </row>
    <row r="149" spans="1:30" ht="9" customHeight="1">
      <c r="A149" s="774"/>
      <c r="B149" s="774"/>
      <c r="C149" s="774"/>
      <c r="D149" s="774"/>
      <c r="E149" s="774"/>
      <c r="F149" s="774"/>
      <c r="G149" s="774"/>
      <c r="H149" s="774"/>
      <c r="I149" s="774"/>
      <c r="J149" s="774"/>
      <c r="K149" s="774"/>
      <c r="L149" s="774"/>
      <c r="M149" s="774"/>
      <c r="N149" s="774"/>
      <c r="O149" s="774"/>
      <c r="P149" s="774"/>
      <c r="Q149" s="774"/>
      <c r="R149" s="774"/>
      <c r="S149" s="774"/>
      <c r="T149" s="774"/>
      <c r="U149" s="774"/>
      <c r="V149" s="774"/>
      <c r="W149" s="774"/>
      <c r="X149" s="774"/>
      <c r="Y149" s="774"/>
      <c r="Z149" s="774"/>
      <c r="AA149" s="774"/>
      <c r="AB149" s="774"/>
      <c r="AC149" s="774"/>
      <c r="AD149" s="774"/>
    </row>
    <row r="150" spans="1:30" ht="9" customHeight="1">
      <c r="A150" s="774" t="s">
        <v>1663</v>
      </c>
      <c r="B150" s="774"/>
      <c r="C150" s="772"/>
      <c r="D150" s="772"/>
      <c r="E150" s="772"/>
      <c r="F150" s="772"/>
      <c r="G150" s="772"/>
      <c r="H150" s="772"/>
      <c r="I150" s="772"/>
      <c r="J150" s="772"/>
      <c r="K150" s="772"/>
      <c r="L150" s="772"/>
      <c r="M150" s="772"/>
      <c r="N150" s="772"/>
      <c r="O150" s="772"/>
      <c r="P150" s="772"/>
      <c r="Q150" s="772"/>
      <c r="R150" s="772"/>
      <c r="S150" s="772"/>
      <c r="T150" s="772"/>
      <c r="U150" s="772"/>
      <c r="V150" s="772"/>
      <c r="W150" s="772"/>
      <c r="X150" s="772"/>
      <c r="Y150" s="928"/>
      <c r="Z150" s="775"/>
      <c r="AA150" s="778"/>
      <c r="AB150" s="775"/>
      <c r="AC150" s="775"/>
      <c r="AD150" s="775"/>
    </row>
    <row r="151" spans="1:30" ht="9" customHeight="1">
      <c r="A151" s="774"/>
      <c r="B151" s="774"/>
      <c r="C151" s="774"/>
      <c r="D151" s="774"/>
      <c r="E151" s="774"/>
      <c r="F151" s="774"/>
      <c r="G151" s="774"/>
      <c r="H151" s="774"/>
      <c r="I151" s="774"/>
      <c r="J151" s="774"/>
      <c r="K151" s="774"/>
      <c r="L151" s="774"/>
      <c r="M151" s="774"/>
      <c r="N151" s="774"/>
      <c r="O151" s="774"/>
      <c r="P151" s="774"/>
      <c r="Q151" s="774"/>
      <c r="R151" s="774"/>
      <c r="S151" s="774"/>
      <c r="T151" s="774"/>
      <c r="U151" s="774"/>
      <c r="V151" s="774"/>
      <c r="W151" s="774"/>
      <c r="X151" s="774"/>
      <c r="Y151" s="774"/>
      <c r="Z151" s="774"/>
      <c r="AA151" s="774"/>
      <c r="AB151" s="774"/>
      <c r="AC151" s="774"/>
      <c r="AD151" s="774"/>
    </row>
    <row r="152" spans="1:30" ht="9" customHeight="1">
      <c r="A152" s="774" t="s">
        <v>1665</v>
      </c>
      <c r="B152" s="774"/>
      <c r="C152" s="772"/>
      <c r="D152" s="772"/>
      <c r="E152" s="772"/>
      <c r="F152" s="772"/>
      <c r="G152" s="772"/>
      <c r="H152" s="772"/>
      <c r="I152" s="772"/>
      <c r="J152" s="772"/>
      <c r="K152" s="772"/>
      <c r="L152" s="772"/>
      <c r="M152" s="772"/>
      <c r="N152" s="772"/>
      <c r="O152" s="772"/>
      <c r="P152" s="772"/>
      <c r="Q152" s="772"/>
      <c r="R152" s="772"/>
      <c r="S152" s="772"/>
      <c r="T152" s="772"/>
      <c r="U152" s="772"/>
      <c r="V152" s="772"/>
      <c r="W152" s="772"/>
      <c r="X152" s="772"/>
      <c r="Y152" s="928"/>
      <c r="Z152" s="775"/>
      <c r="AA152" s="778"/>
      <c r="AB152" s="775"/>
      <c r="AC152" s="775"/>
      <c r="AD152" s="775"/>
    </row>
    <row r="153" spans="1:30" ht="9" customHeight="1">
      <c r="A153" s="774"/>
      <c r="B153" s="774"/>
      <c r="C153" s="774"/>
      <c r="D153" s="774"/>
      <c r="E153" s="774"/>
      <c r="F153" s="774"/>
      <c r="G153" s="774"/>
      <c r="H153" s="774"/>
      <c r="I153" s="774"/>
      <c r="J153" s="774"/>
      <c r="K153" s="774"/>
      <c r="L153" s="774"/>
      <c r="M153" s="774"/>
      <c r="N153" s="774"/>
      <c r="O153" s="774"/>
      <c r="P153" s="774"/>
      <c r="Q153" s="774"/>
      <c r="R153" s="774"/>
      <c r="S153" s="774"/>
      <c r="T153" s="774"/>
      <c r="U153" s="774"/>
      <c r="V153" s="774"/>
      <c r="W153" s="774"/>
      <c r="X153" s="774"/>
      <c r="Y153" s="774"/>
      <c r="Z153" s="774"/>
      <c r="AA153" s="774"/>
      <c r="AB153" s="774"/>
      <c r="AC153" s="774"/>
      <c r="AD153" s="774"/>
    </row>
    <row r="154" spans="1:30" ht="9" customHeight="1">
      <c r="A154" s="774" t="s">
        <v>1670</v>
      </c>
      <c r="B154" s="774"/>
      <c r="C154" s="772"/>
      <c r="D154" s="772"/>
      <c r="E154" s="772"/>
      <c r="F154" s="772"/>
      <c r="G154" s="772"/>
      <c r="H154" s="772"/>
      <c r="I154" s="772"/>
      <c r="J154" s="772"/>
      <c r="K154" s="772"/>
      <c r="L154" s="772"/>
      <c r="M154" s="772"/>
      <c r="N154" s="772"/>
      <c r="O154" s="772"/>
      <c r="P154" s="772"/>
      <c r="Q154" s="772"/>
      <c r="R154" s="772"/>
      <c r="S154" s="772"/>
      <c r="T154" s="772"/>
      <c r="U154" s="772"/>
      <c r="V154" s="772"/>
      <c r="W154" s="772"/>
      <c r="X154" s="772"/>
      <c r="Y154" s="928"/>
      <c r="Z154" s="775"/>
      <c r="AA154" s="778"/>
      <c r="AB154" s="775"/>
      <c r="AC154" s="775"/>
      <c r="AD154" s="775"/>
    </row>
  </sheetData>
  <sheetProtection insertRows="0" deleteColumns="0" deleteRows="0" sort="0" autoFilter="0"/>
  <mergeCells count="12">
    <mergeCell ref="T1:X1"/>
    <mergeCell ref="Z1:AD1"/>
    <mergeCell ref="A11:A15"/>
    <mergeCell ref="H13:H14"/>
    <mergeCell ref="H15:H16"/>
    <mergeCell ref="C3:F3"/>
    <mergeCell ref="C11:C16"/>
    <mergeCell ref="D11:D16"/>
    <mergeCell ref="E11:E16"/>
    <mergeCell ref="F11:F16"/>
    <mergeCell ref="G11:G16"/>
    <mergeCell ref="O1:S1"/>
  </mergeCells>
  <pageMargins left="0.7" right="0.7" top="0.75" bottom="0.75" header="0.3" footer="0.3"/>
  <pageSetup paperSize="9" orientation="portrait"/>
  <headerFooter>
    <oddHeader>&amp;L&amp;C&amp;R</oddHeader>
    <oddFooter>&amp;L&amp;C&amp;R</oddFooter>
    <evenHeader>&amp;L&amp;C&amp;R</evenHeader>
    <evenFooter>&amp;L&amp;C&amp;R</evenFooter>
  </headerFooter>
  <legacyDrawing r:id="rId1"/>
</worksheet>
</file>

<file path=xl/worksheets/sheet6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6" tint="0.39997558519241921"/>
  </sheetPr>
  <dimension ref="A1:AD41"/>
  <sheetViews>
    <sheetView showGridLines="0" topLeftCell="I4" workbookViewId="0"/>
  </sheetViews>
  <sheetFormatPr defaultColWidth="10.5703125" defaultRowHeight="14.25" customHeight="1"/>
  <cols>
    <col min="1" max="1" width="10.5703125" style="1291" hidden="1"/>
    <col min="2" max="2" width="11" style="1291" hidden="1" customWidth="1"/>
    <col min="3" max="3" width="10.5703125" style="1291" hidden="1"/>
    <col min="4" max="4" width="11.85546875" style="1291" hidden="1" customWidth="1"/>
    <col min="5" max="5" width="12.28515625" style="1291" hidden="1" customWidth="1"/>
    <col min="6" max="8" width="12.28515625" style="1701" hidden="1" customWidth="1"/>
    <col min="9" max="9" width="3" style="2000" customWidth="1"/>
    <col min="10" max="11" width="3" style="280" customWidth="1"/>
    <col min="12" max="12" width="12" style="2001" customWidth="1"/>
    <col min="13" max="13" width="31" style="1560" customWidth="1"/>
    <col min="14" max="14" width="1" style="1560" customWidth="1"/>
    <col min="15" max="18" width="24" style="1560" customWidth="1"/>
    <col min="19" max="19" width="11" style="1560" customWidth="1"/>
    <col min="20" max="20" width="3.7109375" style="1560" customWidth="1"/>
    <col min="21" max="21" width="11" style="1560" customWidth="1"/>
    <col min="22" max="22" width="8.5703125" style="1560" customWidth="1"/>
    <col min="23" max="23" width="4" style="1560" customWidth="1"/>
    <col min="24" max="24" width="115" style="1560" customWidth="1"/>
    <col min="25" max="29" width="10" style="1567" customWidth="1"/>
    <col min="30" max="30" width="10.5703125" style="1560" hidden="1"/>
  </cols>
  <sheetData>
    <row r="1" spans="1:30" ht="22.5" hidden="1" customHeight="1">
      <c r="R1" s="263"/>
      <c r="S1" s="263"/>
      <c r="AD1" s="1080" t="s">
        <v>14</v>
      </c>
    </row>
    <row r="2" spans="1:30" ht="14.25" hidden="1" customHeight="1">
      <c r="V2" s="263"/>
      <c r="AD2" s="1080">
        <v>0</v>
      </c>
    </row>
    <row r="3" spans="1:30" ht="14.25" hidden="1" customHeight="1">
      <c r="AD3" s="1080">
        <v>0</v>
      </c>
    </row>
    <row r="4" spans="1:30" ht="14.65" customHeight="1">
      <c r="J4" s="311"/>
      <c r="K4" s="311"/>
      <c r="L4" s="1200"/>
      <c r="M4" s="298"/>
      <c r="N4" s="298"/>
      <c r="O4" s="444"/>
      <c r="P4" s="444"/>
      <c r="Q4" s="444"/>
      <c r="R4" s="444"/>
      <c r="S4" s="444"/>
      <c r="T4" s="444"/>
      <c r="U4" s="444"/>
      <c r="V4" s="444"/>
      <c r="AD4" s="1080">
        <v>14</v>
      </c>
    </row>
    <row r="5" spans="1:30" ht="67.150000000000006" customHeight="1">
      <c r="J5" s="311"/>
      <c r="K5" s="311"/>
      <c r="L5" s="2461" t="s">
        <v>2225</v>
      </c>
      <c r="M5" s="2461"/>
      <c r="N5" s="2461"/>
      <c r="O5" s="2461"/>
      <c r="P5" s="2461"/>
      <c r="Q5" s="2461"/>
      <c r="R5" s="2461"/>
      <c r="S5" s="2461"/>
      <c r="T5" s="2461"/>
      <c r="U5" s="2461"/>
      <c r="V5" s="1168"/>
      <c r="AD5" s="1080">
        <v>64</v>
      </c>
    </row>
    <row r="6" spans="1:30" ht="14.65" customHeight="1">
      <c r="J6" s="311"/>
      <c r="K6" s="311"/>
      <c r="L6" s="2462" t="str">
        <f>IF(org=0,"Не определено",org)</f>
        <v>ООО "ЗЕНИТ ЭНЕРГО"</v>
      </c>
      <c r="M6" s="2462"/>
      <c r="N6" s="2462"/>
      <c r="O6" s="2462"/>
      <c r="P6" s="2462"/>
      <c r="Q6" s="2462"/>
      <c r="R6" s="2462"/>
      <c r="S6" s="2462"/>
      <c r="T6" s="2462"/>
      <c r="U6" s="2462"/>
      <c r="V6" s="1168"/>
      <c r="AD6" s="1080">
        <v>14</v>
      </c>
    </row>
    <row r="7" spans="1:30" ht="14.65" customHeight="1">
      <c r="J7" s="311"/>
      <c r="K7" s="311"/>
      <c r="L7" s="1200"/>
      <c r="M7" s="298"/>
      <c r="N7" s="298"/>
      <c r="O7" s="258"/>
      <c r="P7" s="258"/>
      <c r="Q7" s="258"/>
      <c r="R7" s="258"/>
      <c r="S7" s="258"/>
      <c r="T7" s="258"/>
      <c r="U7" s="258"/>
      <c r="V7" s="258"/>
      <c r="W7" s="444"/>
      <c r="AD7" s="1080">
        <v>14</v>
      </c>
    </row>
    <row r="8" spans="1:30" s="1777" customFormat="1" ht="48.2" customHeight="1">
      <c r="A8" s="1293"/>
      <c r="B8" s="1293"/>
      <c r="C8" s="1293"/>
      <c r="D8" s="1293"/>
      <c r="E8" s="1293"/>
      <c r="F8" s="1293"/>
      <c r="G8" s="1293"/>
      <c r="H8" s="1293"/>
      <c r="L8" s="1201"/>
      <c r="M8" s="231" t="s">
        <v>42</v>
      </c>
      <c r="N8" s="240"/>
      <c r="O8" s="2179" t="str">
        <f>IF(TITLE_NAME_OR_PR_CHANGE="",IF(TITLE_NAME_OR_PR="","",TITLE_NAME_OR_PR),TITLE_NAME_OR_PR_CHANGE)</f>
        <v/>
      </c>
      <c r="P8" s="2179"/>
      <c r="Q8" s="2179"/>
      <c r="R8" s="2179"/>
      <c r="S8" s="2179"/>
      <c r="T8" s="2179"/>
      <c r="U8" s="2179"/>
      <c r="V8" s="262"/>
      <c r="W8" s="262"/>
      <c r="X8" s="216"/>
      <c r="Y8" s="303"/>
      <c r="Z8" s="303"/>
      <c r="AA8" s="303"/>
      <c r="AB8" s="303"/>
      <c r="AC8" s="303"/>
      <c r="AD8" s="353">
        <v>46</v>
      </c>
    </row>
    <row r="9" spans="1:30" s="1777" customFormat="1" ht="24" customHeight="1">
      <c r="A9" s="1293"/>
      <c r="B9" s="1293"/>
      <c r="C9" s="1293"/>
      <c r="D9" s="1293"/>
      <c r="E9" s="1293"/>
      <c r="F9" s="1293"/>
      <c r="G9" s="1293"/>
      <c r="H9" s="1293"/>
      <c r="L9" s="1201"/>
      <c r="M9" s="231" t="s">
        <v>422</v>
      </c>
      <c r="N9" s="240"/>
      <c r="O9" s="2179" t="str">
        <f>IF(TITLE_DATE_CHANGE_PERIOD="",IF(TITLE_DATE_PR="","",TITLE_DATE_PR),TITLE_DATE_CHANGE_PERIOD)</f>
        <v/>
      </c>
      <c r="P9" s="2179"/>
      <c r="Q9" s="2179"/>
      <c r="R9" s="2179"/>
      <c r="S9" s="2179"/>
      <c r="T9" s="2179"/>
      <c r="U9" s="2179"/>
      <c r="V9" s="262"/>
      <c r="W9" s="262"/>
      <c r="X9" s="216"/>
      <c r="Y9" s="303"/>
      <c r="Z9" s="303"/>
      <c r="AA9" s="303"/>
      <c r="AB9" s="303"/>
      <c r="AC9" s="303"/>
      <c r="AD9" s="353">
        <v>23</v>
      </c>
    </row>
    <row r="10" spans="1:30" s="1777" customFormat="1" ht="24" customHeight="1">
      <c r="A10" s="1293"/>
      <c r="B10" s="1293"/>
      <c r="C10" s="1293"/>
      <c r="D10" s="1293"/>
      <c r="E10" s="1293"/>
      <c r="F10" s="1293"/>
      <c r="G10" s="1293"/>
      <c r="H10" s="1293"/>
      <c r="L10" s="1175"/>
      <c r="M10" s="231" t="s">
        <v>423</v>
      </c>
      <c r="N10" s="240"/>
      <c r="O10" s="2179" t="str">
        <f>IF(TITLE_NUMBER_PR_CHANGE="",IF(TITLE_NUMBER_PR="","",TITLE_NUMBER_PR),TITLE_NUMBER_PR_CHANGE)</f>
        <v/>
      </c>
      <c r="P10" s="2179"/>
      <c r="Q10" s="2179"/>
      <c r="R10" s="2179"/>
      <c r="S10" s="2179"/>
      <c r="T10" s="2179"/>
      <c r="U10" s="2179"/>
      <c r="V10" s="262"/>
      <c r="W10" s="262"/>
      <c r="X10" s="216"/>
      <c r="Y10" s="303"/>
      <c r="Z10" s="303"/>
      <c r="AA10" s="303"/>
      <c r="AB10" s="303"/>
      <c r="AC10" s="303"/>
      <c r="AD10" s="353">
        <v>23</v>
      </c>
    </row>
    <row r="11" spans="1:30" s="1777" customFormat="1" ht="24" customHeight="1">
      <c r="A11" s="1293"/>
      <c r="B11" s="1293"/>
      <c r="C11" s="1293"/>
      <c r="D11" s="1293"/>
      <c r="E11" s="1293"/>
      <c r="F11" s="1293"/>
      <c r="G11" s="1293"/>
      <c r="H11" s="1293"/>
      <c r="L11" s="1175"/>
      <c r="M11" s="231" t="s">
        <v>43</v>
      </c>
      <c r="N11" s="240"/>
      <c r="O11" s="2179" t="str">
        <f>IF(TITLE_IST_PUB_CHANGE="",IF(TITLE_IST_PUB="","",TITLE_IST_PUB),TITLE_IST_PUB_CHANGE)</f>
        <v/>
      </c>
      <c r="P11" s="2179"/>
      <c r="Q11" s="2179"/>
      <c r="R11" s="2179"/>
      <c r="S11" s="2179"/>
      <c r="T11" s="2179"/>
      <c r="U11" s="2179"/>
      <c r="V11" s="262"/>
      <c r="W11" s="262"/>
      <c r="X11" s="216"/>
      <c r="Y11" s="303"/>
      <c r="Z11" s="303"/>
      <c r="AA11" s="303"/>
      <c r="AB11" s="303"/>
      <c r="AC11" s="303"/>
      <c r="AD11" s="353">
        <v>23</v>
      </c>
    </row>
    <row r="12" spans="1:30" s="1777" customFormat="1" ht="11.25" hidden="1" customHeight="1">
      <c r="A12" s="1293"/>
      <c r="B12" s="1293"/>
      <c r="C12" s="1293"/>
      <c r="D12" s="1293"/>
      <c r="E12" s="1293"/>
      <c r="F12" s="1293"/>
      <c r="G12" s="1293"/>
      <c r="H12" s="1293"/>
      <c r="L12" s="2463"/>
      <c r="M12" s="2463"/>
      <c r="N12" s="1212"/>
      <c r="O12" s="262"/>
      <c r="P12" s="262"/>
      <c r="Q12" s="262"/>
      <c r="R12" s="262"/>
      <c r="S12" s="262"/>
      <c r="T12" s="262"/>
      <c r="U12" s="262"/>
      <c r="V12" s="214" t="s">
        <v>426</v>
      </c>
      <c r="Y12" s="303"/>
      <c r="Z12" s="303"/>
      <c r="AA12" s="303"/>
      <c r="AB12" s="303"/>
      <c r="AC12" s="303"/>
      <c r="AD12" s="353">
        <v>0</v>
      </c>
    </row>
    <row r="13" spans="1:30" ht="14.65" customHeight="1">
      <c r="J13" s="311"/>
      <c r="K13" s="311"/>
      <c r="L13" s="1200"/>
      <c r="M13" s="298"/>
      <c r="N13" s="1169"/>
      <c r="O13" s="2180"/>
      <c r="P13" s="2180"/>
      <c r="Q13" s="2180"/>
      <c r="R13" s="2180"/>
      <c r="S13" s="2180"/>
      <c r="T13" s="2180"/>
      <c r="U13" s="2180"/>
      <c r="V13" s="2180"/>
      <c r="AD13" s="1080">
        <v>14</v>
      </c>
    </row>
    <row r="14" spans="1:30" ht="14.65" customHeight="1">
      <c r="J14" s="311"/>
      <c r="K14" s="311"/>
      <c r="L14" s="2066" t="s">
        <v>299</v>
      </c>
      <c r="M14" s="2066"/>
      <c r="N14" s="2066"/>
      <c r="O14" s="2066"/>
      <c r="P14" s="2066"/>
      <c r="Q14" s="2066"/>
      <c r="R14" s="2066"/>
      <c r="S14" s="2066"/>
      <c r="T14" s="2066"/>
      <c r="U14" s="2066"/>
      <c r="V14" s="2066"/>
      <c r="W14" s="2066"/>
      <c r="X14" s="2066" t="s">
        <v>300</v>
      </c>
      <c r="AD14" s="1080">
        <v>14</v>
      </c>
    </row>
    <row r="15" spans="1:30" ht="14.65" customHeight="1">
      <c r="J15" s="311"/>
      <c r="K15" s="311"/>
      <c r="L15" s="2194" t="s">
        <v>88</v>
      </c>
      <c r="M15" s="2145" t="s">
        <v>427</v>
      </c>
      <c r="N15" s="237"/>
      <c r="O15" s="2195" t="s">
        <v>2226</v>
      </c>
      <c r="P15" s="2196"/>
      <c r="Q15" s="2196"/>
      <c r="R15" s="2196"/>
      <c r="S15" s="2196"/>
      <c r="T15" s="2196"/>
      <c r="U15" s="2197"/>
      <c r="V15" s="2198" t="s">
        <v>429</v>
      </c>
      <c r="W15" s="2201" t="s">
        <v>1146</v>
      </c>
      <c r="X15" s="2066"/>
      <c r="AD15" s="1080">
        <v>14</v>
      </c>
    </row>
    <row r="16" spans="1:30" ht="35.65" customHeight="1">
      <c r="J16" s="311"/>
      <c r="K16" s="311"/>
      <c r="L16" s="2194"/>
      <c r="M16" s="2145"/>
      <c r="N16" s="959"/>
      <c r="O16" s="2114" t="s">
        <v>432</v>
      </c>
      <c r="P16" s="2114" t="s">
        <v>433</v>
      </c>
      <c r="Q16" s="2038" t="s">
        <v>434</v>
      </c>
      <c r="R16" s="2037"/>
      <c r="S16" s="2038" t="s">
        <v>448</v>
      </c>
      <c r="T16" s="2043"/>
      <c r="U16" s="2037"/>
      <c r="V16" s="2199"/>
      <c r="W16" s="2202"/>
      <c r="X16" s="2066"/>
      <c r="AD16" s="1080">
        <v>34</v>
      </c>
    </row>
    <row r="17" spans="1:30" ht="35.65" customHeight="1">
      <c r="A17" s="1295" t="s">
        <v>135</v>
      </c>
      <c r="B17" s="1295" t="s">
        <v>136</v>
      </c>
      <c r="C17" s="1295" t="s">
        <v>137</v>
      </c>
      <c r="D17" s="1295" t="s">
        <v>138</v>
      </c>
      <c r="E17" s="1295"/>
      <c r="J17" s="311"/>
      <c r="K17" s="311"/>
      <c r="L17" s="2194"/>
      <c r="M17" s="2145"/>
      <c r="N17" s="238"/>
      <c r="O17" s="2165"/>
      <c r="P17" s="2165"/>
      <c r="Q17" s="1147" t="s">
        <v>443</v>
      </c>
      <c r="R17" s="1147" t="s">
        <v>444</v>
      </c>
      <c r="S17" s="1217" t="s">
        <v>445</v>
      </c>
      <c r="T17" s="2154" t="s">
        <v>446</v>
      </c>
      <c r="U17" s="2156"/>
      <c r="V17" s="2200"/>
      <c r="W17" s="2203"/>
      <c r="X17" s="2066"/>
      <c r="AD17" s="1080">
        <v>34</v>
      </c>
    </row>
    <row r="18" spans="1:30" s="1566" customFormat="1" ht="11.45" customHeight="1">
      <c r="A18" s="1295"/>
      <c r="B18" s="1295"/>
      <c r="C18" s="1295"/>
      <c r="D18" s="1295"/>
      <c r="E18" s="1295"/>
      <c r="F18" s="1287"/>
      <c r="G18" s="1287"/>
      <c r="H18" s="1287"/>
      <c r="I18" s="1171"/>
      <c r="J18" s="1172"/>
      <c r="K18" s="1179">
        <v>1</v>
      </c>
      <c r="L18" s="1202" t="s">
        <v>109</v>
      </c>
      <c r="M18" s="1180" t="s">
        <v>110</v>
      </c>
      <c r="N18" s="1170" t="str">
        <f ca="1">OFFSET(N18,0,-1)</f>
        <v>2</v>
      </c>
      <c r="O18" s="1214">
        <f ca="1">OFFSET(O18,0,-1)+1</f>
        <v>3</v>
      </c>
      <c r="P18" s="1214"/>
      <c r="Q18" s="1214">
        <f ca="1">OFFSET(Q18,0,-1)+1</f>
        <v>1</v>
      </c>
      <c r="R18" s="1214">
        <f ca="1">OFFSET(R18,0,-1)+1</f>
        <v>2</v>
      </c>
      <c r="S18" s="1214">
        <f ca="1">OFFSET(S18,0,-1)+1</f>
        <v>3</v>
      </c>
      <c r="T18" s="2193">
        <f ca="1">OFFSET(T18,0,-1)+1</f>
        <v>4</v>
      </c>
      <c r="U18" s="2193"/>
      <c r="V18" s="1214">
        <f ca="1">OFFSET(V18,0,-2)+1</f>
        <v>5</v>
      </c>
      <c r="W18" s="1170">
        <f ca="1">OFFSET(W18,0,-1)</f>
        <v>5</v>
      </c>
      <c r="X18" s="1214">
        <f ca="1">OFFSET(X18,0,-1)+1</f>
        <v>6</v>
      </c>
      <c r="Y18" s="446"/>
      <c r="Z18" s="446"/>
      <c r="AA18" s="446"/>
      <c r="AB18" s="446"/>
      <c r="AC18" s="446"/>
      <c r="AD18" s="431">
        <v>11</v>
      </c>
    </row>
    <row r="19" spans="1:30" ht="21" customHeight="1">
      <c r="A19" s="1288" t="s">
        <v>169</v>
      </c>
      <c r="B19" s="1288" t="s">
        <v>170</v>
      </c>
      <c r="C19" s="1288" t="s">
        <v>171</v>
      </c>
      <c r="D19" s="1288" t="s">
        <v>172</v>
      </c>
      <c r="E19" s="1288"/>
      <c r="F19" s="1290"/>
      <c r="G19" s="1290"/>
      <c r="H19" s="1290"/>
      <c r="I19" s="296"/>
      <c r="J19" s="295"/>
      <c r="K19" s="290"/>
      <c r="L19" s="1218">
        <f>INDEX(PT_DIFFERENTIATION_NUM_NTAR,MATCH(A19,PT_DIFFERENTIATION_NTAR_ID,0))</f>
        <v>0</v>
      </c>
      <c r="M19" s="234" t="s">
        <v>124</v>
      </c>
      <c r="N19" s="236"/>
      <c r="O19" s="2464" t="str">
        <f>INDEX(PT_DIFFERENTIATION_NTAR,MATCH(A19,PT_DIFFERENTIATION_NTAR_ID,0))</f>
        <v/>
      </c>
      <c r="P19" s="2464"/>
      <c r="Q19" s="2464"/>
      <c r="R19" s="2464"/>
      <c r="S19" s="2464"/>
      <c r="T19" s="2464"/>
      <c r="U19" s="2464"/>
      <c r="V19" s="2464"/>
      <c r="W19" s="2464"/>
      <c r="X19" s="1183" t="s">
        <v>395</v>
      </c>
      <c r="Z19" s="435"/>
      <c r="AA19" s="435" t="str">
        <f t="shared" ref="AA19:AA32" si="0">IF(M19="","",M19)</f>
        <v>Наименование тарифа</v>
      </c>
      <c r="AB19" s="435"/>
      <c r="AC19" s="435"/>
      <c r="AD19" s="1080">
        <v>20</v>
      </c>
    </row>
    <row r="20" spans="1:30" ht="21" customHeight="1">
      <c r="A20" s="1288" t="s">
        <v>169</v>
      </c>
      <c r="B20" s="1288" t="s">
        <v>170</v>
      </c>
      <c r="C20" s="1288" t="s">
        <v>171</v>
      </c>
      <c r="D20" s="1288" t="s">
        <v>172</v>
      </c>
      <c r="E20" s="1288"/>
      <c r="F20" s="1290"/>
      <c r="G20" s="1290"/>
      <c r="H20" s="1290"/>
      <c r="I20" s="1215"/>
      <c r="J20" s="287"/>
      <c r="K20" s="288"/>
      <c r="L20" s="1218" t="str">
        <f>INDEX(PT_DIFFERENTIATION_NUM_TER,MATCH(B19,PT_DIFFERENTIATION_TER_ID,0))</f>
        <v>.</v>
      </c>
      <c r="M20" s="244" t="s">
        <v>396</v>
      </c>
      <c r="N20" s="236"/>
      <c r="O20" s="2464" t="str">
        <f>INDEX(PT_DIFFERENTIATION_TER,MATCH(B19,PT_DIFFERENTIATION_TER_ID,0))</f>
        <v/>
      </c>
      <c r="P20" s="2464"/>
      <c r="Q20" s="2464"/>
      <c r="R20" s="2464"/>
      <c r="S20" s="2464"/>
      <c r="T20" s="2464"/>
      <c r="U20" s="2464"/>
      <c r="V20" s="2464"/>
      <c r="W20" s="2464"/>
      <c r="X20" s="1183" t="s">
        <v>397</v>
      </c>
      <c r="Z20" s="435"/>
      <c r="AA20" s="435" t="str">
        <f t="shared" si="0"/>
        <v>Территория действия тарифа</v>
      </c>
      <c r="AB20" s="435"/>
      <c r="AC20" s="435"/>
      <c r="AD20" s="1080">
        <v>20</v>
      </c>
    </row>
    <row r="21" spans="1:30" ht="24" customHeight="1">
      <c r="A21" s="1288" t="s">
        <v>169</v>
      </c>
      <c r="B21" s="1288" t="s">
        <v>170</v>
      </c>
      <c r="C21" s="1288" t="s">
        <v>171</v>
      </c>
      <c r="D21" s="1288" t="s">
        <v>172</v>
      </c>
      <c r="E21" s="1288"/>
      <c r="F21" s="1290"/>
      <c r="G21" s="1290"/>
      <c r="H21" s="1290"/>
      <c r="I21" s="289"/>
      <c r="J21" s="287"/>
      <c r="K21" s="288"/>
      <c r="L21" s="1218" t="str">
        <f>INDEX(PT_DIFFERENTIATION_NUM_CS,MATCH(C19,PT_DIFFERENTIATION_CS_ID,0))</f>
        <v>..</v>
      </c>
      <c r="M21" s="245" t="s">
        <v>398</v>
      </c>
      <c r="N21" s="236"/>
      <c r="O21" s="2464" t="str">
        <f>INDEX(PT_DIFFERENTIATION_CS,MATCH(C19,PT_DIFFERENTIATION_CS_ID,0))</f>
        <v/>
      </c>
      <c r="P21" s="2464"/>
      <c r="Q21" s="2464"/>
      <c r="R21" s="2464"/>
      <c r="S21" s="2464"/>
      <c r="T21" s="2464"/>
      <c r="U21" s="2464"/>
      <c r="V21" s="2464"/>
      <c r="W21" s="2464"/>
      <c r="X21" s="1183" t="s">
        <v>399</v>
      </c>
      <c r="Z21" s="435"/>
      <c r="AA21" s="435" t="str">
        <f t="shared" si="0"/>
        <v xml:space="preserve">Наименование системы теплоснабжения </v>
      </c>
      <c r="AB21" s="435"/>
      <c r="AC21" s="435"/>
      <c r="AD21" s="1080">
        <v>23</v>
      </c>
    </row>
    <row r="22" spans="1:30" ht="21" customHeight="1">
      <c r="A22" s="1288" t="s">
        <v>169</v>
      </c>
      <c r="B22" s="1288" t="s">
        <v>170</v>
      </c>
      <c r="C22" s="1288" t="s">
        <v>171</v>
      </c>
      <c r="D22" s="1288" t="s">
        <v>172</v>
      </c>
      <c r="E22" s="1288"/>
      <c r="F22" s="1290"/>
      <c r="G22" s="1290"/>
      <c r="H22" s="1290"/>
      <c r="I22" s="289"/>
      <c r="J22" s="287"/>
      <c r="K22" s="288"/>
      <c r="L22" s="1218" t="str">
        <f>INDEX(PT_DIFFERENTIATION_NUM_IST_TE,MATCH(D19,PT_DIFFERENTIATION_IST_TE_ID,0))</f>
        <v>...</v>
      </c>
      <c r="M22" s="246" t="s">
        <v>400</v>
      </c>
      <c r="N22" s="236"/>
      <c r="O22" s="2464" t="str">
        <f>INDEX(PT_DIFFERENTIATION_IST_TE,MATCH(D19,PT_DIFFERENTIATION_IST_TE_ID,0))</f>
        <v/>
      </c>
      <c r="P22" s="2464"/>
      <c r="Q22" s="2464"/>
      <c r="R22" s="2464"/>
      <c r="S22" s="2464"/>
      <c r="T22" s="2464"/>
      <c r="U22" s="2464"/>
      <c r="V22" s="2464"/>
      <c r="W22" s="2464"/>
      <c r="X22" s="1183" t="s">
        <v>401</v>
      </c>
      <c r="Z22" s="435"/>
      <c r="AA22" s="435" t="str">
        <f t="shared" si="0"/>
        <v xml:space="preserve">Источник тепловой энергии  </v>
      </c>
      <c r="AB22" s="435"/>
      <c r="AC22" s="435"/>
      <c r="AD22" s="1080">
        <v>20</v>
      </c>
    </row>
    <row r="23" spans="1:30" ht="96.75" customHeight="1">
      <c r="A23" s="1288" t="s">
        <v>169</v>
      </c>
      <c r="B23" s="1288" t="s">
        <v>170</v>
      </c>
      <c r="C23" s="1288" t="s">
        <v>171</v>
      </c>
      <c r="D23" s="1288" t="s">
        <v>172</v>
      </c>
      <c r="E23" s="1288"/>
      <c r="F23" s="2153" t="str">
        <f>L22&amp;".1"</f>
        <v>....1</v>
      </c>
      <c r="I23" s="2185">
        <v>1</v>
      </c>
      <c r="J23" s="1216"/>
      <c r="K23" s="291"/>
      <c r="L23" s="1218" t="str">
        <f>$F$23</f>
        <v>....1</v>
      </c>
      <c r="M23" s="221" t="s">
        <v>403</v>
      </c>
      <c r="N23" s="236"/>
      <c r="O23" s="2223"/>
      <c r="P23" s="2223"/>
      <c r="Q23" s="2223"/>
      <c r="R23" s="2223"/>
      <c r="S23" s="2223"/>
      <c r="T23" s="2223"/>
      <c r="U23" s="2223"/>
      <c r="V23" s="2223"/>
      <c r="W23" s="2223"/>
      <c r="X23" s="1183" t="s">
        <v>404</v>
      </c>
      <c r="Z23" s="435"/>
      <c r="AA23" s="435" t="str">
        <f t="shared" si="0"/>
        <v>Схема подключения теплопотребляющей установки к коллектору источника тепловой энергии</v>
      </c>
      <c r="AB23" s="435"/>
      <c r="AC23" s="435"/>
      <c r="AD23" s="1080">
        <v>92</v>
      </c>
    </row>
    <row r="24" spans="1:30" ht="86.25" customHeight="1">
      <c r="A24" s="1288" t="s">
        <v>169</v>
      </c>
      <c r="B24" s="1288" t="s">
        <v>170</v>
      </c>
      <c r="C24" s="1288" t="s">
        <v>171</v>
      </c>
      <c r="D24" s="1288" t="s">
        <v>172</v>
      </c>
      <c r="E24" s="1288"/>
      <c r="F24" s="2153"/>
      <c r="G24" s="2153" t="str">
        <f>F23&amp;".1"</f>
        <v>....1.1</v>
      </c>
      <c r="I24" s="2185"/>
      <c r="J24" s="2185">
        <v>1</v>
      </c>
      <c r="K24" s="292"/>
      <c r="L24" s="1218" t="str">
        <f>$G$24</f>
        <v>....1.1</v>
      </c>
      <c r="M24" s="222" t="s">
        <v>406</v>
      </c>
      <c r="N24" s="236"/>
      <c r="O24" s="2175"/>
      <c r="P24" s="2176"/>
      <c r="Q24" s="2176"/>
      <c r="R24" s="2176"/>
      <c r="S24" s="2176"/>
      <c r="T24" s="2176"/>
      <c r="U24" s="2176"/>
      <c r="V24" s="2176"/>
      <c r="W24" s="2177"/>
      <c r="X24" s="1183" t="s">
        <v>407</v>
      </c>
      <c r="Z24" s="435"/>
      <c r="AA24" s="435" t="str">
        <f t="shared" si="0"/>
        <v>Группа потребителей</v>
      </c>
      <c r="AB24" s="435"/>
      <c r="AC24" s="435"/>
      <c r="AD24" s="1080">
        <v>82</v>
      </c>
    </row>
    <row r="25" spans="1:30" ht="11.45" customHeight="1">
      <c r="A25" s="1288" t="s">
        <v>169</v>
      </c>
      <c r="B25" s="1288" t="s">
        <v>170</v>
      </c>
      <c r="C25" s="1288" t="s">
        <v>171</v>
      </c>
      <c r="D25" s="1288" t="s">
        <v>172</v>
      </c>
      <c r="E25" s="1288"/>
      <c r="F25" s="2153"/>
      <c r="G25" s="2153"/>
      <c r="H25" s="2153" t="str">
        <f>G24&amp;".1"</f>
        <v>....1.1.1</v>
      </c>
      <c r="I25" s="2185"/>
      <c r="J25" s="2185"/>
      <c r="K25" s="292">
        <v>1</v>
      </c>
      <c r="L25" s="1218" t="str">
        <f>$H$25</f>
        <v>....1.1.1</v>
      </c>
      <c r="M25" s="1272"/>
      <c r="N25" s="236"/>
      <c r="O25" s="686"/>
      <c r="P25" s="261"/>
      <c r="Q25" s="686"/>
      <c r="R25" s="1182"/>
      <c r="S25" s="2189"/>
      <c r="T25" s="2047" t="s">
        <v>66</v>
      </c>
      <c r="U25" s="2189"/>
      <c r="V25" s="2047" t="s">
        <v>19</v>
      </c>
      <c r="W25" s="261"/>
      <c r="X25" s="2181" t="s">
        <v>409</v>
      </c>
      <c r="Y25" s="446" t="e">
        <f ca="1">STRCHECKDATE(O26:W26)</f>
        <v>#NAME?</v>
      </c>
      <c r="Z25" s="435"/>
      <c r="AA25" s="435" t="str">
        <f t="shared" si="0"/>
        <v/>
      </c>
      <c r="AB25" s="435"/>
      <c r="AC25" s="435"/>
      <c r="AD25" s="1080">
        <v>11</v>
      </c>
    </row>
    <row r="26" spans="1:30" ht="11.45" customHeight="1">
      <c r="A26" s="1288" t="s">
        <v>169</v>
      </c>
      <c r="B26" s="1288" t="s">
        <v>170</v>
      </c>
      <c r="C26" s="1288" t="s">
        <v>171</v>
      </c>
      <c r="D26" s="1288" t="s">
        <v>172</v>
      </c>
      <c r="E26" s="1288"/>
      <c r="F26" s="2153"/>
      <c r="G26" s="2153"/>
      <c r="H26" s="2153"/>
      <c r="I26" s="2185"/>
      <c r="J26" s="2185"/>
      <c r="K26" s="292"/>
      <c r="L26" s="1219"/>
      <c r="M26" s="236"/>
      <c r="N26" s="236"/>
      <c r="O26" s="261"/>
      <c r="P26" s="261"/>
      <c r="Q26" s="261"/>
      <c r="R26" s="264" t="str">
        <f>S25&amp;"-"&amp;U25</f>
        <v>-</v>
      </c>
      <c r="S26" s="2190"/>
      <c r="T26" s="2047"/>
      <c r="U26" s="2190"/>
      <c r="V26" s="2047"/>
      <c r="W26" s="261"/>
      <c r="X26" s="2182"/>
      <c r="Z26" s="435"/>
      <c r="AA26" s="435" t="str">
        <f t="shared" si="0"/>
        <v/>
      </c>
      <c r="AB26" s="435"/>
      <c r="AC26" s="435"/>
      <c r="AD26" s="1080">
        <v>11</v>
      </c>
    </row>
    <row r="27" spans="1:30" ht="15.75" customHeight="1">
      <c r="A27" s="1288" t="s">
        <v>169</v>
      </c>
      <c r="B27" s="1288" t="s">
        <v>170</v>
      </c>
      <c r="C27" s="1288" t="s">
        <v>171</v>
      </c>
      <c r="D27" s="1288" t="s">
        <v>172</v>
      </c>
      <c r="E27" s="1288"/>
      <c r="F27" s="2153"/>
      <c r="G27" s="2153"/>
      <c r="I27" s="2185"/>
      <c r="J27" s="2185"/>
      <c r="K27" s="291"/>
      <c r="L27" s="1203"/>
      <c r="M27" s="224" t="s">
        <v>410</v>
      </c>
      <c r="N27" s="302"/>
      <c r="O27" s="302"/>
      <c r="P27" s="302"/>
      <c r="Q27" s="302"/>
      <c r="R27" s="302"/>
      <c r="S27" s="302"/>
      <c r="T27" s="302"/>
      <c r="U27" s="302"/>
      <c r="V27" s="302"/>
      <c r="W27" s="260"/>
      <c r="X27" s="2183"/>
      <c r="Z27" s="435"/>
      <c r="AA27" s="435" t="str">
        <f t="shared" si="0"/>
        <v>Добавить вид теплоносителя (параметры теплоносителя)</v>
      </c>
      <c r="AB27" s="435"/>
      <c r="AC27" s="435"/>
      <c r="AD27" s="1080">
        <v>15</v>
      </c>
    </row>
    <row r="28" spans="1:30" ht="15.75" customHeight="1">
      <c r="A28" s="1288" t="s">
        <v>169</v>
      </c>
      <c r="B28" s="1288" t="s">
        <v>170</v>
      </c>
      <c r="C28" s="1288" t="s">
        <v>171</v>
      </c>
      <c r="D28" s="1288" t="s">
        <v>172</v>
      </c>
      <c r="E28" s="1288"/>
      <c r="F28" s="2153"/>
      <c r="I28" s="2185"/>
      <c r="J28" s="1216"/>
      <c r="K28" s="291"/>
      <c r="L28" s="1203"/>
      <c r="M28" s="223" t="s">
        <v>411</v>
      </c>
      <c r="N28" s="302"/>
      <c r="O28" s="302"/>
      <c r="P28" s="302"/>
      <c r="Q28" s="302"/>
      <c r="R28" s="302"/>
      <c r="S28" s="302"/>
      <c r="T28" s="302"/>
      <c r="U28" s="302"/>
      <c r="V28" s="301"/>
      <c r="W28" s="302"/>
      <c r="X28" s="239"/>
      <c r="Z28" s="435"/>
      <c r="AA28" s="435" t="str">
        <f t="shared" si="0"/>
        <v>Добавить группу потребителей</v>
      </c>
      <c r="AB28" s="435"/>
      <c r="AC28" s="435"/>
      <c r="AD28" s="1080">
        <v>15</v>
      </c>
    </row>
    <row r="29" spans="1:30" ht="14.65" customHeight="1">
      <c r="A29" s="1288" t="s">
        <v>169</v>
      </c>
      <c r="B29" s="1288" t="s">
        <v>170</v>
      </c>
      <c r="C29" s="1288" t="s">
        <v>171</v>
      </c>
      <c r="D29" s="1288" t="s">
        <v>172</v>
      </c>
      <c r="E29" s="1288"/>
      <c r="F29" s="1290"/>
      <c r="G29" s="1290"/>
      <c r="H29" s="472"/>
      <c r="I29" s="295"/>
      <c r="J29" s="310"/>
      <c r="K29" s="290"/>
      <c r="L29" s="1203"/>
      <c r="M29" s="300" t="s">
        <v>412</v>
      </c>
      <c r="N29" s="302"/>
      <c r="O29" s="302"/>
      <c r="P29" s="302"/>
      <c r="Q29" s="302"/>
      <c r="R29" s="302"/>
      <c r="S29" s="302"/>
      <c r="T29" s="302"/>
      <c r="U29" s="302"/>
      <c r="V29" s="301"/>
      <c r="W29" s="302"/>
      <c r="X29" s="239"/>
      <c r="Z29" s="435"/>
      <c r="AA29" s="435" t="str">
        <f t="shared" si="0"/>
        <v>Добавить схему подключения</v>
      </c>
      <c r="AB29" s="435"/>
      <c r="AC29" s="435"/>
      <c r="AD29" s="1080">
        <v>14</v>
      </c>
    </row>
    <row r="30" spans="1:30" ht="14.65" customHeight="1">
      <c r="A30" s="1288" t="s">
        <v>169</v>
      </c>
      <c r="B30" s="1288" t="s">
        <v>170</v>
      </c>
      <c r="C30" s="1288" t="s">
        <v>171</v>
      </c>
      <c r="D30" s="1288"/>
      <c r="E30" s="1288" t="s">
        <v>585</v>
      </c>
      <c r="F30" s="1290"/>
      <c r="G30" s="1290"/>
      <c r="H30" s="472"/>
      <c r="I30" s="295"/>
      <c r="J30" s="310"/>
      <c r="K30" s="290"/>
      <c r="L30" s="1204"/>
      <c r="M30" s="1193"/>
      <c r="N30" s="1194"/>
      <c r="O30" s="1194"/>
      <c r="P30" s="1194"/>
      <c r="Q30" s="1194"/>
      <c r="R30" s="1194"/>
      <c r="S30" s="1194"/>
      <c r="T30" s="1194"/>
      <c r="U30" s="1194"/>
      <c r="V30" s="1195"/>
      <c r="W30" s="1194"/>
      <c r="X30" s="1196"/>
      <c r="Z30" s="435"/>
      <c r="AA30" s="435" t="str">
        <f t="shared" si="0"/>
        <v/>
      </c>
      <c r="AB30" s="435"/>
      <c r="AC30" s="435"/>
      <c r="AD30" s="1080">
        <v>14</v>
      </c>
    </row>
    <row r="31" spans="1:30" ht="14.65" customHeight="1">
      <c r="A31" s="1288" t="s">
        <v>169</v>
      </c>
      <c r="B31" s="1288" t="s">
        <v>170</v>
      </c>
      <c r="C31" s="1288"/>
      <c r="D31" s="1288"/>
      <c r="E31" s="1288" t="s">
        <v>2227</v>
      </c>
      <c r="F31" s="1442"/>
      <c r="G31" s="1442"/>
      <c r="H31" s="472"/>
      <c r="I31" s="293"/>
      <c r="J31" s="310"/>
      <c r="K31" s="294"/>
      <c r="L31" s="1204"/>
      <c r="M31" s="1197"/>
      <c r="N31" s="1194"/>
      <c r="O31" s="1194"/>
      <c r="P31" s="1194"/>
      <c r="Q31" s="1194"/>
      <c r="R31" s="1194"/>
      <c r="S31" s="1194"/>
      <c r="T31" s="1194"/>
      <c r="U31" s="1194"/>
      <c r="V31" s="1195"/>
      <c r="W31" s="1194"/>
      <c r="X31" s="1196"/>
      <c r="Z31" s="435"/>
      <c r="AA31" s="435" t="str">
        <f t="shared" si="0"/>
        <v/>
      </c>
      <c r="AB31" s="435"/>
      <c r="AC31" s="435"/>
      <c r="AD31" s="1080">
        <v>14</v>
      </c>
    </row>
    <row r="32" spans="1:30" ht="14.65" customHeight="1">
      <c r="A32" s="1288" t="s">
        <v>2228</v>
      </c>
      <c r="B32" s="1288"/>
      <c r="C32" s="1288"/>
      <c r="D32" s="1288"/>
      <c r="E32" s="1288" t="s">
        <v>104</v>
      </c>
      <c r="F32" s="1442"/>
      <c r="G32" s="1442"/>
      <c r="H32" s="472"/>
      <c r="I32" s="295"/>
      <c r="J32" s="310"/>
      <c r="K32" s="290"/>
      <c r="L32" s="1204"/>
      <c r="M32" s="1198"/>
      <c r="N32" s="1194"/>
      <c r="O32" s="1194"/>
      <c r="P32" s="1194"/>
      <c r="Q32" s="1194"/>
      <c r="R32" s="1194"/>
      <c r="S32" s="1194"/>
      <c r="T32" s="1194"/>
      <c r="U32" s="1194"/>
      <c r="V32" s="1195"/>
      <c r="W32" s="1194"/>
      <c r="X32" s="1196"/>
      <c r="Z32" s="435"/>
      <c r="AA32" s="435" t="str">
        <f t="shared" si="0"/>
        <v/>
      </c>
      <c r="AB32" s="435"/>
      <c r="AC32" s="435"/>
      <c r="AD32" s="1080">
        <v>14</v>
      </c>
    </row>
    <row r="33" spans="1:30" s="1774" customFormat="1" ht="11.45" customHeight="1">
      <c r="A33" s="1288"/>
      <c r="B33" s="1288"/>
      <c r="C33" s="1288"/>
      <c r="D33" s="1288"/>
      <c r="E33" s="1288" t="s">
        <v>447</v>
      </c>
      <c r="F33" s="1443"/>
      <c r="G33" s="1444"/>
      <c r="H33" s="472"/>
      <c r="L33" s="1205"/>
      <c r="M33" s="1199"/>
      <c r="N33" s="1194"/>
      <c r="O33" s="1194"/>
      <c r="P33" s="1194"/>
      <c r="Q33" s="1194"/>
      <c r="R33" s="1194"/>
      <c r="S33" s="1194"/>
      <c r="T33" s="1194"/>
      <c r="U33" s="1194"/>
      <c r="V33" s="1195"/>
      <c r="W33" s="1194"/>
      <c r="X33" s="1196"/>
      <c r="Y33" s="314"/>
      <c r="Z33" s="314"/>
      <c r="AA33" s="314"/>
      <c r="AB33" s="314"/>
      <c r="AC33" s="314"/>
      <c r="AD33" s="308">
        <v>11</v>
      </c>
    </row>
    <row r="34" spans="1:30" ht="11.45" customHeight="1">
      <c r="F34" s="1085"/>
      <c r="G34" s="1085"/>
      <c r="H34" s="472"/>
      <c r="I34" s="1080"/>
      <c r="J34" s="1080"/>
      <c r="K34" s="1080"/>
      <c r="Y34" s="1080"/>
      <c r="Z34" s="1080"/>
      <c r="AA34" s="1080"/>
      <c r="AB34" s="1080"/>
      <c r="AC34" s="1080"/>
      <c r="AD34" s="1080">
        <v>11</v>
      </c>
    </row>
    <row r="35" spans="1:30" ht="28.5" customHeight="1">
      <c r="H35" s="472"/>
      <c r="L35" s="1213" t="s">
        <v>803</v>
      </c>
      <c r="M35" s="2206" t="s">
        <v>2229</v>
      </c>
      <c r="N35" s="2206"/>
      <c r="O35" s="2206"/>
      <c r="P35" s="2206"/>
      <c r="Q35" s="2206"/>
      <c r="R35" s="2206"/>
      <c r="S35" s="2206"/>
      <c r="T35" s="2206"/>
      <c r="U35" s="2206"/>
      <c r="V35" s="2206"/>
      <c r="W35" s="2206"/>
      <c r="X35" s="2206"/>
      <c r="AD35" s="1080">
        <v>27</v>
      </c>
    </row>
    <row r="36" spans="1:30" ht="109.15" customHeight="1">
      <c r="H36" s="472"/>
      <c r="I36" s="1228"/>
      <c r="M36" s="2206" t="s">
        <v>2230</v>
      </c>
      <c r="N36" s="2206"/>
      <c r="O36" s="2206"/>
      <c r="P36" s="2206"/>
      <c r="Q36" s="2206"/>
      <c r="R36" s="2206"/>
      <c r="S36" s="2206"/>
      <c r="T36" s="2206"/>
      <c r="U36" s="2206"/>
      <c r="V36" s="2206"/>
      <c r="W36" s="2206"/>
      <c r="X36" s="2206"/>
      <c r="AD36" s="1080">
        <v>104</v>
      </c>
    </row>
    <row r="37" spans="1:30" ht="14.65" customHeight="1">
      <c r="H37" s="472"/>
      <c r="AD37" s="1080">
        <v>14</v>
      </c>
    </row>
    <row r="38" spans="1:30" ht="14.65" customHeight="1">
      <c r="H38" s="472"/>
      <c r="AD38" s="1080">
        <v>14</v>
      </c>
    </row>
    <row r="39" spans="1:30" ht="14.65" customHeight="1">
      <c r="H39" s="472"/>
      <c r="AD39" s="1080">
        <v>14</v>
      </c>
    </row>
    <row r="40" spans="1:30" ht="14.65" customHeight="1">
      <c r="H40" s="472"/>
      <c r="AD40" s="1080">
        <v>14</v>
      </c>
    </row>
    <row r="41" spans="1:30" ht="22.5" hidden="1" customHeight="1">
      <c r="A41" s="1085" t="s">
        <v>82</v>
      </c>
      <c r="B41" s="1085">
        <v>0</v>
      </c>
      <c r="C41" s="1085">
        <v>0</v>
      </c>
      <c r="D41" s="1085">
        <v>0</v>
      </c>
      <c r="E41" s="1085">
        <v>0</v>
      </c>
      <c r="F41" s="1287">
        <v>0</v>
      </c>
      <c r="G41" s="1287">
        <v>0</v>
      </c>
      <c r="H41" s="1287">
        <v>0</v>
      </c>
      <c r="I41" s="1211">
        <v>3</v>
      </c>
      <c r="J41" s="280">
        <v>3</v>
      </c>
      <c r="K41" s="280">
        <v>3</v>
      </c>
      <c r="L41" s="516">
        <v>12</v>
      </c>
      <c r="M41" s="1080">
        <v>31</v>
      </c>
      <c r="N41" s="1080">
        <v>1</v>
      </c>
      <c r="O41" s="1080">
        <v>24</v>
      </c>
      <c r="P41" s="1080">
        <v>24</v>
      </c>
      <c r="Q41" s="1080">
        <v>24</v>
      </c>
      <c r="R41" s="1080">
        <v>24</v>
      </c>
      <c r="S41" s="1080">
        <v>11</v>
      </c>
      <c r="T41" s="1080">
        <v>3</v>
      </c>
      <c r="U41" s="1080">
        <v>11</v>
      </c>
      <c r="V41" s="1080">
        <v>8</v>
      </c>
      <c r="W41" s="1080">
        <v>4</v>
      </c>
      <c r="X41" s="1080">
        <v>115</v>
      </c>
      <c r="Y41" s="446">
        <v>10</v>
      </c>
      <c r="Z41" s="446">
        <v>10</v>
      </c>
      <c r="AA41" s="446">
        <v>10</v>
      </c>
      <c r="AB41" s="446">
        <v>10</v>
      </c>
      <c r="AC41" s="446">
        <v>10</v>
      </c>
      <c r="AD41" s="1080">
        <v>23</v>
      </c>
    </row>
  </sheetData>
  <sheetProtection formatColumns="0" formatRows="0" insertRows="0" deleteColumns="0" deleteRows="0" sort="0" autoFilter="0"/>
  <mergeCells count="39">
    <mergeCell ref="O19:W19"/>
    <mergeCell ref="O20:W20"/>
    <mergeCell ref="O21:W21"/>
    <mergeCell ref="O22:W22"/>
    <mergeCell ref="F23:F28"/>
    <mergeCell ref="I23:I28"/>
    <mergeCell ref="O23:W23"/>
    <mergeCell ref="G24:G27"/>
    <mergeCell ref="J24:J27"/>
    <mergeCell ref="O24:W24"/>
    <mergeCell ref="O11:U11"/>
    <mergeCell ref="L12:M12"/>
    <mergeCell ref="O13:V13"/>
    <mergeCell ref="L14:W14"/>
    <mergeCell ref="T18:U18"/>
    <mergeCell ref="L5:U5"/>
    <mergeCell ref="L6:U6"/>
    <mergeCell ref="O8:U8"/>
    <mergeCell ref="O9:U9"/>
    <mergeCell ref="O10:U10"/>
    <mergeCell ref="X14:X17"/>
    <mergeCell ref="L15:L17"/>
    <mergeCell ref="M15:M17"/>
    <mergeCell ref="O15:U15"/>
    <mergeCell ref="V15:V17"/>
    <mergeCell ref="W15:W17"/>
    <mergeCell ref="O16:O17"/>
    <mergeCell ref="P16:P17"/>
    <mergeCell ref="Q16:R16"/>
    <mergeCell ref="S16:U16"/>
    <mergeCell ref="T17:U17"/>
    <mergeCell ref="X25:X27"/>
    <mergeCell ref="M35:X35"/>
    <mergeCell ref="M36:X36"/>
    <mergeCell ref="H25:H26"/>
    <mergeCell ref="S25:S26"/>
    <mergeCell ref="T25:T26"/>
    <mergeCell ref="U25:U26"/>
    <mergeCell ref="V25:V26"/>
  </mergeCells>
  <dataValidations count="8">
    <dataValidation type="list" allowBlank="1" showInputMessage="1" showErrorMessage="1" errorTitle="Ошибка" error="Выберите значение из списка" sqref="O983063:P983063 O65559:P65559 O131095:P131095 O196631:P196631 O262167:P262167 O327703:P327703 O393239:P393239 O458775:P458775 O524311:P524311 O589847:P589847 O655383:P655383 O720919:P720919 O786455:P786455 O851991:P851991 O917527:P917527">
      <formula1>kind_of_scheme_in</formula1>
    </dataValidation>
    <dataValidation type="textLength" operator="lessThanOrEqual" allowBlank="1" showInputMessage="1" showErrorMessage="1" errorTitle="Ошибка" error="Допускается ввод не более 900 символов!" sqref="X65555:X65562 X131091:X131098 X196627:X196634 X262163:X262170 X327699:X327706 X393235:X393242 X458771:X458778 X524307:X524314 X589843:X589850 X655379:X655386 X720915:X720922 X786451:X786458 X851987:X851994 X917523:X917530 X983059:X983066">
      <formula1>900</formula1>
    </dataValidation>
    <dataValidation type="list" allowBlank="1" showInputMessage="1" errorTitle="Ошибка" error="Выберите значение из списка" prompt="Выберите значение из списка" sqref="O983064:W983064 O65560:W65560 O131096:W131096 O196632:W196632 O262168:W262168 O327704:W327704 O393240:W393240 O458776:W458776 O524312:W524312 O589848:W589848 O655384:W655384 O720920:W720920 O786456:W786456 O851992:W851992 O917528:W917528">
      <formula1>kind_of_cons</formula1>
    </dataValidation>
    <dataValidation type="list" allowBlank="1" showInputMessage="1" showErrorMessage="1" errorTitle="Ошибка" error="Выберите значение из списка" sqref="M65561 M131097 M196633 M262169 M327705 M393241 M458777 M524313 M589849 M655385 M720921 M786457 M851993 M917529 M983065">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S65561 S131097 S196633 S262169 S327705 S393241 S458777 S524313 S589849 S655385 S720921 S786457 S851993 S917529 S983065 U65561 U131097 U196633 U262169 U327705 U393241 U458777 U524313 U589849 U655385 U720921 U786457 U851993 U917529 U983065 U25 S25"/>
    <dataValidation allowBlank="1" showInputMessage="1" showErrorMessage="1" prompt="Для выбора выполните двойной щелчок левой клавиши мыши по соответствующей ячейке." sqref="T65561 T131097 T196633 T262169 T327705 T393241 T458777 T524313 T589849 T655385 T720921 T786457 T851993 T917529 T983065 V589849 V655385 V720921 V786457 V851993 V917529 V983065 V65561 V131097 V458777 V196633 V262169 V327705 V393241 V25 T25 V524313"/>
    <dataValidation allowBlank="1" promptTitle="checkPeriodRange" sqref="R26 R65562 R131098 R196634 R262170 R327706 R393242 R458778 R524314 R589850 R655386 R720922 R786458 R851994 R917530 R983066"/>
    <dataValidation allowBlank="1" sqref="L131099:X131105 L196635:X196641 L262171:X262177 L327707:X327713 L393243:X393249 L458779:X458785 L524315:X524321 L589851:X589857 L655387:X655393 L720923:X720929 L786459:X786465 L851995:X852001 L917531:X917537 L983067:X983073 L65563:X65569"/>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6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CC99"/>
  </sheetPr>
  <dimension ref="A1"/>
  <sheetViews>
    <sheetView showGridLines="0" workbookViewId="0"/>
  </sheetViews>
  <sheetFormatPr defaultRowHeight="11.25" customHeight="1"/>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6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CC99"/>
  </sheetPr>
  <dimension ref="A1"/>
  <sheetViews>
    <sheetView showGridLines="0" workbookViewId="0"/>
  </sheetViews>
  <sheetFormatPr defaultRowHeight="11.25" customHeight="1"/>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6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CC99"/>
  </sheetPr>
  <dimension ref="A1"/>
  <sheetViews>
    <sheetView showGridLines="0" workbookViewId="0"/>
  </sheetViews>
  <sheetFormatPr defaultRowHeight="11.25" customHeight="1"/>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6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CC99"/>
  </sheetPr>
  <dimension ref="A1"/>
  <sheetViews>
    <sheetView showGridLines="0" workbookViewId="0"/>
  </sheetViews>
  <sheetFormatPr defaultRowHeight="11.25" customHeight="1"/>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6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CC99"/>
  </sheetPr>
  <dimension ref="A1"/>
  <sheetViews>
    <sheetView showGridLines="0" workbookViewId="0"/>
  </sheetViews>
  <sheetFormatPr defaultRowHeight="11.25" customHeight="1"/>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7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CC99"/>
  </sheetPr>
  <dimension ref="A1"/>
  <sheetViews>
    <sheetView showGridLines="0" workbookViewId="0"/>
  </sheetViews>
  <sheetFormatPr defaultRowHeight="11.25" customHeight="1"/>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7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CC99"/>
  </sheetPr>
  <dimension ref="A1"/>
  <sheetViews>
    <sheetView showGridLines="0" workbookViewId="0"/>
  </sheetViews>
  <sheetFormatPr defaultRowHeight="11.25" customHeight="1"/>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7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CC99"/>
  </sheetPr>
  <dimension ref="A1"/>
  <sheetViews>
    <sheetView showGridLines="0" workbookViewId="0"/>
  </sheetViews>
  <sheetFormatPr defaultRowHeight="11.25" customHeight="1"/>
  <sheetData>
    <row r="1" spans="1:1" ht="11.25" customHeight="1">
      <c r="A1" s="4"/>
    </row>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7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8"/>
  <sheetViews>
    <sheetView showGridLines="0" workbookViewId="0"/>
  </sheetViews>
  <sheetFormatPr defaultRowHeight="11.25" customHeight="1"/>
  <cols>
    <col min="1" max="1" width="10.5703125" style="2" customWidth="1"/>
    <col min="2" max="2" width="8.7109375" style="2" customWidth="1"/>
    <col min="3" max="3" width="18.140625" style="2" customWidth="1"/>
    <col min="4" max="4" width="12.5703125" style="2" customWidth="1"/>
  </cols>
  <sheetData>
    <row r="1" spans="1:5" ht="11.25" customHeight="1">
      <c r="A1" s="2004" t="s">
        <v>2231</v>
      </c>
      <c r="B1" s="2005" t="s">
        <v>2232</v>
      </c>
      <c r="C1" s="2465" t="s">
        <v>2233</v>
      </c>
      <c r="D1" s="2466"/>
      <c r="E1" s="765" t="s">
        <v>2234</v>
      </c>
    </row>
    <row r="2" spans="1:5" ht="11.25" customHeight="1">
      <c r="A2" s="2006"/>
      <c r="B2" s="698" t="s">
        <v>27</v>
      </c>
      <c r="C2" s="688"/>
      <c r="D2" s="697"/>
      <c r="E2" s="765"/>
    </row>
    <row r="3" spans="1:5" ht="11.25" customHeight="1">
      <c r="A3" s="2007"/>
      <c r="B3" s="2008" t="s">
        <v>33</v>
      </c>
      <c r="C3" s="688"/>
      <c r="D3" s="697"/>
      <c r="E3" s="765"/>
    </row>
    <row r="4" spans="1:5" ht="11.25" customHeight="1">
      <c r="A4" s="2009"/>
      <c r="B4" s="699" t="s">
        <v>1659</v>
      </c>
      <c r="C4" s="688"/>
      <c r="D4" s="697"/>
      <c r="E4" s="765"/>
    </row>
    <row r="5" spans="1:5" ht="11.25" customHeight="1">
      <c r="A5" s="2010"/>
      <c r="B5" s="699" t="s">
        <v>1653</v>
      </c>
      <c r="C5" s="2011" t="s">
        <v>1998</v>
      </c>
      <c r="D5" s="2012" t="s">
        <v>2235</v>
      </c>
      <c r="E5" s="765"/>
    </row>
    <row r="6" spans="1:5" s="1774" customFormat="1" ht="11.25" customHeight="1">
      <c r="A6" s="2013"/>
      <c r="B6" s="699" t="s">
        <v>1663</v>
      </c>
      <c r="C6" s="688"/>
      <c r="D6" s="697"/>
      <c r="E6" s="765"/>
    </row>
    <row r="7" spans="1:5" ht="11.25" customHeight="1">
      <c r="A7" s="2014"/>
      <c r="B7" s="699" t="s">
        <v>1670</v>
      </c>
      <c r="C7" s="688"/>
      <c r="D7" s="697"/>
      <c r="E7" s="765"/>
    </row>
    <row r="8" spans="1:5" ht="11.25" customHeight="1">
      <c r="A8" s="690"/>
      <c r="B8" s="699" t="s">
        <v>1665</v>
      </c>
      <c r="C8" s="688"/>
      <c r="D8" s="697"/>
      <c r="E8" s="765"/>
    </row>
  </sheetData>
  <sheetProtection formatColumns="0" formatRows="0" insertRows="0" deleteColumns="0" deleteRows="0" sort="0" autoFilter="0"/>
  <mergeCells count="1">
    <mergeCell ref="C1:D1"/>
  </mergeCell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7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CC99"/>
  </sheetPr>
  <dimension ref="A1"/>
  <sheetViews>
    <sheetView showGridLines="0" workbookViewId="0"/>
  </sheetViews>
  <sheetFormatPr defaultRowHeight="11.25" customHeight="1"/>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7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CC99"/>
  </sheetPr>
  <dimension ref="A1"/>
  <sheetViews>
    <sheetView showGridLines="0" workbookViewId="0"/>
  </sheetViews>
  <sheetFormatPr defaultRowHeight="11.25" customHeight="1"/>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7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CC99"/>
  </sheetPr>
  <dimension ref="A1:I1139"/>
  <sheetViews>
    <sheetView showGridLines="0" workbookViewId="0"/>
  </sheetViews>
  <sheetFormatPr defaultColWidth="9.140625" defaultRowHeight="11.25" customHeight="1"/>
  <cols>
    <col min="1" max="2" width="9.140625" style="1774"/>
    <col min="3" max="3" width="20.7109375" style="1774" customWidth="1"/>
    <col min="4" max="4" width="25.140625" style="1774" customWidth="1"/>
    <col min="5" max="9" width="9.140625" style="1774"/>
  </cols>
  <sheetData>
    <row r="1" spans="1:9" ht="11.25" customHeight="1">
      <c r="A1" s="6" t="s">
        <v>2236</v>
      </c>
      <c r="B1" s="6" t="s">
        <v>2237</v>
      </c>
      <c r="C1" s="6" t="s">
        <v>2238</v>
      </c>
      <c r="D1" s="6" t="s">
        <v>2239</v>
      </c>
      <c r="E1" s="6" t="s">
        <v>2240</v>
      </c>
      <c r="F1" s="6" t="s">
        <v>2241</v>
      </c>
      <c r="G1" s="6" t="s">
        <v>2242</v>
      </c>
      <c r="H1" s="6" t="s">
        <v>2243</v>
      </c>
      <c r="I1" s="6" t="s">
        <v>2244</v>
      </c>
    </row>
    <row r="2" spans="1:9" ht="11.25" customHeight="1">
      <c r="A2" s="1774" t="s">
        <v>2245</v>
      </c>
      <c r="B2" s="1774" t="s">
        <v>16</v>
      </c>
      <c r="C2" s="1774" t="s">
        <v>2246</v>
      </c>
      <c r="D2" s="1774" t="s">
        <v>2247</v>
      </c>
      <c r="E2" s="1774" t="s">
        <v>2248</v>
      </c>
      <c r="F2" s="1774" t="s">
        <v>2249</v>
      </c>
      <c r="G2" s="1774" t="s">
        <v>22</v>
      </c>
      <c r="H2" s="1774" t="s">
        <v>22</v>
      </c>
      <c r="I2" s="1774" t="s">
        <v>807</v>
      </c>
    </row>
    <row r="3" spans="1:9" ht="11.25" customHeight="1">
      <c r="A3" s="1774" t="s">
        <v>2245</v>
      </c>
      <c r="B3" s="1774" t="s">
        <v>16</v>
      </c>
      <c r="C3" s="1774" t="s">
        <v>2250</v>
      </c>
      <c r="D3" s="1774" t="s">
        <v>2251</v>
      </c>
      <c r="E3" s="1774" t="s">
        <v>2252</v>
      </c>
      <c r="F3" s="1774" t="s">
        <v>2253</v>
      </c>
      <c r="G3" s="1774" t="s">
        <v>2254</v>
      </c>
      <c r="H3" s="1774" t="s">
        <v>22</v>
      </c>
      <c r="I3" s="1774" t="s">
        <v>807</v>
      </c>
    </row>
    <row r="4" spans="1:9" ht="11.25" customHeight="1">
      <c r="A4" s="1774" t="s">
        <v>2245</v>
      </c>
      <c r="B4" s="1774" t="s">
        <v>16</v>
      </c>
      <c r="C4" s="1774" t="s">
        <v>2255</v>
      </c>
      <c r="D4" s="1774" t="s">
        <v>2256</v>
      </c>
      <c r="E4" s="1774" t="s">
        <v>2257</v>
      </c>
      <c r="F4" s="1774" t="s">
        <v>51</v>
      </c>
      <c r="G4" s="1774" t="s">
        <v>22</v>
      </c>
      <c r="H4" s="1774" t="s">
        <v>22</v>
      </c>
      <c r="I4" s="1774" t="s">
        <v>807</v>
      </c>
    </row>
    <row r="5" spans="1:9" ht="11.25" customHeight="1">
      <c r="A5" s="1774" t="s">
        <v>2245</v>
      </c>
      <c r="B5" s="1774" t="s">
        <v>16</v>
      </c>
      <c r="C5" s="1774" t="s">
        <v>2258</v>
      </c>
      <c r="D5" s="1774" t="s">
        <v>2259</v>
      </c>
      <c r="E5" s="1774" t="s">
        <v>2260</v>
      </c>
      <c r="F5" s="1774" t="s">
        <v>2261</v>
      </c>
      <c r="G5" s="1774" t="s">
        <v>22</v>
      </c>
      <c r="H5" s="1774" t="s">
        <v>22</v>
      </c>
      <c r="I5" s="1774" t="s">
        <v>807</v>
      </c>
    </row>
    <row r="6" spans="1:9" ht="11.25" customHeight="1">
      <c r="A6" s="1774" t="s">
        <v>2245</v>
      </c>
      <c r="B6" s="1774" t="s">
        <v>16</v>
      </c>
      <c r="C6" s="1774" t="s">
        <v>2262</v>
      </c>
      <c r="D6" s="1774" t="s">
        <v>2263</v>
      </c>
      <c r="E6" s="1774" t="s">
        <v>2264</v>
      </c>
      <c r="F6" s="1774" t="s">
        <v>2265</v>
      </c>
      <c r="G6" s="1774" t="s">
        <v>2266</v>
      </c>
      <c r="H6" s="1774" t="s">
        <v>22</v>
      </c>
      <c r="I6" s="1774" t="s">
        <v>807</v>
      </c>
    </row>
    <row r="7" spans="1:9" ht="11.25" customHeight="1">
      <c r="A7" s="1774" t="s">
        <v>2245</v>
      </c>
      <c r="B7" s="1774" t="s">
        <v>16</v>
      </c>
      <c r="C7" s="1774" t="s">
        <v>2267</v>
      </c>
      <c r="D7" s="1774" t="s">
        <v>2268</v>
      </c>
      <c r="E7" s="1774" t="s">
        <v>2269</v>
      </c>
      <c r="F7" s="1774" t="s">
        <v>2270</v>
      </c>
      <c r="G7" s="1774" t="s">
        <v>22</v>
      </c>
      <c r="H7" s="1774" t="s">
        <v>22</v>
      </c>
      <c r="I7" s="1774" t="s">
        <v>807</v>
      </c>
    </row>
    <row r="8" spans="1:9" ht="11.25" customHeight="1">
      <c r="A8" s="1774" t="s">
        <v>2245</v>
      </c>
      <c r="B8" s="1774" t="s">
        <v>16</v>
      </c>
      <c r="C8" s="1774" t="s">
        <v>2271</v>
      </c>
      <c r="D8" s="1774" t="s">
        <v>2272</v>
      </c>
      <c r="E8" s="1774" t="s">
        <v>2273</v>
      </c>
      <c r="F8" s="1774" t="s">
        <v>2261</v>
      </c>
      <c r="G8" s="1774" t="s">
        <v>22</v>
      </c>
      <c r="H8" s="1774" t="s">
        <v>22</v>
      </c>
      <c r="I8" s="1774" t="s">
        <v>807</v>
      </c>
    </row>
    <row r="9" spans="1:9" ht="11.25" customHeight="1">
      <c r="A9" s="1774" t="s">
        <v>2245</v>
      </c>
      <c r="B9" s="1774" t="s">
        <v>16</v>
      </c>
      <c r="C9" s="1774" t="s">
        <v>2274</v>
      </c>
      <c r="D9" s="1774" t="s">
        <v>2275</v>
      </c>
      <c r="E9" s="1774" t="s">
        <v>2276</v>
      </c>
      <c r="F9" s="1774" t="s">
        <v>2270</v>
      </c>
      <c r="G9" s="1774" t="s">
        <v>22</v>
      </c>
      <c r="H9" s="1774" t="s">
        <v>22</v>
      </c>
      <c r="I9" s="1774" t="s">
        <v>807</v>
      </c>
    </row>
    <row r="10" spans="1:9" ht="11.25" customHeight="1">
      <c r="A10" s="1774" t="s">
        <v>2245</v>
      </c>
      <c r="B10" s="1774" t="s">
        <v>16</v>
      </c>
      <c r="C10" s="1774" t="s">
        <v>2277</v>
      </c>
      <c r="D10" s="1774" t="s">
        <v>2278</v>
      </c>
      <c r="E10" s="1774" t="s">
        <v>2279</v>
      </c>
      <c r="F10" s="1774" t="s">
        <v>2280</v>
      </c>
      <c r="G10" s="1774" t="s">
        <v>22</v>
      </c>
      <c r="H10" s="1774" t="s">
        <v>22</v>
      </c>
      <c r="I10" s="1774" t="s">
        <v>807</v>
      </c>
    </row>
    <row r="11" spans="1:9" ht="11.25" customHeight="1">
      <c r="A11" s="1774" t="s">
        <v>2245</v>
      </c>
      <c r="B11" s="1774" t="s">
        <v>16</v>
      </c>
      <c r="C11" s="1774" t="s">
        <v>2281</v>
      </c>
      <c r="D11" s="1774" t="s">
        <v>2282</v>
      </c>
      <c r="E11" s="1774" t="s">
        <v>2283</v>
      </c>
      <c r="F11" s="1774" t="s">
        <v>2284</v>
      </c>
      <c r="G11" s="1774" t="s">
        <v>22</v>
      </c>
      <c r="H11" s="1774" t="s">
        <v>22</v>
      </c>
      <c r="I11" s="1774" t="s">
        <v>807</v>
      </c>
    </row>
    <row r="12" spans="1:9" ht="11.25" customHeight="1">
      <c r="A12" s="1774" t="s">
        <v>2245</v>
      </c>
      <c r="B12" s="1774" t="s">
        <v>16</v>
      </c>
      <c r="C12" s="1774" t="s">
        <v>2285</v>
      </c>
      <c r="D12" s="1774" t="s">
        <v>2286</v>
      </c>
      <c r="E12" s="1774" t="s">
        <v>2287</v>
      </c>
      <c r="F12" s="1774" t="s">
        <v>2253</v>
      </c>
      <c r="G12" s="1774" t="s">
        <v>22</v>
      </c>
      <c r="H12" s="1774" t="s">
        <v>22</v>
      </c>
      <c r="I12" s="1774" t="s">
        <v>807</v>
      </c>
    </row>
    <row r="13" spans="1:9" ht="11.25" customHeight="1">
      <c r="A13" s="1774" t="s">
        <v>2245</v>
      </c>
      <c r="B13" s="1774" t="s">
        <v>16</v>
      </c>
      <c r="C13" s="1774" t="s">
        <v>2288</v>
      </c>
      <c r="D13" s="1774" t="s">
        <v>2289</v>
      </c>
      <c r="E13" s="1774" t="s">
        <v>2290</v>
      </c>
      <c r="F13" s="1774" t="s">
        <v>2291</v>
      </c>
      <c r="G13" s="1774" t="s">
        <v>22</v>
      </c>
      <c r="H13" s="1774" t="s">
        <v>22</v>
      </c>
      <c r="I13" s="1774" t="s">
        <v>807</v>
      </c>
    </row>
    <row r="14" spans="1:9" ht="11.25" customHeight="1">
      <c r="A14" s="1774" t="s">
        <v>2245</v>
      </c>
      <c r="B14" s="1774" t="s">
        <v>16</v>
      </c>
      <c r="C14" s="1774" t="s">
        <v>2292</v>
      </c>
      <c r="D14" s="1774" t="s">
        <v>2293</v>
      </c>
      <c r="E14" s="1774" t="s">
        <v>2294</v>
      </c>
      <c r="F14" s="1774" t="s">
        <v>2284</v>
      </c>
      <c r="G14" s="1774" t="s">
        <v>22</v>
      </c>
      <c r="H14" s="1774" t="s">
        <v>22</v>
      </c>
      <c r="I14" s="1774" t="s">
        <v>807</v>
      </c>
    </row>
    <row r="15" spans="1:9" ht="11.25" customHeight="1">
      <c r="A15" s="1774" t="s">
        <v>2245</v>
      </c>
      <c r="B15" s="1774" t="s">
        <v>16</v>
      </c>
      <c r="C15" s="1774" t="s">
        <v>2295</v>
      </c>
      <c r="D15" s="1774" t="s">
        <v>2296</v>
      </c>
      <c r="E15" s="1774" t="s">
        <v>2297</v>
      </c>
      <c r="F15" s="1774" t="s">
        <v>2298</v>
      </c>
      <c r="G15" s="1774" t="s">
        <v>22</v>
      </c>
      <c r="H15" s="1774" t="s">
        <v>22</v>
      </c>
      <c r="I15" s="1774" t="s">
        <v>807</v>
      </c>
    </row>
    <row r="16" spans="1:9" ht="11.25" customHeight="1">
      <c r="A16" s="1774" t="s">
        <v>2245</v>
      </c>
      <c r="B16" s="1774" t="s">
        <v>16</v>
      </c>
      <c r="C16" s="1774" t="s">
        <v>2299</v>
      </c>
      <c r="D16" s="1774" t="s">
        <v>2300</v>
      </c>
      <c r="E16" s="1774" t="s">
        <v>2301</v>
      </c>
      <c r="F16" s="1774" t="s">
        <v>2302</v>
      </c>
      <c r="G16" s="1774" t="s">
        <v>22</v>
      </c>
      <c r="H16" s="1774" t="s">
        <v>22</v>
      </c>
      <c r="I16" s="1774" t="s">
        <v>807</v>
      </c>
    </row>
    <row r="17" spans="1:9" ht="11.25" customHeight="1">
      <c r="A17" s="1774" t="s">
        <v>2245</v>
      </c>
      <c r="B17" s="1774" t="s">
        <v>16</v>
      </c>
      <c r="C17" s="1774" t="s">
        <v>2303</v>
      </c>
      <c r="D17" s="1774" t="s">
        <v>2304</v>
      </c>
      <c r="E17" s="1774" t="s">
        <v>2305</v>
      </c>
      <c r="F17" s="1774" t="s">
        <v>2306</v>
      </c>
      <c r="G17" s="1774" t="s">
        <v>22</v>
      </c>
      <c r="H17" s="1774" t="s">
        <v>22</v>
      </c>
      <c r="I17" s="1774" t="s">
        <v>807</v>
      </c>
    </row>
    <row r="18" spans="1:9" ht="11.25" customHeight="1">
      <c r="A18" s="1774" t="s">
        <v>2245</v>
      </c>
      <c r="B18" s="1774" t="s">
        <v>16</v>
      </c>
      <c r="C18" s="1774" t="s">
        <v>2307</v>
      </c>
      <c r="D18" s="1774" t="s">
        <v>2308</v>
      </c>
      <c r="E18" s="1774" t="s">
        <v>2309</v>
      </c>
      <c r="F18" s="1774" t="s">
        <v>2284</v>
      </c>
      <c r="G18" s="1774" t="s">
        <v>22</v>
      </c>
      <c r="H18" s="1774" t="s">
        <v>22</v>
      </c>
      <c r="I18" s="1774" t="s">
        <v>807</v>
      </c>
    </row>
    <row r="19" spans="1:9" ht="11.25" customHeight="1">
      <c r="A19" s="1774" t="s">
        <v>2245</v>
      </c>
      <c r="B19" s="1774" t="s">
        <v>16</v>
      </c>
      <c r="C19" s="1774" t="s">
        <v>2310</v>
      </c>
      <c r="D19" s="1774" t="s">
        <v>2311</v>
      </c>
      <c r="E19" s="1774" t="s">
        <v>2312</v>
      </c>
      <c r="F19" s="1774" t="s">
        <v>2313</v>
      </c>
      <c r="G19" s="1774" t="s">
        <v>22</v>
      </c>
      <c r="H19" s="1774" t="s">
        <v>22</v>
      </c>
      <c r="I19" s="1774" t="s">
        <v>807</v>
      </c>
    </row>
    <row r="20" spans="1:9" ht="11.25" customHeight="1">
      <c r="A20" s="1774" t="s">
        <v>2245</v>
      </c>
      <c r="B20" s="1774" t="s">
        <v>16</v>
      </c>
      <c r="C20" s="1774" t="s">
        <v>2314</v>
      </c>
      <c r="D20" s="1774" t="s">
        <v>2315</v>
      </c>
      <c r="E20" s="1774" t="s">
        <v>2316</v>
      </c>
      <c r="F20" s="1774" t="s">
        <v>2317</v>
      </c>
      <c r="G20" s="1774" t="s">
        <v>22</v>
      </c>
      <c r="H20" s="1774" t="s">
        <v>22</v>
      </c>
      <c r="I20" s="1774" t="s">
        <v>807</v>
      </c>
    </row>
    <row r="21" spans="1:9" ht="11.25" customHeight="1">
      <c r="A21" s="1774" t="s">
        <v>2245</v>
      </c>
      <c r="B21" s="1774" t="s">
        <v>16</v>
      </c>
      <c r="C21" s="1774" t="s">
        <v>2318</v>
      </c>
      <c r="D21" s="1774" t="s">
        <v>2319</v>
      </c>
      <c r="E21" s="1774" t="s">
        <v>2320</v>
      </c>
      <c r="F21" s="1774" t="s">
        <v>2313</v>
      </c>
      <c r="G21" s="1774" t="s">
        <v>22</v>
      </c>
      <c r="H21" s="1774" t="s">
        <v>22</v>
      </c>
      <c r="I21" s="1774" t="s">
        <v>807</v>
      </c>
    </row>
    <row r="22" spans="1:9" ht="11.25" customHeight="1">
      <c r="A22" s="1774" t="s">
        <v>2245</v>
      </c>
      <c r="B22" s="1774" t="s">
        <v>16</v>
      </c>
      <c r="C22" s="1774" t="s">
        <v>2321</v>
      </c>
      <c r="D22" s="1774" t="s">
        <v>2322</v>
      </c>
      <c r="E22" s="1774" t="s">
        <v>2323</v>
      </c>
      <c r="F22" s="1774" t="s">
        <v>2280</v>
      </c>
      <c r="G22" s="1774" t="s">
        <v>22</v>
      </c>
      <c r="H22" s="1774" t="s">
        <v>22</v>
      </c>
      <c r="I22" s="1774" t="s">
        <v>807</v>
      </c>
    </row>
    <row r="23" spans="1:9" ht="11.25" customHeight="1">
      <c r="A23" s="1774" t="s">
        <v>2245</v>
      </c>
      <c r="B23" s="1774" t="s">
        <v>16</v>
      </c>
      <c r="C23" s="1774" t="s">
        <v>2324</v>
      </c>
      <c r="D23" s="1774" t="s">
        <v>2325</v>
      </c>
      <c r="E23" s="1774" t="s">
        <v>2326</v>
      </c>
      <c r="F23" s="1774" t="s">
        <v>2327</v>
      </c>
      <c r="G23" s="1774" t="s">
        <v>22</v>
      </c>
      <c r="H23" s="1774" t="s">
        <v>22</v>
      </c>
      <c r="I23" s="1774" t="s">
        <v>807</v>
      </c>
    </row>
    <row r="24" spans="1:9" ht="11.25" customHeight="1">
      <c r="A24" s="1774" t="s">
        <v>2245</v>
      </c>
      <c r="B24" s="1774" t="s">
        <v>16</v>
      </c>
      <c r="C24" s="1774" t="s">
        <v>2328</v>
      </c>
      <c r="D24" s="1774" t="s">
        <v>2329</v>
      </c>
      <c r="E24" s="1774" t="s">
        <v>2330</v>
      </c>
      <c r="F24" s="1774" t="s">
        <v>2261</v>
      </c>
      <c r="G24" s="1774" t="s">
        <v>2331</v>
      </c>
      <c r="H24" s="1774" t="s">
        <v>22</v>
      </c>
      <c r="I24" s="1774" t="s">
        <v>807</v>
      </c>
    </row>
    <row r="25" spans="1:9" ht="11.25" customHeight="1">
      <c r="A25" s="1774" t="s">
        <v>2245</v>
      </c>
      <c r="B25" s="1774" t="s">
        <v>16</v>
      </c>
      <c r="C25" s="1774" t="s">
        <v>2332</v>
      </c>
      <c r="D25" s="1774" t="s">
        <v>2333</v>
      </c>
      <c r="E25" s="1774" t="s">
        <v>2334</v>
      </c>
      <c r="F25" s="1774" t="s">
        <v>2313</v>
      </c>
      <c r="G25" s="1774" t="s">
        <v>22</v>
      </c>
      <c r="H25" s="1774" t="s">
        <v>22</v>
      </c>
      <c r="I25" s="1774" t="s">
        <v>807</v>
      </c>
    </row>
    <row r="26" spans="1:9" ht="11.25" customHeight="1">
      <c r="A26" s="1774" t="s">
        <v>2245</v>
      </c>
      <c r="B26" s="1774" t="s">
        <v>16</v>
      </c>
      <c r="C26" s="1774" t="s">
        <v>2335</v>
      </c>
      <c r="D26" s="1774" t="s">
        <v>2336</v>
      </c>
      <c r="E26" s="1774" t="s">
        <v>2337</v>
      </c>
      <c r="F26" s="1774" t="s">
        <v>2270</v>
      </c>
      <c r="G26" s="1774" t="s">
        <v>22</v>
      </c>
      <c r="H26" s="1774" t="s">
        <v>22</v>
      </c>
      <c r="I26" s="1774" t="s">
        <v>807</v>
      </c>
    </row>
    <row r="27" spans="1:9" ht="11.25" customHeight="1">
      <c r="A27" s="1774" t="s">
        <v>2245</v>
      </c>
      <c r="B27" s="1774" t="s">
        <v>16</v>
      </c>
      <c r="C27" s="1774" t="s">
        <v>2338</v>
      </c>
      <c r="D27" s="1774" t="s">
        <v>2339</v>
      </c>
      <c r="E27" s="1774" t="s">
        <v>2340</v>
      </c>
      <c r="F27" s="1774" t="s">
        <v>2270</v>
      </c>
      <c r="G27" s="1774" t="s">
        <v>2341</v>
      </c>
      <c r="H27" s="1774" t="s">
        <v>22</v>
      </c>
      <c r="I27" s="1774" t="s">
        <v>807</v>
      </c>
    </row>
    <row r="28" spans="1:9" ht="11.25" customHeight="1">
      <c r="A28" s="1774" t="s">
        <v>2245</v>
      </c>
      <c r="B28" s="1774" t="s">
        <v>16</v>
      </c>
      <c r="C28" s="1774" t="s">
        <v>2342</v>
      </c>
      <c r="D28" s="1774" t="s">
        <v>2343</v>
      </c>
      <c r="E28" s="1774" t="s">
        <v>2344</v>
      </c>
      <c r="F28" s="1774" t="s">
        <v>2280</v>
      </c>
      <c r="G28" s="1774" t="s">
        <v>22</v>
      </c>
      <c r="H28" s="1774" t="s">
        <v>22</v>
      </c>
      <c r="I28" s="1774" t="s">
        <v>807</v>
      </c>
    </row>
    <row r="29" spans="1:9" ht="11.25" customHeight="1">
      <c r="A29" s="1774" t="s">
        <v>2245</v>
      </c>
      <c r="B29" s="1774" t="s">
        <v>16</v>
      </c>
      <c r="C29" s="1774" t="s">
        <v>2345</v>
      </c>
      <c r="D29" s="1774" t="s">
        <v>2346</v>
      </c>
      <c r="E29" s="1774" t="s">
        <v>2347</v>
      </c>
      <c r="F29" s="1774" t="s">
        <v>2348</v>
      </c>
      <c r="G29" s="1774" t="s">
        <v>2349</v>
      </c>
      <c r="H29" s="1774" t="s">
        <v>22</v>
      </c>
      <c r="I29" s="1774" t="s">
        <v>807</v>
      </c>
    </row>
    <row r="30" spans="1:9" ht="11.25" customHeight="1">
      <c r="A30" s="1774" t="s">
        <v>2245</v>
      </c>
      <c r="B30" s="1774" t="s">
        <v>16</v>
      </c>
      <c r="C30" s="1774" t="s">
        <v>2350</v>
      </c>
      <c r="D30" s="1774" t="s">
        <v>2351</v>
      </c>
      <c r="E30" s="1774" t="s">
        <v>2352</v>
      </c>
      <c r="F30" s="1774" t="s">
        <v>2348</v>
      </c>
      <c r="G30" s="1774" t="s">
        <v>22</v>
      </c>
      <c r="H30" s="1774" t="s">
        <v>22</v>
      </c>
      <c r="I30" s="1774" t="s">
        <v>807</v>
      </c>
    </row>
    <row r="31" spans="1:9" ht="11.25" customHeight="1">
      <c r="A31" s="1774" t="s">
        <v>2245</v>
      </c>
      <c r="B31" s="1774" t="s">
        <v>16</v>
      </c>
      <c r="C31" s="1774" t="s">
        <v>2353</v>
      </c>
      <c r="D31" s="1774" t="s">
        <v>2354</v>
      </c>
      <c r="E31" s="1774" t="s">
        <v>2355</v>
      </c>
      <c r="F31" s="1774" t="s">
        <v>2261</v>
      </c>
      <c r="G31" s="1774" t="s">
        <v>22</v>
      </c>
      <c r="H31" s="1774" t="s">
        <v>22</v>
      </c>
      <c r="I31" s="1774" t="s">
        <v>807</v>
      </c>
    </row>
    <row r="32" spans="1:9" ht="11.25" customHeight="1">
      <c r="A32" s="1774" t="s">
        <v>2245</v>
      </c>
      <c r="B32" s="1774" t="s">
        <v>16</v>
      </c>
      <c r="C32" s="1774" t="s">
        <v>2356</v>
      </c>
      <c r="D32" s="1774" t="s">
        <v>2357</v>
      </c>
      <c r="E32" s="1774" t="s">
        <v>2358</v>
      </c>
      <c r="F32" s="1774" t="s">
        <v>2359</v>
      </c>
      <c r="G32" s="1774" t="s">
        <v>22</v>
      </c>
      <c r="H32" s="1774" t="s">
        <v>22</v>
      </c>
      <c r="I32" s="1774" t="s">
        <v>807</v>
      </c>
    </row>
    <row r="33" spans="1:9" ht="11.25" customHeight="1">
      <c r="A33" s="1774" t="s">
        <v>2245</v>
      </c>
      <c r="B33" s="1774" t="s">
        <v>16</v>
      </c>
      <c r="C33" s="1774" t="s">
        <v>2360</v>
      </c>
      <c r="D33" s="1774" t="s">
        <v>2361</v>
      </c>
      <c r="E33" s="1774" t="s">
        <v>2362</v>
      </c>
      <c r="F33" s="1774" t="s">
        <v>2291</v>
      </c>
      <c r="G33" s="1774" t="s">
        <v>22</v>
      </c>
      <c r="H33" s="1774" t="s">
        <v>22</v>
      </c>
      <c r="I33" s="1774" t="s">
        <v>807</v>
      </c>
    </row>
    <row r="34" spans="1:9" ht="11.25" customHeight="1">
      <c r="A34" s="1774" t="s">
        <v>2245</v>
      </c>
      <c r="B34" s="1774" t="s">
        <v>16</v>
      </c>
      <c r="C34" s="1774" t="s">
        <v>2363</v>
      </c>
      <c r="D34" s="1774" t="s">
        <v>2364</v>
      </c>
      <c r="E34" s="1774" t="s">
        <v>2365</v>
      </c>
      <c r="F34" s="1774" t="s">
        <v>2317</v>
      </c>
      <c r="G34" s="1774" t="s">
        <v>22</v>
      </c>
      <c r="H34" s="1774" t="s">
        <v>22</v>
      </c>
      <c r="I34" s="1774" t="s">
        <v>807</v>
      </c>
    </row>
    <row r="35" spans="1:9" ht="11.25" customHeight="1">
      <c r="A35" s="1774" t="s">
        <v>2245</v>
      </c>
      <c r="B35" s="1774" t="s">
        <v>16</v>
      </c>
      <c r="C35" s="1774" t="s">
        <v>2366</v>
      </c>
      <c r="D35" s="1774" t="s">
        <v>2367</v>
      </c>
      <c r="E35" s="1774" t="s">
        <v>2368</v>
      </c>
      <c r="F35" s="1774" t="s">
        <v>2261</v>
      </c>
      <c r="G35" s="1774" t="s">
        <v>22</v>
      </c>
      <c r="H35" s="1774" t="s">
        <v>22</v>
      </c>
      <c r="I35" s="1774" t="s">
        <v>807</v>
      </c>
    </row>
    <row r="36" spans="1:9" ht="11.25" customHeight="1">
      <c r="A36" s="1774" t="s">
        <v>2245</v>
      </c>
      <c r="B36" s="1774" t="s">
        <v>16</v>
      </c>
      <c r="C36" s="1774" t="s">
        <v>2369</v>
      </c>
      <c r="D36" s="1774" t="s">
        <v>2370</v>
      </c>
      <c r="E36" s="1774" t="s">
        <v>2371</v>
      </c>
      <c r="F36" s="1774" t="s">
        <v>2372</v>
      </c>
      <c r="G36" s="1774" t="s">
        <v>22</v>
      </c>
      <c r="H36" s="1774" t="s">
        <v>22</v>
      </c>
      <c r="I36" s="1774" t="s">
        <v>807</v>
      </c>
    </row>
    <row r="37" spans="1:9" ht="11.25" customHeight="1">
      <c r="A37" s="1774" t="s">
        <v>2245</v>
      </c>
      <c r="B37" s="1774" t="s">
        <v>16</v>
      </c>
      <c r="C37" s="1774" t="s">
        <v>2373</v>
      </c>
      <c r="D37" s="1774" t="s">
        <v>2374</v>
      </c>
      <c r="E37" s="1774" t="s">
        <v>2375</v>
      </c>
      <c r="F37" s="1774" t="s">
        <v>2376</v>
      </c>
      <c r="G37" s="1774" t="s">
        <v>22</v>
      </c>
      <c r="H37" s="1774" t="s">
        <v>22</v>
      </c>
      <c r="I37" s="1774" t="s">
        <v>807</v>
      </c>
    </row>
    <row r="38" spans="1:9" ht="11.25" customHeight="1">
      <c r="A38" s="1774" t="s">
        <v>2245</v>
      </c>
      <c r="B38" s="1774" t="s">
        <v>16</v>
      </c>
      <c r="C38" s="1774" t="s">
        <v>2377</v>
      </c>
      <c r="D38" s="1774" t="s">
        <v>2378</v>
      </c>
      <c r="E38" s="1774" t="s">
        <v>2379</v>
      </c>
      <c r="F38" s="1774" t="s">
        <v>2261</v>
      </c>
      <c r="G38" s="1774" t="s">
        <v>22</v>
      </c>
      <c r="H38" s="1774" t="s">
        <v>22</v>
      </c>
      <c r="I38" s="1774" t="s">
        <v>807</v>
      </c>
    </row>
    <row r="39" spans="1:9" ht="11.25" customHeight="1">
      <c r="A39" s="1774" t="s">
        <v>2245</v>
      </c>
      <c r="B39" s="1774" t="s">
        <v>16</v>
      </c>
      <c r="C39" s="1774" t="s">
        <v>2380</v>
      </c>
      <c r="D39" s="1774" t="s">
        <v>2381</v>
      </c>
      <c r="E39" s="1774" t="s">
        <v>2382</v>
      </c>
      <c r="F39" s="1774" t="s">
        <v>2291</v>
      </c>
      <c r="G39" s="1774" t="s">
        <v>22</v>
      </c>
      <c r="H39" s="1774" t="s">
        <v>22</v>
      </c>
      <c r="I39" s="1774" t="s">
        <v>807</v>
      </c>
    </row>
    <row r="40" spans="1:9" ht="11.25" customHeight="1">
      <c r="A40" s="1774" t="s">
        <v>2245</v>
      </c>
      <c r="B40" s="1774" t="s">
        <v>16</v>
      </c>
      <c r="C40" s="1774" t="s">
        <v>2383</v>
      </c>
      <c r="D40" s="1774" t="s">
        <v>2384</v>
      </c>
      <c r="E40" s="1774" t="s">
        <v>2385</v>
      </c>
      <c r="F40" s="1774" t="s">
        <v>2386</v>
      </c>
      <c r="G40" s="1774" t="s">
        <v>2387</v>
      </c>
      <c r="H40" s="1774" t="s">
        <v>22</v>
      </c>
      <c r="I40" s="1774" t="s">
        <v>807</v>
      </c>
    </row>
    <row r="41" spans="1:9" ht="11.25" customHeight="1">
      <c r="A41" s="1774" t="s">
        <v>2245</v>
      </c>
      <c r="B41" s="1774" t="s">
        <v>16</v>
      </c>
      <c r="C41" s="1774" t="s">
        <v>2388</v>
      </c>
      <c r="D41" s="1774" t="s">
        <v>2389</v>
      </c>
      <c r="E41" s="1774" t="s">
        <v>2390</v>
      </c>
      <c r="F41" s="1774" t="s">
        <v>2253</v>
      </c>
      <c r="G41" s="1774" t="s">
        <v>22</v>
      </c>
      <c r="H41" s="1774" t="s">
        <v>22</v>
      </c>
      <c r="I41" s="1774" t="s">
        <v>807</v>
      </c>
    </row>
    <row r="42" spans="1:9" ht="11.25" customHeight="1">
      <c r="A42" s="1774" t="s">
        <v>2245</v>
      </c>
      <c r="B42" s="1774" t="s">
        <v>16</v>
      </c>
      <c r="C42" s="1774" t="s">
        <v>2391</v>
      </c>
      <c r="D42" s="1774" t="s">
        <v>2392</v>
      </c>
      <c r="E42" s="1774" t="s">
        <v>2390</v>
      </c>
      <c r="F42" s="1774" t="s">
        <v>2393</v>
      </c>
      <c r="G42" s="1774" t="s">
        <v>22</v>
      </c>
      <c r="H42" s="1774" t="s">
        <v>22</v>
      </c>
      <c r="I42" s="1774" t="s">
        <v>807</v>
      </c>
    </row>
    <row r="43" spans="1:9" ht="11.25" customHeight="1">
      <c r="A43" s="1774" t="s">
        <v>2245</v>
      </c>
      <c r="B43" s="1774" t="s">
        <v>16</v>
      </c>
      <c r="C43" s="1774" t="s">
        <v>2394</v>
      </c>
      <c r="D43" s="1774" t="s">
        <v>2395</v>
      </c>
      <c r="E43" s="1774" t="s">
        <v>2390</v>
      </c>
      <c r="F43" s="1774" t="s">
        <v>2396</v>
      </c>
      <c r="G43" s="1774" t="s">
        <v>22</v>
      </c>
      <c r="H43" s="1774" t="s">
        <v>22</v>
      </c>
      <c r="I43" s="1774" t="s">
        <v>807</v>
      </c>
    </row>
    <row r="44" spans="1:9" ht="11.25" customHeight="1">
      <c r="A44" s="1774" t="s">
        <v>2245</v>
      </c>
      <c r="B44" s="1774" t="s">
        <v>16</v>
      </c>
      <c r="C44" s="1774" t="s">
        <v>2397</v>
      </c>
      <c r="D44" s="1774" t="s">
        <v>2398</v>
      </c>
      <c r="E44" s="1774" t="s">
        <v>2390</v>
      </c>
      <c r="F44" s="1774" t="s">
        <v>2399</v>
      </c>
      <c r="G44" s="1774" t="s">
        <v>22</v>
      </c>
      <c r="H44" s="1774" t="s">
        <v>22</v>
      </c>
      <c r="I44" s="1774" t="s">
        <v>807</v>
      </c>
    </row>
    <row r="45" spans="1:9" ht="11.25" customHeight="1">
      <c r="A45" s="1774" t="s">
        <v>2245</v>
      </c>
      <c r="B45" s="1774" t="s">
        <v>16</v>
      </c>
      <c r="C45" s="1774" t="s">
        <v>2400</v>
      </c>
      <c r="D45" s="1774" t="s">
        <v>2401</v>
      </c>
      <c r="E45" s="1774" t="s">
        <v>2390</v>
      </c>
      <c r="F45" s="1774" t="s">
        <v>2402</v>
      </c>
      <c r="G45" s="1774" t="s">
        <v>22</v>
      </c>
      <c r="H45" s="1774" t="s">
        <v>22</v>
      </c>
      <c r="I45" s="1774" t="s">
        <v>807</v>
      </c>
    </row>
    <row r="46" spans="1:9" ht="11.25" customHeight="1">
      <c r="A46" s="1774" t="s">
        <v>2245</v>
      </c>
      <c r="B46" s="1774" t="s">
        <v>16</v>
      </c>
      <c r="C46" s="1774" t="s">
        <v>2403</v>
      </c>
      <c r="D46" s="1774" t="s">
        <v>2404</v>
      </c>
      <c r="E46" s="1774" t="s">
        <v>2390</v>
      </c>
      <c r="F46" s="1774" t="s">
        <v>2405</v>
      </c>
      <c r="G46" s="1774" t="s">
        <v>22</v>
      </c>
      <c r="H46" s="1774" t="s">
        <v>22</v>
      </c>
      <c r="I46" s="1774" t="s">
        <v>807</v>
      </c>
    </row>
    <row r="47" spans="1:9" ht="11.25" customHeight="1">
      <c r="A47" s="1774" t="s">
        <v>2245</v>
      </c>
      <c r="B47" s="1774" t="s">
        <v>16</v>
      </c>
      <c r="C47" s="1774" t="s">
        <v>2406</v>
      </c>
      <c r="D47" s="1774" t="s">
        <v>2407</v>
      </c>
      <c r="E47" s="1774" t="s">
        <v>2390</v>
      </c>
      <c r="F47" s="1774" t="s">
        <v>2408</v>
      </c>
      <c r="G47" s="1774" t="s">
        <v>22</v>
      </c>
      <c r="H47" s="1774" t="s">
        <v>22</v>
      </c>
      <c r="I47" s="1774" t="s">
        <v>807</v>
      </c>
    </row>
    <row r="48" spans="1:9" ht="11.25" customHeight="1">
      <c r="A48" s="1774" t="s">
        <v>2245</v>
      </c>
      <c r="B48" s="1774" t="s">
        <v>16</v>
      </c>
      <c r="C48" s="1774" t="s">
        <v>2409</v>
      </c>
      <c r="D48" s="1774" t="s">
        <v>2410</v>
      </c>
      <c r="E48" s="1774" t="s">
        <v>2390</v>
      </c>
      <c r="F48" s="1774" t="s">
        <v>2411</v>
      </c>
      <c r="G48" s="1774" t="s">
        <v>22</v>
      </c>
      <c r="H48" s="1774" t="s">
        <v>22</v>
      </c>
      <c r="I48" s="1774" t="s">
        <v>807</v>
      </c>
    </row>
    <row r="49" spans="1:9" ht="11.25" customHeight="1">
      <c r="A49" s="1774" t="s">
        <v>2245</v>
      </c>
      <c r="B49" s="1774" t="s">
        <v>16</v>
      </c>
      <c r="C49" s="1774" t="s">
        <v>2412</v>
      </c>
      <c r="D49" s="1774" t="s">
        <v>2413</v>
      </c>
      <c r="E49" s="1774" t="s">
        <v>2414</v>
      </c>
      <c r="F49" s="1774" t="s">
        <v>2415</v>
      </c>
      <c r="G49" s="1774" t="s">
        <v>22</v>
      </c>
      <c r="H49" s="1774" t="s">
        <v>22</v>
      </c>
      <c r="I49" s="1774" t="s">
        <v>807</v>
      </c>
    </row>
    <row r="50" spans="1:9" ht="11.25" customHeight="1">
      <c r="A50" s="1774" t="s">
        <v>2245</v>
      </c>
      <c r="B50" s="1774" t="s">
        <v>16</v>
      </c>
      <c r="C50" s="1774" t="s">
        <v>2416</v>
      </c>
      <c r="D50" s="1774" t="s">
        <v>2417</v>
      </c>
      <c r="E50" s="1774" t="s">
        <v>2418</v>
      </c>
      <c r="F50" s="1774" t="s">
        <v>2253</v>
      </c>
      <c r="G50" s="1774" t="s">
        <v>22</v>
      </c>
      <c r="H50" s="1774" t="s">
        <v>22</v>
      </c>
      <c r="I50" s="1774" t="s">
        <v>807</v>
      </c>
    </row>
    <row r="51" spans="1:9" ht="11.25" customHeight="1">
      <c r="A51" s="1774" t="s">
        <v>2245</v>
      </c>
      <c r="B51" s="1774" t="s">
        <v>16</v>
      </c>
      <c r="C51" s="1774" t="s">
        <v>2419</v>
      </c>
      <c r="D51" s="1774" t="s">
        <v>2420</v>
      </c>
      <c r="E51" s="1774" t="s">
        <v>2421</v>
      </c>
      <c r="F51" s="1774" t="s">
        <v>2261</v>
      </c>
      <c r="G51" s="1774" t="s">
        <v>22</v>
      </c>
      <c r="H51" s="1774" t="s">
        <v>22</v>
      </c>
      <c r="I51" s="1774" t="s">
        <v>807</v>
      </c>
    </row>
    <row r="52" spans="1:9" ht="11.25" customHeight="1">
      <c r="A52" s="1774" t="s">
        <v>2245</v>
      </c>
      <c r="B52" s="1774" t="s">
        <v>16</v>
      </c>
      <c r="C52" s="1774" t="s">
        <v>2422</v>
      </c>
      <c r="D52" s="1774" t="s">
        <v>2423</v>
      </c>
      <c r="E52" s="1774" t="s">
        <v>2424</v>
      </c>
      <c r="F52" s="1774" t="s">
        <v>2265</v>
      </c>
      <c r="G52" s="1774" t="s">
        <v>22</v>
      </c>
      <c r="H52" s="1774" t="s">
        <v>22</v>
      </c>
      <c r="I52" s="1774" t="s">
        <v>807</v>
      </c>
    </row>
    <row r="53" spans="1:9" ht="11.25" customHeight="1">
      <c r="A53" s="1774" t="s">
        <v>2245</v>
      </c>
      <c r="B53" s="1774" t="s">
        <v>16</v>
      </c>
      <c r="C53" s="1774" t="s">
        <v>2425</v>
      </c>
      <c r="D53" s="1774" t="s">
        <v>2426</v>
      </c>
      <c r="E53" s="1774" t="s">
        <v>2427</v>
      </c>
      <c r="F53" s="1774" t="s">
        <v>2428</v>
      </c>
      <c r="G53" s="1774" t="s">
        <v>22</v>
      </c>
      <c r="H53" s="1774" t="s">
        <v>22</v>
      </c>
      <c r="I53" s="1774" t="s">
        <v>807</v>
      </c>
    </row>
    <row r="54" spans="1:9" ht="11.25" customHeight="1">
      <c r="A54" s="1774" t="s">
        <v>2245</v>
      </c>
      <c r="B54" s="1774" t="s">
        <v>16</v>
      </c>
      <c r="C54" s="1774" t="s">
        <v>2429</v>
      </c>
      <c r="D54" s="1774" t="s">
        <v>2430</v>
      </c>
      <c r="E54" s="1774" t="s">
        <v>2431</v>
      </c>
      <c r="F54" s="1774" t="s">
        <v>2432</v>
      </c>
      <c r="G54" s="1774" t="s">
        <v>22</v>
      </c>
      <c r="H54" s="1774" t="s">
        <v>22</v>
      </c>
      <c r="I54" s="1774" t="s">
        <v>807</v>
      </c>
    </row>
    <row r="55" spans="1:9" ht="11.25" customHeight="1">
      <c r="A55" s="1774" t="s">
        <v>2245</v>
      </c>
      <c r="B55" s="1774" t="s">
        <v>16</v>
      </c>
      <c r="C55" s="1774" t="s">
        <v>2433</v>
      </c>
      <c r="D55" s="1774" t="s">
        <v>2434</v>
      </c>
      <c r="E55" s="1774" t="s">
        <v>2435</v>
      </c>
      <c r="F55" s="1774" t="s">
        <v>2436</v>
      </c>
      <c r="G55" s="1774" t="s">
        <v>22</v>
      </c>
      <c r="H55" s="1774" t="s">
        <v>22</v>
      </c>
      <c r="I55" s="1774" t="s">
        <v>807</v>
      </c>
    </row>
    <row r="56" spans="1:9" ht="11.25" customHeight="1">
      <c r="A56" s="1774" t="s">
        <v>2245</v>
      </c>
      <c r="B56" s="1774" t="s">
        <v>16</v>
      </c>
      <c r="C56" s="1774" t="s">
        <v>2437</v>
      </c>
      <c r="D56" s="1774" t="s">
        <v>2438</v>
      </c>
      <c r="E56" s="1774" t="s">
        <v>2439</v>
      </c>
      <c r="F56" s="1774" t="s">
        <v>2440</v>
      </c>
      <c r="G56" s="1774" t="s">
        <v>22</v>
      </c>
      <c r="H56" s="1774" t="s">
        <v>22</v>
      </c>
      <c r="I56" s="1774" t="s">
        <v>807</v>
      </c>
    </row>
    <row r="57" spans="1:9" ht="11.25" customHeight="1">
      <c r="A57" s="1774" t="s">
        <v>2245</v>
      </c>
      <c r="B57" s="1774" t="s">
        <v>16</v>
      </c>
      <c r="C57" s="1774" t="s">
        <v>2441</v>
      </c>
      <c r="D57" s="1774" t="s">
        <v>2442</v>
      </c>
      <c r="E57" s="1774" t="s">
        <v>2443</v>
      </c>
      <c r="F57" s="1774" t="s">
        <v>2265</v>
      </c>
      <c r="G57" s="1774" t="s">
        <v>22</v>
      </c>
      <c r="H57" s="1774" t="s">
        <v>22</v>
      </c>
      <c r="I57" s="1774" t="s">
        <v>807</v>
      </c>
    </row>
    <row r="58" spans="1:9" ht="11.25" customHeight="1">
      <c r="A58" s="1774" t="s">
        <v>2245</v>
      </c>
      <c r="B58" s="1774" t="s">
        <v>16</v>
      </c>
      <c r="C58" s="1774" t="s">
        <v>2444</v>
      </c>
      <c r="D58" s="1774" t="s">
        <v>2445</v>
      </c>
      <c r="E58" s="1774" t="s">
        <v>2446</v>
      </c>
      <c r="F58" s="1774" t="s">
        <v>2440</v>
      </c>
      <c r="G58" s="1774" t="s">
        <v>22</v>
      </c>
      <c r="H58" s="1774" t="s">
        <v>22</v>
      </c>
      <c r="I58" s="1774" t="s">
        <v>807</v>
      </c>
    </row>
    <row r="59" spans="1:9" ht="11.25" customHeight="1">
      <c r="A59" s="1774" t="s">
        <v>2245</v>
      </c>
      <c r="B59" s="1774" t="s">
        <v>16</v>
      </c>
      <c r="C59" s="1774" t="s">
        <v>2447</v>
      </c>
      <c r="D59" s="1774" t="s">
        <v>2448</v>
      </c>
      <c r="E59" s="1774" t="s">
        <v>2449</v>
      </c>
      <c r="F59" s="1774" t="s">
        <v>2450</v>
      </c>
      <c r="G59" s="1774" t="s">
        <v>22</v>
      </c>
      <c r="H59" s="1774" t="s">
        <v>2451</v>
      </c>
      <c r="I59" s="1774" t="s">
        <v>807</v>
      </c>
    </row>
    <row r="60" spans="1:9" ht="11.25" customHeight="1">
      <c r="A60" s="1774" t="s">
        <v>2245</v>
      </c>
      <c r="B60" s="1774" t="s">
        <v>16</v>
      </c>
      <c r="C60" s="1774" t="s">
        <v>2452</v>
      </c>
      <c r="D60" s="1774" t="s">
        <v>2453</v>
      </c>
      <c r="E60" s="1774" t="s">
        <v>2454</v>
      </c>
      <c r="F60" s="1774" t="s">
        <v>2327</v>
      </c>
      <c r="G60" s="1774" t="s">
        <v>2455</v>
      </c>
      <c r="H60" s="1774" t="s">
        <v>22</v>
      </c>
      <c r="I60" s="1774" t="s">
        <v>807</v>
      </c>
    </row>
    <row r="61" spans="1:9" ht="11.25" customHeight="1">
      <c r="A61" s="1774" t="s">
        <v>2245</v>
      </c>
      <c r="B61" s="1774" t="s">
        <v>16</v>
      </c>
      <c r="C61" s="1774" t="s">
        <v>2456</v>
      </c>
      <c r="D61" s="1774" t="s">
        <v>2457</v>
      </c>
      <c r="E61" s="1774" t="s">
        <v>2458</v>
      </c>
      <c r="F61" s="1774" t="s">
        <v>2261</v>
      </c>
      <c r="G61" s="1774" t="s">
        <v>22</v>
      </c>
      <c r="H61" s="1774" t="s">
        <v>22</v>
      </c>
      <c r="I61" s="1774" t="s">
        <v>807</v>
      </c>
    </row>
    <row r="62" spans="1:9" ht="11.25" customHeight="1">
      <c r="A62" s="1774" t="s">
        <v>2245</v>
      </c>
      <c r="B62" s="1774" t="s">
        <v>16</v>
      </c>
      <c r="C62" s="1774" t="s">
        <v>2459</v>
      </c>
      <c r="D62" s="1774" t="s">
        <v>2460</v>
      </c>
      <c r="E62" s="1774" t="s">
        <v>2461</v>
      </c>
      <c r="F62" s="1774" t="s">
        <v>2462</v>
      </c>
      <c r="G62" s="1774" t="s">
        <v>2463</v>
      </c>
      <c r="H62" s="1774" t="s">
        <v>22</v>
      </c>
      <c r="I62" s="1774" t="s">
        <v>807</v>
      </c>
    </row>
    <row r="63" spans="1:9" ht="11.25" customHeight="1">
      <c r="A63" s="1774" t="s">
        <v>2245</v>
      </c>
      <c r="B63" s="1774" t="s">
        <v>16</v>
      </c>
      <c r="C63" s="1774" t="s">
        <v>2464</v>
      </c>
      <c r="D63" s="1774" t="s">
        <v>2465</v>
      </c>
      <c r="E63" s="1774" t="s">
        <v>2466</v>
      </c>
      <c r="F63" s="1774" t="s">
        <v>2291</v>
      </c>
      <c r="G63" s="1774" t="s">
        <v>2467</v>
      </c>
      <c r="H63" s="1774" t="s">
        <v>22</v>
      </c>
      <c r="I63" s="1774" t="s">
        <v>807</v>
      </c>
    </row>
    <row r="64" spans="1:9" ht="11.25" customHeight="1">
      <c r="A64" s="1774" t="s">
        <v>2245</v>
      </c>
      <c r="B64" s="1774" t="s">
        <v>16</v>
      </c>
      <c r="C64" s="1774" t="s">
        <v>2468</v>
      </c>
      <c r="D64" s="1774" t="s">
        <v>2469</v>
      </c>
      <c r="E64" s="1774" t="s">
        <v>2470</v>
      </c>
      <c r="F64" s="1774" t="s">
        <v>2450</v>
      </c>
      <c r="G64" s="1774" t="s">
        <v>22</v>
      </c>
      <c r="H64" s="1774" t="s">
        <v>22</v>
      </c>
      <c r="I64" s="1774" t="s">
        <v>807</v>
      </c>
    </row>
    <row r="65" spans="1:9" ht="11.25" customHeight="1">
      <c r="A65" s="1774" t="s">
        <v>2245</v>
      </c>
      <c r="B65" s="1774" t="s">
        <v>16</v>
      </c>
      <c r="C65" s="1774" t="s">
        <v>2471</v>
      </c>
      <c r="D65" s="1774" t="s">
        <v>2472</v>
      </c>
      <c r="E65" s="1774" t="s">
        <v>2473</v>
      </c>
      <c r="F65" s="1774" t="s">
        <v>2270</v>
      </c>
      <c r="G65" s="1774" t="s">
        <v>2474</v>
      </c>
      <c r="H65" s="1774" t="s">
        <v>22</v>
      </c>
      <c r="I65" s="1774" t="s">
        <v>807</v>
      </c>
    </row>
    <row r="66" spans="1:9" ht="11.25" customHeight="1">
      <c r="A66" s="1774" t="s">
        <v>2245</v>
      </c>
      <c r="B66" s="1774" t="s">
        <v>16</v>
      </c>
      <c r="C66" s="1774" t="s">
        <v>2475</v>
      </c>
      <c r="D66" s="1774" t="s">
        <v>2476</v>
      </c>
      <c r="E66" s="1774" t="s">
        <v>2477</v>
      </c>
      <c r="F66" s="1774" t="s">
        <v>2478</v>
      </c>
      <c r="G66" s="1774" t="s">
        <v>2479</v>
      </c>
      <c r="H66" s="1774" t="s">
        <v>22</v>
      </c>
      <c r="I66" s="1774" t="s">
        <v>807</v>
      </c>
    </row>
    <row r="67" spans="1:9" ht="11.25" customHeight="1">
      <c r="A67" s="1774" t="s">
        <v>2245</v>
      </c>
      <c r="B67" s="1774" t="s">
        <v>16</v>
      </c>
      <c r="C67" s="1774" t="s">
        <v>2480</v>
      </c>
      <c r="D67" s="1774" t="s">
        <v>2481</v>
      </c>
      <c r="E67" s="1774" t="s">
        <v>2482</v>
      </c>
      <c r="F67" s="1774" t="s">
        <v>2478</v>
      </c>
      <c r="G67" s="1774" t="s">
        <v>22</v>
      </c>
      <c r="H67" s="1774" t="s">
        <v>22</v>
      </c>
      <c r="I67" s="1774" t="s">
        <v>807</v>
      </c>
    </row>
    <row r="68" spans="1:9" ht="11.25" customHeight="1">
      <c r="A68" s="1774" t="s">
        <v>2245</v>
      </c>
      <c r="B68" s="1774" t="s">
        <v>16</v>
      </c>
      <c r="C68" s="1774" t="s">
        <v>2483</v>
      </c>
      <c r="D68" s="1774" t="s">
        <v>2484</v>
      </c>
      <c r="E68" s="1774" t="s">
        <v>2485</v>
      </c>
      <c r="F68" s="1774" t="s">
        <v>2478</v>
      </c>
      <c r="G68" s="1774" t="s">
        <v>22</v>
      </c>
      <c r="H68" s="1774" t="s">
        <v>22</v>
      </c>
      <c r="I68" s="1774" t="s">
        <v>807</v>
      </c>
    </row>
    <row r="69" spans="1:9" ht="11.25" customHeight="1">
      <c r="A69" s="1774" t="s">
        <v>2245</v>
      </c>
      <c r="B69" s="1774" t="s">
        <v>16</v>
      </c>
      <c r="C69" s="1774" t="s">
        <v>2486</v>
      </c>
      <c r="D69" s="1774" t="s">
        <v>2487</v>
      </c>
      <c r="E69" s="1774" t="s">
        <v>2390</v>
      </c>
      <c r="F69" s="1774" t="s">
        <v>2488</v>
      </c>
      <c r="G69" s="1774" t="s">
        <v>22</v>
      </c>
      <c r="H69" s="1774" t="s">
        <v>22</v>
      </c>
      <c r="I69" s="1774" t="s">
        <v>807</v>
      </c>
    </row>
    <row r="70" spans="1:9" ht="11.25" customHeight="1">
      <c r="A70" s="1774" t="s">
        <v>2245</v>
      </c>
      <c r="B70" s="1774" t="s">
        <v>16</v>
      </c>
      <c r="C70" s="1774" t="s">
        <v>2489</v>
      </c>
      <c r="D70" s="1774" t="s">
        <v>2490</v>
      </c>
      <c r="E70" s="1774" t="s">
        <v>2491</v>
      </c>
      <c r="F70" s="1774" t="s">
        <v>2492</v>
      </c>
      <c r="G70" s="1774" t="s">
        <v>22</v>
      </c>
      <c r="H70" s="1774" t="s">
        <v>22</v>
      </c>
      <c r="I70" s="1774" t="s">
        <v>807</v>
      </c>
    </row>
    <row r="71" spans="1:9" ht="11.25" customHeight="1">
      <c r="A71" s="1774" t="s">
        <v>2245</v>
      </c>
      <c r="B71" s="1774" t="s">
        <v>16</v>
      </c>
      <c r="C71" s="1774" t="s">
        <v>2493</v>
      </c>
      <c r="D71" s="1774" t="s">
        <v>2494</v>
      </c>
      <c r="E71" s="1774" t="s">
        <v>2495</v>
      </c>
      <c r="F71" s="1774" t="s">
        <v>2496</v>
      </c>
      <c r="G71" s="1774" t="s">
        <v>22</v>
      </c>
      <c r="H71" s="1774" t="s">
        <v>22</v>
      </c>
      <c r="I71" s="1774" t="s">
        <v>807</v>
      </c>
    </row>
    <row r="72" spans="1:9" ht="11.25" customHeight="1">
      <c r="A72" s="1774" t="s">
        <v>2245</v>
      </c>
      <c r="B72" s="1774" t="s">
        <v>16</v>
      </c>
      <c r="C72" s="1774" t="s">
        <v>2497</v>
      </c>
      <c r="D72" s="1774" t="s">
        <v>2498</v>
      </c>
      <c r="E72" s="1774" t="s">
        <v>2499</v>
      </c>
      <c r="F72" s="1774" t="s">
        <v>2496</v>
      </c>
      <c r="G72" s="1774" t="s">
        <v>2500</v>
      </c>
      <c r="H72" s="1774" t="s">
        <v>2451</v>
      </c>
      <c r="I72" s="1774" t="s">
        <v>807</v>
      </c>
    </row>
    <row r="73" spans="1:9" ht="11.25" customHeight="1">
      <c r="A73" s="1774" t="s">
        <v>2245</v>
      </c>
      <c r="B73" s="1774" t="s">
        <v>16</v>
      </c>
      <c r="C73" s="1774" t="s">
        <v>2501</v>
      </c>
      <c r="D73" s="1774" t="s">
        <v>2502</v>
      </c>
      <c r="E73" s="1774" t="s">
        <v>2503</v>
      </c>
      <c r="F73" s="1774" t="s">
        <v>2504</v>
      </c>
      <c r="G73" s="1774" t="s">
        <v>22</v>
      </c>
      <c r="H73" s="1774" t="s">
        <v>22</v>
      </c>
      <c r="I73" s="1774" t="s">
        <v>807</v>
      </c>
    </row>
    <row r="74" spans="1:9" ht="11.25" customHeight="1">
      <c r="A74" s="1774" t="s">
        <v>2245</v>
      </c>
      <c r="B74" s="1774" t="s">
        <v>16</v>
      </c>
      <c r="C74" s="1774" t="s">
        <v>2505</v>
      </c>
      <c r="D74" s="1774" t="s">
        <v>2506</v>
      </c>
      <c r="E74" s="1774" t="s">
        <v>2507</v>
      </c>
      <c r="F74" s="1774" t="s">
        <v>2508</v>
      </c>
      <c r="G74" s="1774" t="s">
        <v>22</v>
      </c>
      <c r="H74" s="1774" t="s">
        <v>22</v>
      </c>
      <c r="I74" s="1774" t="s">
        <v>807</v>
      </c>
    </row>
    <row r="75" spans="1:9" ht="11.25" customHeight="1">
      <c r="A75" s="1774" t="s">
        <v>2245</v>
      </c>
      <c r="B75" s="1774" t="s">
        <v>16</v>
      </c>
      <c r="C75" s="1774" t="s">
        <v>2509</v>
      </c>
      <c r="D75" s="1774" t="s">
        <v>2510</v>
      </c>
      <c r="E75" s="1774" t="s">
        <v>2511</v>
      </c>
      <c r="F75" s="1774" t="s">
        <v>2348</v>
      </c>
      <c r="G75" s="1774" t="s">
        <v>22</v>
      </c>
      <c r="H75" s="1774" t="s">
        <v>22</v>
      </c>
      <c r="I75" s="1774" t="s">
        <v>807</v>
      </c>
    </row>
    <row r="76" spans="1:9" ht="11.25" customHeight="1">
      <c r="A76" s="1774" t="s">
        <v>2245</v>
      </c>
      <c r="B76" s="1774" t="s">
        <v>16</v>
      </c>
      <c r="C76" s="1774" t="s">
        <v>2512</v>
      </c>
      <c r="D76" s="1774" t="s">
        <v>2513</v>
      </c>
      <c r="E76" s="1774" t="s">
        <v>2514</v>
      </c>
      <c r="F76" s="1774" t="s">
        <v>2515</v>
      </c>
      <c r="G76" s="1774" t="s">
        <v>22</v>
      </c>
      <c r="H76" s="1774" t="s">
        <v>22</v>
      </c>
      <c r="I76" s="1774" t="s">
        <v>807</v>
      </c>
    </row>
    <row r="77" spans="1:9" ht="11.25" customHeight="1">
      <c r="A77" s="1774" t="s">
        <v>2245</v>
      </c>
      <c r="B77" s="1774" t="s">
        <v>16</v>
      </c>
      <c r="C77" s="1774" t="s">
        <v>2516</v>
      </c>
      <c r="D77" s="1774" t="s">
        <v>2517</v>
      </c>
      <c r="E77" s="1774" t="s">
        <v>2518</v>
      </c>
      <c r="F77" s="1774" t="s">
        <v>2519</v>
      </c>
      <c r="G77" s="1774" t="s">
        <v>22</v>
      </c>
      <c r="H77" s="1774" t="s">
        <v>22</v>
      </c>
      <c r="I77" s="1774" t="s">
        <v>807</v>
      </c>
    </row>
    <row r="78" spans="1:9" ht="11.25" customHeight="1">
      <c r="A78" s="1774" t="s">
        <v>2245</v>
      </c>
      <c r="B78" s="1774" t="s">
        <v>16</v>
      </c>
      <c r="C78" s="1774" t="s">
        <v>2520</v>
      </c>
      <c r="D78" s="1774" t="s">
        <v>2521</v>
      </c>
      <c r="E78" s="1774" t="s">
        <v>2522</v>
      </c>
      <c r="F78" s="1774" t="s">
        <v>2523</v>
      </c>
      <c r="G78" s="1774" t="s">
        <v>22</v>
      </c>
      <c r="H78" s="1774" t="s">
        <v>22</v>
      </c>
      <c r="I78" s="1774" t="s">
        <v>807</v>
      </c>
    </row>
    <row r="79" spans="1:9" ht="11.25" customHeight="1">
      <c r="A79" s="1774" t="s">
        <v>2245</v>
      </c>
      <c r="B79" s="1774" t="s">
        <v>16</v>
      </c>
      <c r="C79" s="1774" t="s">
        <v>2524</v>
      </c>
      <c r="D79" s="1774" t="s">
        <v>2525</v>
      </c>
      <c r="E79" s="1774" t="s">
        <v>2526</v>
      </c>
      <c r="F79" s="1774" t="s">
        <v>2527</v>
      </c>
      <c r="G79" s="1774" t="s">
        <v>22</v>
      </c>
      <c r="H79" s="1774" t="s">
        <v>22</v>
      </c>
      <c r="I79" s="1774" t="s">
        <v>807</v>
      </c>
    </row>
    <row r="80" spans="1:9" ht="11.25" customHeight="1">
      <c r="A80" s="1774" t="s">
        <v>2245</v>
      </c>
      <c r="B80" s="1774" t="s">
        <v>16</v>
      </c>
      <c r="C80" s="1774" t="s">
        <v>2528</v>
      </c>
      <c r="D80" s="1774" t="s">
        <v>2529</v>
      </c>
      <c r="E80" s="1774" t="s">
        <v>2530</v>
      </c>
      <c r="F80" s="1774" t="s">
        <v>2531</v>
      </c>
      <c r="G80" s="1774" t="s">
        <v>22</v>
      </c>
      <c r="H80" s="1774" t="s">
        <v>22</v>
      </c>
      <c r="I80" s="1774" t="s">
        <v>807</v>
      </c>
    </row>
    <row r="81" spans="1:9" ht="11.25" customHeight="1">
      <c r="A81" s="1774" t="s">
        <v>2245</v>
      </c>
      <c r="B81" s="1774" t="s">
        <v>16</v>
      </c>
      <c r="C81" s="1774" t="s">
        <v>2532</v>
      </c>
      <c r="D81" s="1774" t="s">
        <v>2533</v>
      </c>
      <c r="E81" s="1774" t="s">
        <v>2534</v>
      </c>
      <c r="F81" s="1774" t="s">
        <v>2535</v>
      </c>
      <c r="G81" s="1774" t="s">
        <v>22</v>
      </c>
      <c r="H81" s="1774" t="s">
        <v>22</v>
      </c>
      <c r="I81" s="1774" t="s">
        <v>807</v>
      </c>
    </row>
    <row r="82" spans="1:9" ht="11.25" customHeight="1">
      <c r="A82" s="1774" t="s">
        <v>2245</v>
      </c>
      <c r="B82" s="1774" t="s">
        <v>16</v>
      </c>
      <c r="C82" s="1774" t="s">
        <v>2536</v>
      </c>
      <c r="D82" s="1774" t="s">
        <v>2537</v>
      </c>
      <c r="E82" s="1774" t="s">
        <v>2538</v>
      </c>
      <c r="F82" s="1774" t="s">
        <v>2313</v>
      </c>
      <c r="G82" s="1774" t="s">
        <v>22</v>
      </c>
      <c r="H82" s="1774" t="s">
        <v>22</v>
      </c>
      <c r="I82" s="1774" t="s">
        <v>807</v>
      </c>
    </row>
    <row r="83" spans="1:9" ht="11.25" customHeight="1">
      <c r="A83" s="1774" t="s">
        <v>2245</v>
      </c>
      <c r="B83" s="1774" t="s">
        <v>16</v>
      </c>
      <c r="C83" s="1774" t="s">
        <v>2539</v>
      </c>
      <c r="D83" s="1774" t="s">
        <v>2540</v>
      </c>
      <c r="E83" s="1774" t="s">
        <v>2541</v>
      </c>
      <c r="F83" s="1774" t="s">
        <v>2542</v>
      </c>
      <c r="G83" s="1774" t="s">
        <v>22</v>
      </c>
      <c r="H83" s="1774" t="s">
        <v>22</v>
      </c>
      <c r="I83" s="1774" t="s">
        <v>807</v>
      </c>
    </row>
    <row r="84" spans="1:9" ht="11.25" customHeight="1">
      <c r="A84" s="1774" t="s">
        <v>2245</v>
      </c>
      <c r="B84" s="1774" t="s">
        <v>16</v>
      </c>
      <c r="C84" s="1774" t="s">
        <v>2543</v>
      </c>
      <c r="D84" s="1774" t="s">
        <v>2544</v>
      </c>
      <c r="E84" s="1774" t="s">
        <v>2545</v>
      </c>
      <c r="F84" s="1774" t="s">
        <v>2291</v>
      </c>
      <c r="G84" s="1774" t="s">
        <v>22</v>
      </c>
      <c r="H84" s="1774" t="s">
        <v>22</v>
      </c>
      <c r="I84" s="1774" t="s">
        <v>807</v>
      </c>
    </row>
    <row r="85" spans="1:9" ht="11.25" customHeight="1">
      <c r="A85" s="1774" t="s">
        <v>2245</v>
      </c>
      <c r="B85" s="1774" t="s">
        <v>16</v>
      </c>
      <c r="C85" s="1774" t="s">
        <v>2546</v>
      </c>
      <c r="D85" s="1774" t="s">
        <v>2547</v>
      </c>
      <c r="E85" s="1774" t="s">
        <v>2548</v>
      </c>
      <c r="F85" s="1774" t="s">
        <v>2280</v>
      </c>
      <c r="G85" s="1774" t="s">
        <v>22</v>
      </c>
      <c r="H85" s="1774" t="s">
        <v>22</v>
      </c>
      <c r="I85" s="1774" t="s">
        <v>807</v>
      </c>
    </row>
    <row r="86" spans="1:9" ht="11.25" customHeight="1">
      <c r="A86" s="1774" t="s">
        <v>2245</v>
      </c>
      <c r="B86" s="1774" t="s">
        <v>16</v>
      </c>
      <c r="C86" s="1774" t="s">
        <v>2549</v>
      </c>
      <c r="D86" s="1774" t="s">
        <v>2550</v>
      </c>
      <c r="E86" s="1774" t="s">
        <v>2551</v>
      </c>
      <c r="F86" s="1774" t="s">
        <v>2306</v>
      </c>
      <c r="G86" s="1774" t="s">
        <v>22</v>
      </c>
      <c r="H86" s="1774" t="s">
        <v>22</v>
      </c>
      <c r="I86" s="1774" t="s">
        <v>807</v>
      </c>
    </row>
    <row r="87" spans="1:9" ht="11.25" customHeight="1">
      <c r="A87" s="1774" t="s">
        <v>2245</v>
      </c>
      <c r="B87" s="1774" t="s">
        <v>16</v>
      </c>
      <c r="C87" s="1774" t="s">
        <v>2552</v>
      </c>
      <c r="D87" s="1774" t="s">
        <v>2553</v>
      </c>
      <c r="E87" s="1774" t="s">
        <v>2554</v>
      </c>
      <c r="F87" s="1774" t="s">
        <v>2317</v>
      </c>
      <c r="G87" s="1774" t="s">
        <v>22</v>
      </c>
      <c r="H87" s="1774" t="s">
        <v>22</v>
      </c>
      <c r="I87" s="1774" t="s">
        <v>807</v>
      </c>
    </row>
    <row r="88" spans="1:9" ht="11.25" customHeight="1">
      <c r="A88" s="1774" t="s">
        <v>2245</v>
      </c>
      <c r="B88" s="1774" t="s">
        <v>16</v>
      </c>
      <c r="C88" s="1774" t="s">
        <v>2555</v>
      </c>
      <c r="D88" s="1774" t="s">
        <v>2556</v>
      </c>
      <c r="E88" s="1774" t="s">
        <v>2557</v>
      </c>
      <c r="F88" s="1774" t="s">
        <v>51</v>
      </c>
      <c r="G88" s="1774" t="s">
        <v>22</v>
      </c>
      <c r="H88" s="1774" t="s">
        <v>22</v>
      </c>
      <c r="I88" s="1774" t="s">
        <v>807</v>
      </c>
    </row>
    <row r="89" spans="1:9" ht="11.25" customHeight="1">
      <c r="A89" s="1774" t="s">
        <v>2245</v>
      </c>
      <c r="B89" s="1774" t="s">
        <v>16</v>
      </c>
      <c r="C89" s="1774" t="s">
        <v>2558</v>
      </c>
      <c r="D89" s="1774" t="s">
        <v>2559</v>
      </c>
      <c r="E89" s="1774" t="s">
        <v>2560</v>
      </c>
      <c r="F89" s="1774" t="s">
        <v>2386</v>
      </c>
      <c r="G89" s="1774" t="s">
        <v>22</v>
      </c>
      <c r="H89" s="1774" t="s">
        <v>22</v>
      </c>
      <c r="I89" s="1774" t="s">
        <v>807</v>
      </c>
    </row>
    <row r="90" spans="1:9" ht="11.25" customHeight="1">
      <c r="A90" s="1774" t="s">
        <v>2245</v>
      </c>
      <c r="B90" s="1774" t="s">
        <v>16</v>
      </c>
      <c r="C90" s="1774" t="s">
        <v>2561</v>
      </c>
      <c r="D90" s="1774" t="s">
        <v>2562</v>
      </c>
      <c r="E90" s="1774" t="s">
        <v>2563</v>
      </c>
      <c r="F90" s="1774" t="s">
        <v>2253</v>
      </c>
      <c r="G90" s="1774" t="s">
        <v>22</v>
      </c>
      <c r="H90" s="1774" t="s">
        <v>22</v>
      </c>
      <c r="I90" s="1774" t="s">
        <v>807</v>
      </c>
    </row>
    <row r="91" spans="1:9" ht="11.25" customHeight="1">
      <c r="A91" s="1774" t="s">
        <v>2245</v>
      </c>
      <c r="B91" s="1774" t="s">
        <v>16</v>
      </c>
      <c r="C91" s="1774" t="s">
        <v>2564</v>
      </c>
      <c r="D91" s="1774" t="s">
        <v>2565</v>
      </c>
      <c r="E91" s="1774" t="s">
        <v>2566</v>
      </c>
      <c r="F91" s="1774" t="s">
        <v>2567</v>
      </c>
      <c r="G91" s="1774" t="s">
        <v>22</v>
      </c>
      <c r="H91" s="1774" t="s">
        <v>22</v>
      </c>
      <c r="I91" s="1774" t="s">
        <v>807</v>
      </c>
    </row>
    <row r="92" spans="1:9" ht="11.25" customHeight="1">
      <c r="A92" s="1774" t="s">
        <v>2245</v>
      </c>
      <c r="B92" s="1774" t="s">
        <v>16</v>
      </c>
      <c r="C92" s="1774" t="s">
        <v>2568</v>
      </c>
      <c r="D92" s="1774" t="s">
        <v>2569</v>
      </c>
      <c r="E92" s="1774" t="s">
        <v>2570</v>
      </c>
      <c r="F92" s="1774" t="s">
        <v>2571</v>
      </c>
      <c r="G92" s="1774" t="s">
        <v>22</v>
      </c>
      <c r="H92" s="1774" t="s">
        <v>22</v>
      </c>
      <c r="I92" s="1774" t="s">
        <v>807</v>
      </c>
    </row>
    <row r="93" spans="1:9" ht="11.25" customHeight="1">
      <c r="A93" s="1774" t="s">
        <v>2245</v>
      </c>
      <c r="B93" s="1774" t="s">
        <v>16</v>
      </c>
      <c r="C93" s="1774" t="s">
        <v>2572</v>
      </c>
      <c r="D93" s="1774" t="s">
        <v>2573</v>
      </c>
      <c r="E93" s="1774" t="s">
        <v>2574</v>
      </c>
      <c r="F93" s="1774" t="s">
        <v>2496</v>
      </c>
      <c r="G93" s="1774" t="s">
        <v>22</v>
      </c>
      <c r="H93" s="1774" t="s">
        <v>22</v>
      </c>
      <c r="I93" s="1774" t="s">
        <v>807</v>
      </c>
    </row>
    <row r="94" spans="1:9" ht="11.25" customHeight="1">
      <c r="A94" s="1774" t="s">
        <v>2245</v>
      </c>
      <c r="B94" s="1774" t="s">
        <v>16</v>
      </c>
      <c r="C94" s="1774" t="s">
        <v>2575</v>
      </c>
      <c r="D94" s="1774" t="s">
        <v>2576</v>
      </c>
      <c r="E94" s="1774" t="s">
        <v>2577</v>
      </c>
      <c r="F94" s="1774" t="s">
        <v>2496</v>
      </c>
      <c r="G94" s="1774" t="s">
        <v>22</v>
      </c>
      <c r="H94" s="1774" t="s">
        <v>2451</v>
      </c>
      <c r="I94" s="1774" t="s">
        <v>807</v>
      </c>
    </row>
    <row r="95" spans="1:9" ht="11.25" customHeight="1">
      <c r="A95" s="1774" t="s">
        <v>2245</v>
      </c>
      <c r="B95" s="1774" t="s">
        <v>16</v>
      </c>
      <c r="C95" s="1774" t="s">
        <v>2578</v>
      </c>
      <c r="D95" s="1774" t="s">
        <v>2579</v>
      </c>
      <c r="E95" s="1774" t="s">
        <v>2580</v>
      </c>
      <c r="F95" s="1774" t="s">
        <v>2253</v>
      </c>
      <c r="G95" s="1774" t="s">
        <v>22</v>
      </c>
      <c r="H95" s="1774" t="s">
        <v>22</v>
      </c>
      <c r="I95" s="1774" t="s">
        <v>807</v>
      </c>
    </row>
    <row r="96" spans="1:9" ht="11.25" customHeight="1">
      <c r="A96" s="1774" t="s">
        <v>2245</v>
      </c>
      <c r="B96" s="1774" t="s">
        <v>16</v>
      </c>
      <c r="C96" s="1774" t="s">
        <v>2581</v>
      </c>
      <c r="D96" s="1774" t="s">
        <v>2582</v>
      </c>
      <c r="E96" s="1774" t="s">
        <v>2583</v>
      </c>
      <c r="F96" s="1774" t="s">
        <v>2542</v>
      </c>
      <c r="G96" s="1774" t="s">
        <v>22</v>
      </c>
      <c r="H96" s="1774" t="s">
        <v>22</v>
      </c>
      <c r="I96" s="1774" t="s">
        <v>807</v>
      </c>
    </row>
    <row r="97" spans="1:9" ht="11.25" customHeight="1">
      <c r="A97" s="1774" t="s">
        <v>2245</v>
      </c>
      <c r="B97" s="1774" t="s">
        <v>16</v>
      </c>
      <c r="C97" s="1774" t="s">
        <v>2584</v>
      </c>
      <c r="D97" s="1774" t="s">
        <v>2585</v>
      </c>
      <c r="E97" s="1774" t="s">
        <v>2586</v>
      </c>
      <c r="F97" s="1774" t="s">
        <v>2386</v>
      </c>
      <c r="G97" s="1774" t="s">
        <v>22</v>
      </c>
      <c r="H97" s="1774" t="s">
        <v>22</v>
      </c>
      <c r="I97" s="1774" t="s">
        <v>807</v>
      </c>
    </row>
    <row r="98" spans="1:9" ht="11.25" customHeight="1">
      <c r="A98" s="1774" t="s">
        <v>2245</v>
      </c>
      <c r="B98" s="1774" t="s">
        <v>16</v>
      </c>
      <c r="C98" s="1774" t="s">
        <v>2587</v>
      </c>
      <c r="D98" s="1774" t="s">
        <v>2588</v>
      </c>
      <c r="E98" s="1774" t="s">
        <v>2589</v>
      </c>
      <c r="F98" s="1774" t="s">
        <v>2386</v>
      </c>
      <c r="G98" s="1774" t="s">
        <v>22</v>
      </c>
      <c r="H98" s="1774" t="s">
        <v>22</v>
      </c>
      <c r="I98" s="1774" t="s">
        <v>807</v>
      </c>
    </row>
    <row r="99" spans="1:9" ht="11.25" customHeight="1">
      <c r="A99" s="1774" t="s">
        <v>2245</v>
      </c>
      <c r="B99" s="1774" t="s">
        <v>16</v>
      </c>
      <c r="C99" s="1774" t="s">
        <v>2590</v>
      </c>
      <c r="D99" s="1774" t="s">
        <v>2591</v>
      </c>
      <c r="E99" s="1774" t="s">
        <v>2592</v>
      </c>
      <c r="F99" s="1774" t="s">
        <v>2348</v>
      </c>
      <c r="G99" s="1774" t="s">
        <v>22</v>
      </c>
      <c r="H99" s="1774" t="s">
        <v>22</v>
      </c>
      <c r="I99" s="1774" t="s">
        <v>807</v>
      </c>
    </row>
    <row r="100" spans="1:9" ht="11.25" customHeight="1">
      <c r="A100" s="1774" t="s">
        <v>2245</v>
      </c>
      <c r="B100" s="1774" t="s">
        <v>16</v>
      </c>
      <c r="C100" s="1774" t="s">
        <v>2593</v>
      </c>
      <c r="D100" s="1774" t="s">
        <v>2594</v>
      </c>
      <c r="E100" s="1774" t="s">
        <v>2595</v>
      </c>
      <c r="F100" s="1774" t="s">
        <v>2478</v>
      </c>
      <c r="G100" s="1774" t="s">
        <v>22</v>
      </c>
      <c r="H100" s="1774" t="s">
        <v>22</v>
      </c>
      <c r="I100" s="1774" t="s">
        <v>807</v>
      </c>
    </row>
    <row r="101" spans="1:9" ht="11.25" customHeight="1">
      <c r="A101" s="1774" t="s">
        <v>2245</v>
      </c>
      <c r="B101" s="1774" t="s">
        <v>16</v>
      </c>
      <c r="C101" s="1774" t="s">
        <v>2596</v>
      </c>
      <c r="D101" s="1774" t="s">
        <v>2597</v>
      </c>
      <c r="E101" s="1774" t="s">
        <v>2598</v>
      </c>
      <c r="F101" s="1774" t="s">
        <v>51</v>
      </c>
      <c r="G101" s="1774" t="s">
        <v>22</v>
      </c>
      <c r="H101" s="1774" t="s">
        <v>22</v>
      </c>
      <c r="I101" s="1774" t="s">
        <v>807</v>
      </c>
    </row>
    <row r="102" spans="1:9" ht="11.25" customHeight="1">
      <c r="A102" s="1774" t="s">
        <v>2245</v>
      </c>
      <c r="B102" s="1774" t="s">
        <v>16</v>
      </c>
      <c r="C102" s="1774" t="s">
        <v>2599</v>
      </c>
      <c r="D102" s="1774" t="s">
        <v>2600</v>
      </c>
      <c r="E102" s="1774" t="s">
        <v>2601</v>
      </c>
      <c r="F102" s="1774" t="s">
        <v>2542</v>
      </c>
      <c r="G102" s="1774" t="s">
        <v>22</v>
      </c>
      <c r="H102" s="1774" t="s">
        <v>22</v>
      </c>
      <c r="I102" s="1774" t="s">
        <v>807</v>
      </c>
    </row>
    <row r="103" spans="1:9" ht="11.25" customHeight="1">
      <c r="A103" s="1774" t="s">
        <v>2245</v>
      </c>
      <c r="B103" s="1774" t="s">
        <v>16</v>
      </c>
      <c r="C103" s="1774" t="s">
        <v>2602</v>
      </c>
      <c r="D103" s="1774" t="s">
        <v>2603</v>
      </c>
      <c r="E103" s="1774" t="s">
        <v>2604</v>
      </c>
      <c r="F103" s="1774" t="s">
        <v>574</v>
      </c>
      <c r="G103" s="1774" t="s">
        <v>22</v>
      </c>
      <c r="H103" s="1774" t="s">
        <v>22</v>
      </c>
      <c r="I103" s="1774" t="s">
        <v>807</v>
      </c>
    </row>
    <row r="104" spans="1:9" ht="11.25" customHeight="1">
      <c r="A104" s="1774" t="s">
        <v>2245</v>
      </c>
      <c r="B104" s="1774" t="s">
        <v>16</v>
      </c>
      <c r="C104" s="1774" t="s">
        <v>2605</v>
      </c>
      <c r="D104" s="1774" t="s">
        <v>2606</v>
      </c>
      <c r="E104" s="1774" t="s">
        <v>2607</v>
      </c>
      <c r="F104" s="1774" t="s">
        <v>574</v>
      </c>
      <c r="G104" s="1774" t="s">
        <v>22</v>
      </c>
      <c r="H104" s="1774" t="s">
        <v>22</v>
      </c>
      <c r="I104" s="1774" t="s">
        <v>807</v>
      </c>
    </row>
    <row r="105" spans="1:9" ht="11.25" customHeight="1">
      <c r="A105" s="1774" t="s">
        <v>2245</v>
      </c>
      <c r="B105" s="1774" t="s">
        <v>16</v>
      </c>
      <c r="C105" s="1774" t="s">
        <v>2608</v>
      </c>
      <c r="D105" s="1774" t="s">
        <v>2609</v>
      </c>
      <c r="E105" s="1774" t="s">
        <v>2610</v>
      </c>
      <c r="F105" s="1774" t="s">
        <v>574</v>
      </c>
      <c r="G105" s="1774" t="s">
        <v>22</v>
      </c>
      <c r="H105" s="1774" t="s">
        <v>22</v>
      </c>
      <c r="I105" s="1774" t="s">
        <v>807</v>
      </c>
    </row>
    <row r="106" spans="1:9" ht="11.25" customHeight="1">
      <c r="A106" s="1774" t="s">
        <v>2245</v>
      </c>
      <c r="B106" s="1774" t="s">
        <v>16</v>
      </c>
      <c r="C106" s="1774" t="s">
        <v>2611</v>
      </c>
      <c r="D106" s="1774" t="s">
        <v>2612</v>
      </c>
      <c r="E106" s="1774" t="s">
        <v>2613</v>
      </c>
      <c r="F106" s="1774" t="s">
        <v>574</v>
      </c>
      <c r="G106" s="1774" t="s">
        <v>22</v>
      </c>
      <c r="H106" s="1774" t="s">
        <v>22</v>
      </c>
      <c r="I106" s="1774" t="s">
        <v>807</v>
      </c>
    </row>
    <row r="107" spans="1:9" ht="11.25" customHeight="1">
      <c r="A107" s="1774" t="s">
        <v>2245</v>
      </c>
      <c r="B107" s="1774" t="s">
        <v>16</v>
      </c>
      <c r="C107" s="1774" t="s">
        <v>2614</v>
      </c>
      <c r="D107" s="1774" t="s">
        <v>2615</v>
      </c>
      <c r="E107" s="1774" t="s">
        <v>2616</v>
      </c>
      <c r="F107" s="1774" t="s">
        <v>574</v>
      </c>
      <c r="G107" s="1774" t="s">
        <v>22</v>
      </c>
      <c r="H107" s="1774" t="s">
        <v>22</v>
      </c>
      <c r="I107" s="1774" t="s">
        <v>807</v>
      </c>
    </row>
    <row r="108" spans="1:9" ht="11.25" customHeight="1">
      <c r="A108" s="1774" t="s">
        <v>2245</v>
      </c>
      <c r="B108" s="1774" t="s">
        <v>16</v>
      </c>
      <c r="C108" s="1774" t="s">
        <v>2617</v>
      </c>
      <c r="D108" s="1774" t="s">
        <v>2618</v>
      </c>
      <c r="E108" s="1774" t="s">
        <v>2619</v>
      </c>
      <c r="F108" s="1774" t="s">
        <v>2620</v>
      </c>
      <c r="G108" s="1774" t="s">
        <v>22</v>
      </c>
      <c r="H108" s="1774" t="s">
        <v>22</v>
      </c>
      <c r="I108" s="1774" t="s">
        <v>807</v>
      </c>
    </row>
    <row r="109" spans="1:9" ht="11.25" customHeight="1">
      <c r="A109" s="1774" t="s">
        <v>2245</v>
      </c>
      <c r="B109" s="1774" t="s">
        <v>16</v>
      </c>
      <c r="C109" s="1774" t="s">
        <v>2621</v>
      </c>
      <c r="D109" s="1774" t="s">
        <v>2622</v>
      </c>
      <c r="E109" s="1774" t="s">
        <v>2503</v>
      </c>
      <c r="F109" s="1774" t="s">
        <v>2623</v>
      </c>
      <c r="G109" s="1774" t="s">
        <v>22</v>
      </c>
      <c r="H109" s="1774" t="s">
        <v>22</v>
      </c>
      <c r="I109" s="1774" t="s">
        <v>807</v>
      </c>
    </row>
    <row r="110" spans="1:9" ht="11.25" customHeight="1">
      <c r="A110" s="1774" t="s">
        <v>2245</v>
      </c>
      <c r="B110" s="1774" t="s">
        <v>16</v>
      </c>
      <c r="C110" s="1774" t="s">
        <v>2624</v>
      </c>
      <c r="D110" s="1774" t="s">
        <v>2625</v>
      </c>
      <c r="E110" s="1774" t="s">
        <v>2626</v>
      </c>
      <c r="F110" s="1774" t="s">
        <v>2450</v>
      </c>
      <c r="G110" s="1774" t="s">
        <v>22</v>
      </c>
      <c r="H110" s="1774" t="s">
        <v>22</v>
      </c>
      <c r="I110" s="1774" t="s">
        <v>807</v>
      </c>
    </row>
    <row r="111" spans="1:9" ht="11.25" customHeight="1">
      <c r="A111" s="1774" t="s">
        <v>2245</v>
      </c>
      <c r="B111" s="1774" t="s">
        <v>16</v>
      </c>
      <c r="C111" s="1774" t="s">
        <v>2627</v>
      </c>
      <c r="D111" s="1774" t="s">
        <v>2628</v>
      </c>
      <c r="E111" s="1774" t="s">
        <v>2629</v>
      </c>
      <c r="F111" s="1774" t="s">
        <v>2630</v>
      </c>
      <c r="G111" s="1774" t="s">
        <v>22</v>
      </c>
      <c r="H111" s="1774" t="s">
        <v>22</v>
      </c>
      <c r="I111" s="1774" t="s">
        <v>807</v>
      </c>
    </row>
    <row r="112" spans="1:9" ht="11.25" customHeight="1">
      <c r="A112" s="1774" t="s">
        <v>2245</v>
      </c>
      <c r="B112" s="1774" t="s">
        <v>16</v>
      </c>
      <c r="C112" s="1774" t="s">
        <v>2631</v>
      </c>
      <c r="D112" s="1774" t="s">
        <v>2632</v>
      </c>
      <c r="E112" s="1774" t="s">
        <v>2633</v>
      </c>
      <c r="F112" s="1774" t="s">
        <v>2634</v>
      </c>
      <c r="G112" s="1774" t="s">
        <v>22</v>
      </c>
      <c r="H112" s="1774" t="s">
        <v>22</v>
      </c>
      <c r="I112" s="1774" t="s">
        <v>807</v>
      </c>
    </row>
    <row r="113" spans="1:9" ht="11.25" customHeight="1">
      <c r="A113" s="1774" t="s">
        <v>2245</v>
      </c>
      <c r="B113" s="1774" t="s">
        <v>16</v>
      </c>
      <c r="C113" s="1774" t="s">
        <v>2635</v>
      </c>
      <c r="D113" s="1774" t="s">
        <v>2636</v>
      </c>
      <c r="E113" s="1774" t="s">
        <v>2637</v>
      </c>
      <c r="F113" s="1774" t="s">
        <v>2638</v>
      </c>
      <c r="G113" s="1774" t="s">
        <v>2639</v>
      </c>
      <c r="H113" s="1774" t="s">
        <v>22</v>
      </c>
      <c r="I113" s="1774" t="s">
        <v>807</v>
      </c>
    </row>
    <row r="114" spans="1:9" ht="11.25" customHeight="1">
      <c r="A114" s="1774" t="s">
        <v>2245</v>
      </c>
      <c r="B114" s="1774" t="s">
        <v>16</v>
      </c>
      <c r="C114" s="1774" t="s">
        <v>2640</v>
      </c>
      <c r="D114" s="1774" t="s">
        <v>2641</v>
      </c>
      <c r="E114" s="1774" t="s">
        <v>2642</v>
      </c>
      <c r="F114" s="1774" t="s">
        <v>2634</v>
      </c>
      <c r="G114" s="1774" t="s">
        <v>22</v>
      </c>
      <c r="H114" s="1774" t="s">
        <v>22</v>
      </c>
      <c r="I114" s="1774" t="s">
        <v>807</v>
      </c>
    </row>
    <row r="115" spans="1:9" ht="11.25" customHeight="1">
      <c r="A115" s="1774" t="s">
        <v>2245</v>
      </c>
      <c r="B115" s="1774" t="s">
        <v>16</v>
      </c>
      <c r="C115" s="1774" t="s">
        <v>2643</v>
      </c>
      <c r="D115" s="1774" t="s">
        <v>2644</v>
      </c>
      <c r="E115" s="1774" t="s">
        <v>2645</v>
      </c>
      <c r="F115" s="1774" t="s">
        <v>2646</v>
      </c>
      <c r="G115" s="1774" t="s">
        <v>22</v>
      </c>
      <c r="H115" s="1774" t="s">
        <v>22</v>
      </c>
      <c r="I115" s="1774" t="s">
        <v>807</v>
      </c>
    </row>
    <row r="116" spans="1:9" ht="11.25" customHeight="1">
      <c r="A116" s="1774" t="s">
        <v>2245</v>
      </c>
      <c r="B116" s="1774" t="s">
        <v>16</v>
      </c>
      <c r="C116" s="1774" t="s">
        <v>2647</v>
      </c>
      <c r="D116" s="1774" t="s">
        <v>2648</v>
      </c>
      <c r="E116" s="1774" t="s">
        <v>2649</v>
      </c>
      <c r="F116" s="1774" t="s">
        <v>2630</v>
      </c>
      <c r="G116" s="1774" t="s">
        <v>22</v>
      </c>
      <c r="H116" s="1774" t="s">
        <v>22</v>
      </c>
      <c r="I116" s="1774" t="s">
        <v>807</v>
      </c>
    </row>
    <row r="117" spans="1:9" ht="11.25" customHeight="1">
      <c r="A117" s="1774" t="s">
        <v>2245</v>
      </c>
      <c r="B117" s="1774" t="s">
        <v>16</v>
      </c>
      <c r="C117" s="1774" t="s">
        <v>2650</v>
      </c>
      <c r="D117" s="1774" t="s">
        <v>2651</v>
      </c>
      <c r="E117" s="1774" t="s">
        <v>2652</v>
      </c>
      <c r="F117" s="1774" t="s">
        <v>2653</v>
      </c>
      <c r="G117" s="1774" t="s">
        <v>22</v>
      </c>
      <c r="H117" s="1774" t="s">
        <v>22</v>
      </c>
      <c r="I117" s="1774" t="s">
        <v>807</v>
      </c>
    </row>
    <row r="118" spans="1:9" ht="11.25" customHeight="1">
      <c r="A118" s="1774" t="s">
        <v>2245</v>
      </c>
      <c r="B118" s="1774" t="s">
        <v>16</v>
      </c>
      <c r="C118" s="1774" t="s">
        <v>2654</v>
      </c>
      <c r="D118" s="1774" t="s">
        <v>2655</v>
      </c>
      <c r="E118" s="1774" t="s">
        <v>2656</v>
      </c>
      <c r="F118" s="1774" t="s">
        <v>2450</v>
      </c>
      <c r="G118" s="1774" t="s">
        <v>22</v>
      </c>
      <c r="H118" s="1774" t="s">
        <v>22</v>
      </c>
      <c r="I118" s="1774" t="s">
        <v>807</v>
      </c>
    </row>
    <row r="119" spans="1:9" ht="11.25" customHeight="1">
      <c r="A119" s="1774" t="s">
        <v>2245</v>
      </c>
      <c r="B119" s="1774" t="s">
        <v>16</v>
      </c>
      <c r="C119" s="1774" t="s">
        <v>2657</v>
      </c>
      <c r="D119" s="1774" t="s">
        <v>2658</v>
      </c>
      <c r="E119" s="1774" t="s">
        <v>2659</v>
      </c>
      <c r="F119" s="1774" t="s">
        <v>2376</v>
      </c>
      <c r="G119" s="1774" t="s">
        <v>22</v>
      </c>
      <c r="H119" s="1774" t="s">
        <v>22</v>
      </c>
      <c r="I119" s="1774" t="s">
        <v>807</v>
      </c>
    </row>
    <row r="120" spans="1:9" ht="11.25" customHeight="1">
      <c r="A120" s="1774" t="s">
        <v>2245</v>
      </c>
      <c r="B120" s="1774" t="s">
        <v>16</v>
      </c>
      <c r="C120" s="1774" t="s">
        <v>2660</v>
      </c>
      <c r="D120" s="1774" t="s">
        <v>2661</v>
      </c>
      <c r="E120" s="1774" t="s">
        <v>2662</v>
      </c>
      <c r="F120" s="1774" t="s">
        <v>2450</v>
      </c>
      <c r="G120" s="1774" t="s">
        <v>22</v>
      </c>
      <c r="H120" s="1774" t="s">
        <v>22</v>
      </c>
      <c r="I120" s="1774" t="s">
        <v>807</v>
      </c>
    </row>
    <row r="121" spans="1:9" ht="11.25" customHeight="1">
      <c r="A121" s="1774" t="s">
        <v>2245</v>
      </c>
      <c r="B121" s="1774" t="s">
        <v>16</v>
      </c>
      <c r="C121" s="1774" t="s">
        <v>2663</v>
      </c>
      <c r="D121" s="1774" t="s">
        <v>2664</v>
      </c>
      <c r="E121" s="1774" t="s">
        <v>2665</v>
      </c>
      <c r="F121" s="1774" t="s">
        <v>2666</v>
      </c>
      <c r="G121" s="1774" t="s">
        <v>22</v>
      </c>
      <c r="H121" s="1774" t="s">
        <v>22</v>
      </c>
      <c r="I121" s="1774" t="s">
        <v>807</v>
      </c>
    </row>
    <row r="122" spans="1:9" ht="11.25" customHeight="1">
      <c r="A122" s="1774" t="s">
        <v>2245</v>
      </c>
      <c r="B122" s="1774" t="s">
        <v>16</v>
      </c>
      <c r="C122" s="1774" t="s">
        <v>2667</v>
      </c>
      <c r="D122" s="1774" t="s">
        <v>2668</v>
      </c>
      <c r="E122" s="1774" t="s">
        <v>2669</v>
      </c>
      <c r="F122" s="1774" t="s">
        <v>2280</v>
      </c>
      <c r="G122" s="1774" t="s">
        <v>22</v>
      </c>
      <c r="H122" s="1774" t="s">
        <v>22</v>
      </c>
      <c r="I122" s="1774" t="s">
        <v>807</v>
      </c>
    </row>
    <row r="123" spans="1:9" ht="11.25" customHeight="1">
      <c r="A123" s="1774" t="s">
        <v>2245</v>
      </c>
      <c r="B123" s="1774" t="s">
        <v>16</v>
      </c>
      <c r="C123" s="1774" t="s">
        <v>2670</v>
      </c>
      <c r="D123" s="1774" t="s">
        <v>2671</v>
      </c>
      <c r="E123" s="1774" t="s">
        <v>2672</v>
      </c>
      <c r="F123" s="1774" t="s">
        <v>2462</v>
      </c>
      <c r="G123" s="1774" t="s">
        <v>22</v>
      </c>
      <c r="H123" s="1774" t="s">
        <v>22</v>
      </c>
      <c r="I123" s="1774" t="s">
        <v>807</v>
      </c>
    </row>
    <row r="124" spans="1:9" ht="11.25" customHeight="1">
      <c r="A124" s="1774" t="s">
        <v>2245</v>
      </c>
      <c r="B124" s="1774" t="s">
        <v>16</v>
      </c>
      <c r="C124" s="1774" t="s">
        <v>2673</v>
      </c>
      <c r="D124" s="1774" t="s">
        <v>2674</v>
      </c>
      <c r="E124" s="1774" t="s">
        <v>2675</v>
      </c>
      <c r="F124" s="1774" t="s">
        <v>2666</v>
      </c>
      <c r="G124" s="1774" t="s">
        <v>22</v>
      </c>
      <c r="H124" s="1774" t="s">
        <v>22</v>
      </c>
      <c r="I124" s="1774" t="s">
        <v>807</v>
      </c>
    </row>
    <row r="125" spans="1:9" ht="11.25" customHeight="1">
      <c r="A125" s="1774" t="s">
        <v>2245</v>
      </c>
      <c r="B125" s="1774" t="s">
        <v>16</v>
      </c>
      <c r="C125" s="1774" t="s">
        <v>2676</v>
      </c>
      <c r="D125" s="1774" t="s">
        <v>2677</v>
      </c>
      <c r="E125" s="1774" t="s">
        <v>2678</v>
      </c>
      <c r="F125" s="1774" t="s">
        <v>2679</v>
      </c>
      <c r="G125" s="1774" t="s">
        <v>22</v>
      </c>
      <c r="H125" s="1774" t="s">
        <v>22</v>
      </c>
      <c r="I125" s="1774" t="s">
        <v>807</v>
      </c>
    </row>
    <row r="126" spans="1:9" ht="11.25" customHeight="1">
      <c r="A126" s="1774" t="s">
        <v>2245</v>
      </c>
      <c r="B126" s="1774" t="s">
        <v>16</v>
      </c>
      <c r="C126" s="1774" t="s">
        <v>2680</v>
      </c>
      <c r="D126" s="1774" t="s">
        <v>2681</v>
      </c>
      <c r="E126" s="1774" t="s">
        <v>2682</v>
      </c>
      <c r="F126" s="1774" t="s">
        <v>2313</v>
      </c>
      <c r="G126" s="1774" t="s">
        <v>22</v>
      </c>
      <c r="H126" s="1774" t="s">
        <v>22</v>
      </c>
      <c r="I126" s="1774" t="s">
        <v>807</v>
      </c>
    </row>
    <row r="127" spans="1:9" ht="11.25" customHeight="1">
      <c r="A127" s="1774" t="s">
        <v>2245</v>
      </c>
      <c r="B127" s="1774" t="s">
        <v>16</v>
      </c>
      <c r="C127" s="1774" t="s">
        <v>2683</v>
      </c>
      <c r="D127" s="1774" t="s">
        <v>2684</v>
      </c>
      <c r="E127" s="1774" t="s">
        <v>2685</v>
      </c>
      <c r="F127" s="1774" t="s">
        <v>2686</v>
      </c>
      <c r="G127" s="1774" t="s">
        <v>2687</v>
      </c>
      <c r="H127" s="1774" t="s">
        <v>22</v>
      </c>
      <c r="I127" s="1774" t="s">
        <v>807</v>
      </c>
    </row>
    <row r="128" spans="1:9" ht="11.25" customHeight="1">
      <c r="A128" s="1774" t="s">
        <v>2245</v>
      </c>
      <c r="B128" s="1774" t="s">
        <v>16</v>
      </c>
      <c r="C128" s="1774" t="s">
        <v>2688</v>
      </c>
      <c r="D128" s="1774" t="s">
        <v>2689</v>
      </c>
      <c r="E128" s="1774" t="s">
        <v>2690</v>
      </c>
      <c r="F128" s="1774" t="s">
        <v>2249</v>
      </c>
      <c r="G128" s="1774" t="s">
        <v>22</v>
      </c>
      <c r="H128" s="1774" t="s">
        <v>22</v>
      </c>
      <c r="I128" s="1774" t="s">
        <v>807</v>
      </c>
    </row>
    <row r="129" spans="1:9" ht="11.25" customHeight="1">
      <c r="A129" s="1774" t="s">
        <v>2245</v>
      </c>
      <c r="B129" s="1774" t="s">
        <v>16</v>
      </c>
      <c r="C129" s="1774" t="s">
        <v>2691</v>
      </c>
      <c r="D129" s="1774" t="s">
        <v>2692</v>
      </c>
      <c r="E129" s="1774" t="s">
        <v>2693</v>
      </c>
      <c r="F129" s="1774" t="s">
        <v>2348</v>
      </c>
      <c r="G129" s="1774" t="s">
        <v>22</v>
      </c>
      <c r="H129" s="1774" t="s">
        <v>22</v>
      </c>
      <c r="I129" s="1774" t="s">
        <v>807</v>
      </c>
    </row>
    <row r="130" spans="1:9" ht="11.25" customHeight="1">
      <c r="A130" s="1774" t="s">
        <v>2245</v>
      </c>
      <c r="B130" s="1774" t="s">
        <v>16</v>
      </c>
      <c r="C130" s="1774" t="s">
        <v>2694</v>
      </c>
      <c r="D130" s="1774" t="s">
        <v>2695</v>
      </c>
      <c r="E130" s="1774" t="s">
        <v>2696</v>
      </c>
      <c r="F130" s="1774" t="s">
        <v>2697</v>
      </c>
      <c r="G130" s="1774" t="s">
        <v>22</v>
      </c>
      <c r="H130" s="1774" t="s">
        <v>22</v>
      </c>
      <c r="I130" s="1774" t="s">
        <v>807</v>
      </c>
    </row>
    <row r="131" spans="1:9" ht="11.25" customHeight="1">
      <c r="A131" s="1774" t="s">
        <v>2245</v>
      </c>
      <c r="B131" s="1774" t="s">
        <v>16</v>
      </c>
      <c r="C131" s="1774" t="s">
        <v>2698</v>
      </c>
      <c r="D131" s="1774" t="s">
        <v>2699</v>
      </c>
      <c r="E131" s="1774" t="s">
        <v>2700</v>
      </c>
      <c r="F131" s="1774" t="s">
        <v>2298</v>
      </c>
      <c r="G131" s="1774" t="s">
        <v>22</v>
      </c>
      <c r="H131" s="1774" t="s">
        <v>22</v>
      </c>
      <c r="I131" s="1774" t="s">
        <v>807</v>
      </c>
    </row>
    <row r="132" spans="1:9" ht="11.25" customHeight="1">
      <c r="A132" s="1774" t="s">
        <v>2245</v>
      </c>
      <c r="B132" s="1774" t="s">
        <v>16</v>
      </c>
      <c r="C132" s="1774" t="s">
        <v>2701</v>
      </c>
      <c r="D132" s="1774" t="s">
        <v>2702</v>
      </c>
      <c r="E132" s="1774" t="s">
        <v>2703</v>
      </c>
      <c r="F132" s="1774" t="s">
        <v>2704</v>
      </c>
      <c r="G132" s="1774" t="s">
        <v>22</v>
      </c>
      <c r="H132" s="1774" t="s">
        <v>22</v>
      </c>
      <c r="I132" s="1774" t="s">
        <v>807</v>
      </c>
    </row>
    <row r="133" spans="1:9" ht="11.25" customHeight="1">
      <c r="A133" s="1774" t="s">
        <v>2245</v>
      </c>
      <c r="B133" s="1774" t="s">
        <v>16</v>
      </c>
      <c r="C133" s="1774" t="s">
        <v>2705</v>
      </c>
      <c r="D133" s="1774" t="s">
        <v>2706</v>
      </c>
      <c r="E133" s="1774" t="s">
        <v>2707</v>
      </c>
      <c r="F133" s="1774" t="s">
        <v>2708</v>
      </c>
      <c r="G133" s="1774" t="s">
        <v>22</v>
      </c>
      <c r="H133" s="1774" t="s">
        <v>22</v>
      </c>
      <c r="I133" s="1774" t="s">
        <v>807</v>
      </c>
    </row>
    <row r="134" spans="1:9" ht="11.25" customHeight="1">
      <c r="A134" s="1774" t="s">
        <v>2245</v>
      </c>
      <c r="B134" s="1774" t="s">
        <v>16</v>
      </c>
      <c r="C134" s="1774" t="s">
        <v>2709</v>
      </c>
      <c r="D134" s="1774" t="s">
        <v>2710</v>
      </c>
      <c r="E134" s="1774" t="s">
        <v>2711</v>
      </c>
      <c r="F134" s="1774" t="s">
        <v>2712</v>
      </c>
      <c r="G134" s="1774" t="s">
        <v>22</v>
      </c>
      <c r="H134" s="1774" t="s">
        <v>22</v>
      </c>
      <c r="I134" s="1774" t="s">
        <v>807</v>
      </c>
    </row>
    <row r="135" spans="1:9" ht="11.25" customHeight="1">
      <c r="A135" s="1774" t="s">
        <v>2245</v>
      </c>
      <c r="B135" s="1774" t="s">
        <v>16</v>
      </c>
      <c r="C135" s="1774" t="s">
        <v>2713</v>
      </c>
      <c r="D135" s="1774" t="s">
        <v>2714</v>
      </c>
      <c r="E135" s="1774" t="s">
        <v>2715</v>
      </c>
      <c r="F135" s="1774" t="s">
        <v>2527</v>
      </c>
      <c r="G135" s="1774" t="s">
        <v>22</v>
      </c>
      <c r="H135" s="1774" t="s">
        <v>22</v>
      </c>
      <c r="I135" s="1774" t="s">
        <v>807</v>
      </c>
    </row>
    <row r="136" spans="1:9" ht="11.25" customHeight="1">
      <c r="A136" s="1774" t="s">
        <v>2245</v>
      </c>
      <c r="B136" s="1774" t="s">
        <v>16</v>
      </c>
      <c r="C136" s="1774" t="s">
        <v>2716</v>
      </c>
      <c r="D136" s="1774" t="s">
        <v>2717</v>
      </c>
      <c r="E136" s="1774" t="s">
        <v>2718</v>
      </c>
      <c r="F136" s="1774" t="s">
        <v>2317</v>
      </c>
      <c r="G136" s="1774" t="s">
        <v>22</v>
      </c>
      <c r="H136" s="1774" t="s">
        <v>22</v>
      </c>
      <c r="I136" s="1774" t="s">
        <v>807</v>
      </c>
    </row>
    <row r="137" spans="1:9" ht="11.25" customHeight="1">
      <c r="A137" s="1774" t="s">
        <v>2245</v>
      </c>
      <c r="B137" s="1774" t="s">
        <v>16</v>
      </c>
      <c r="C137" s="1774" t="s">
        <v>2719</v>
      </c>
      <c r="D137" s="1774" t="s">
        <v>2720</v>
      </c>
      <c r="E137" s="1774" t="s">
        <v>2721</v>
      </c>
      <c r="F137" s="1774" t="s">
        <v>2531</v>
      </c>
      <c r="G137" s="1774" t="s">
        <v>22</v>
      </c>
      <c r="H137" s="1774" t="s">
        <v>22</v>
      </c>
      <c r="I137" s="1774" t="s">
        <v>807</v>
      </c>
    </row>
    <row r="138" spans="1:9" ht="11.25" customHeight="1">
      <c r="A138" s="1774" t="s">
        <v>2245</v>
      </c>
      <c r="B138" s="1774" t="s">
        <v>16</v>
      </c>
      <c r="C138" s="1774" t="s">
        <v>2722</v>
      </c>
      <c r="D138" s="1774" t="s">
        <v>2723</v>
      </c>
      <c r="E138" s="1774" t="s">
        <v>2724</v>
      </c>
      <c r="F138" s="1774" t="s">
        <v>2313</v>
      </c>
      <c r="G138" s="1774" t="s">
        <v>22</v>
      </c>
      <c r="H138" s="1774" t="s">
        <v>22</v>
      </c>
      <c r="I138" s="1774" t="s">
        <v>807</v>
      </c>
    </row>
    <row r="139" spans="1:9" ht="11.25" customHeight="1">
      <c r="A139" s="1774" t="s">
        <v>2245</v>
      </c>
      <c r="B139" s="1774" t="s">
        <v>16</v>
      </c>
      <c r="C139" s="1774" t="s">
        <v>2725</v>
      </c>
      <c r="D139" s="1774" t="s">
        <v>2726</v>
      </c>
      <c r="E139" s="1774" t="s">
        <v>2727</v>
      </c>
      <c r="F139" s="1774" t="s">
        <v>2704</v>
      </c>
      <c r="G139" s="1774" t="s">
        <v>22</v>
      </c>
      <c r="H139" s="1774" t="s">
        <v>22</v>
      </c>
      <c r="I139" s="1774" t="s">
        <v>807</v>
      </c>
    </row>
    <row r="140" spans="1:9" ht="11.25" customHeight="1">
      <c r="A140" s="1774" t="s">
        <v>2245</v>
      </c>
      <c r="B140" s="1774" t="s">
        <v>16</v>
      </c>
      <c r="C140" s="1774" t="s">
        <v>2728</v>
      </c>
      <c r="D140" s="1774" t="s">
        <v>2729</v>
      </c>
      <c r="E140" s="1774" t="s">
        <v>2730</v>
      </c>
      <c r="F140" s="1774" t="s">
        <v>2535</v>
      </c>
      <c r="G140" s="1774" t="s">
        <v>22</v>
      </c>
      <c r="H140" s="1774" t="s">
        <v>22</v>
      </c>
      <c r="I140" s="1774" t="s">
        <v>807</v>
      </c>
    </row>
    <row r="141" spans="1:9" ht="11.25" customHeight="1">
      <c r="A141" s="1774" t="s">
        <v>2245</v>
      </c>
      <c r="B141" s="1774" t="s">
        <v>16</v>
      </c>
      <c r="C141" s="1774" t="s">
        <v>2731</v>
      </c>
      <c r="D141" s="1774" t="s">
        <v>2732</v>
      </c>
      <c r="E141" s="1774" t="s">
        <v>2733</v>
      </c>
      <c r="F141" s="1774" t="s">
        <v>2686</v>
      </c>
      <c r="G141" s="1774" t="s">
        <v>22</v>
      </c>
      <c r="H141" s="1774" t="s">
        <v>22</v>
      </c>
      <c r="I141" s="1774" t="s">
        <v>807</v>
      </c>
    </row>
    <row r="142" spans="1:9" ht="11.25" customHeight="1">
      <c r="A142" s="1774" t="s">
        <v>2245</v>
      </c>
      <c r="B142" s="1774" t="s">
        <v>16</v>
      </c>
      <c r="C142" s="1774" t="s">
        <v>2734</v>
      </c>
      <c r="D142" s="1774" t="s">
        <v>2735</v>
      </c>
      <c r="E142" s="1774" t="s">
        <v>2736</v>
      </c>
      <c r="F142" s="1774" t="s">
        <v>2686</v>
      </c>
      <c r="G142" s="1774" t="s">
        <v>22</v>
      </c>
      <c r="H142" s="1774" t="s">
        <v>22</v>
      </c>
      <c r="I142" s="1774" t="s">
        <v>807</v>
      </c>
    </row>
    <row r="143" spans="1:9" ht="11.25" customHeight="1">
      <c r="A143" s="1774" t="s">
        <v>2245</v>
      </c>
      <c r="B143" s="1774" t="s">
        <v>16</v>
      </c>
      <c r="C143" s="1774" t="s">
        <v>2737</v>
      </c>
      <c r="D143" s="1774" t="s">
        <v>2738</v>
      </c>
      <c r="E143" s="1774" t="s">
        <v>2739</v>
      </c>
      <c r="F143" s="1774" t="s">
        <v>2686</v>
      </c>
      <c r="G143" s="1774" t="s">
        <v>22</v>
      </c>
      <c r="H143" s="1774" t="s">
        <v>22</v>
      </c>
      <c r="I143" s="1774" t="s">
        <v>807</v>
      </c>
    </row>
    <row r="144" spans="1:9" ht="11.25" customHeight="1">
      <c r="A144" s="1774" t="s">
        <v>2245</v>
      </c>
      <c r="B144" s="1774" t="s">
        <v>16</v>
      </c>
      <c r="C144" s="1774" t="s">
        <v>2740</v>
      </c>
      <c r="D144" s="1774" t="s">
        <v>2741</v>
      </c>
      <c r="E144" s="1774" t="s">
        <v>2742</v>
      </c>
      <c r="F144" s="1774" t="s">
        <v>2686</v>
      </c>
      <c r="G144" s="1774" t="s">
        <v>22</v>
      </c>
      <c r="H144" s="1774" t="s">
        <v>22</v>
      </c>
      <c r="I144" s="1774" t="s">
        <v>807</v>
      </c>
    </row>
    <row r="145" spans="1:9" ht="11.25" customHeight="1">
      <c r="A145" s="1774" t="s">
        <v>2245</v>
      </c>
      <c r="B145" s="1774" t="s">
        <v>16</v>
      </c>
      <c r="C145" s="1774" t="s">
        <v>2743</v>
      </c>
      <c r="D145" s="1774" t="s">
        <v>2744</v>
      </c>
      <c r="E145" s="1774" t="s">
        <v>2745</v>
      </c>
      <c r="F145" s="1774" t="s">
        <v>2686</v>
      </c>
      <c r="G145" s="1774" t="s">
        <v>22</v>
      </c>
      <c r="H145" s="1774" t="s">
        <v>2746</v>
      </c>
      <c r="I145" s="1774" t="s">
        <v>807</v>
      </c>
    </row>
    <row r="146" spans="1:9" ht="11.25" customHeight="1">
      <c r="A146" s="1774" t="s">
        <v>2245</v>
      </c>
      <c r="B146" s="1774" t="s">
        <v>16</v>
      </c>
      <c r="C146" s="1774" t="s">
        <v>2747</v>
      </c>
      <c r="D146" s="1774" t="s">
        <v>2748</v>
      </c>
      <c r="E146" s="1774" t="s">
        <v>2749</v>
      </c>
      <c r="F146" s="1774" t="s">
        <v>2686</v>
      </c>
      <c r="G146" s="1774" t="s">
        <v>22</v>
      </c>
      <c r="H146" s="1774" t="s">
        <v>22</v>
      </c>
      <c r="I146" s="1774" t="s">
        <v>807</v>
      </c>
    </row>
    <row r="147" spans="1:9" ht="11.25" customHeight="1">
      <c r="A147" s="1774" t="s">
        <v>2245</v>
      </c>
      <c r="B147" s="1774" t="s">
        <v>16</v>
      </c>
      <c r="C147" s="1774" t="s">
        <v>2750</v>
      </c>
      <c r="D147" s="1774" t="s">
        <v>2751</v>
      </c>
      <c r="E147" s="1774" t="s">
        <v>2752</v>
      </c>
      <c r="F147" s="1774" t="s">
        <v>2348</v>
      </c>
      <c r="G147" s="1774" t="s">
        <v>22</v>
      </c>
      <c r="H147" s="1774" t="s">
        <v>22</v>
      </c>
      <c r="I147" s="1774" t="s">
        <v>807</v>
      </c>
    </row>
    <row r="148" spans="1:9" ht="11.25" customHeight="1">
      <c r="A148" s="1774" t="s">
        <v>2245</v>
      </c>
      <c r="B148" s="1774" t="s">
        <v>16</v>
      </c>
      <c r="C148" s="1774" t="s">
        <v>2753</v>
      </c>
      <c r="D148" s="1774" t="s">
        <v>2754</v>
      </c>
      <c r="E148" s="1774" t="s">
        <v>2755</v>
      </c>
      <c r="F148" s="1774" t="s">
        <v>2686</v>
      </c>
      <c r="G148" s="1774" t="s">
        <v>22</v>
      </c>
      <c r="H148" s="1774" t="s">
        <v>22</v>
      </c>
      <c r="I148" s="1774" t="s">
        <v>807</v>
      </c>
    </row>
    <row r="149" spans="1:9" ht="11.25" customHeight="1">
      <c r="A149" s="1774" t="s">
        <v>2245</v>
      </c>
      <c r="B149" s="1774" t="s">
        <v>16</v>
      </c>
      <c r="C149" s="1774" t="s">
        <v>2756</v>
      </c>
      <c r="D149" s="1774" t="s">
        <v>2757</v>
      </c>
      <c r="E149" s="1774" t="s">
        <v>2758</v>
      </c>
      <c r="F149" s="1774" t="s">
        <v>2759</v>
      </c>
      <c r="G149" s="1774" t="s">
        <v>22</v>
      </c>
      <c r="H149" s="1774" t="s">
        <v>22</v>
      </c>
      <c r="I149" s="1774" t="s">
        <v>807</v>
      </c>
    </row>
    <row r="150" spans="1:9" ht="11.25" customHeight="1">
      <c r="A150" s="1774" t="s">
        <v>2245</v>
      </c>
      <c r="B150" s="1774" t="s">
        <v>16</v>
      </c>
      <c r="C150" s="1774" t="s">
        <v>2760</v>
      </c>
      <c r="D150" s="1774" t="s">
        <v>2761</v>
      </c>
      <c r="E150" s="1774" t="s">
        <v>2762</v>
      </c>
      <c r="F150" s="1774" t="s">
        <v>2686</v>
      </c>
      <c r="G150" s="1774" t="s">
        <v>22</v>
      </c>
      <c r="H150" s="1774" t="s">
        <v>22</v>
      </c>
      <c r="I150" s="1774" t="s">
        <v>807</v>
      </c>
    </row>
    <row r="151" spans="1:9" ht="11.25" customHeight="1">
      <c r="A151" s="1774" t="s">
        <v>2245</v>
      </c>
      <c r="B151" s="1774" t="s">
        <v>16</v>
      </c>
      <c r="C151" s="1774" t="s">
        <v>2763</v>
      </c>
      <c r="D151" s="1774" t="s">
        <v>2764</v>
      </c>
      <c r="E151" s="1774" t="s">
        <v>2765</v>
      </c>
      <c r="F151" s="1774" t="s">
        <v>2766</v>
      </c>
      <c r="G151" s="1774" t="s">
        <v>22</v>
      </c>
      <c r="H151" s="1774" t="s">
        <v>22</v>
      </c>
      <c r="I151" s="1774" t="s">
        <v>807</v>
      </c>
    </row>
    <row r="152" spans="1:9" ht="11.25" customHeight="1">
      <c r="A152" s="1774" t="s">
        <v>2245</v>
      </c>
      <c r="B152" s="1774" t="s">
        <v>16</v>
      </c>
      <c r="C152" s="1774" t="s">
        <v>2767</v>
      </c>
      <c r="D152" s="1774" t="s">
        <v>2768</v>
      </c>
      <c r="E152" s="1774" t="s">
        <v>2769</v>
      </c>
      <c r="F152" s="1774" t="s">
        <v>2508</v>
      </c>
      <c r="G152" s="1774" t="s">
        <v>22</v>
      </c>
      <c r="H152" s="1774" t="s">
        <v>22</v>
      </c>
      <c r="I152" s="1774" t="s">
        <v>807</v>
      </c>
    </row>
    <row r="153" spans="1:9" ht="11.25" customHeight="1">
      <c r="A153" s="1774" t="s">
        <v>2245</v>
      </c>
      <c r="B153" s="1774" t="s">
        <v>16</v>
      </c>
      <c r="C153" s="1774" t="s">
        <v>2770</v>
      </c>
      <c r="D153" s="1774" t="s">
        <v>2771</v>
      </c>
      <c r="E153" s="1774" t="s">
        <v>2772</v>
      </c>
      <c r="F153" s="1774" t="s">
        <v>2531</v>
      </c>
      <c r="G153" s="1774" t="s">
        <v>22</v>
      </c>
      <c r="H153" s="1774" t="s">
        <v>22</v>
      </c>
      <c r="I153" s="1774" t="s">
        <v>807</v>
      </c>
    </row>
    <row r="154" spans="1:9" ht="11.25" customHeight="1">
      <c r="A154" s="1774" t="s">
        <v>2245</v>
      </c>
      <c r="B154" s="1774" t="s">
        <v>16</v>
      </c>
      <c r="C154" s="1774" t="s">
        <v>2773</v>
      </c>
      <c r="D154" s="1774" t="s">
        <v>2774</v>
      </c>
      <c r="E154" s="1774" t="s">
        <v>2775</v>
      </c>
      <c r="F154" s="1774" t="s">
        <v>2298</v>
      </c>
      <c r="G154" s="1774" t="s">
        <v>22</v>
      </c>
      <c r="H154" s="1774" t="s">
        <v>22</v>
      </c>
      <c r="I154" s="1774" t="s">
        <v>807</v>
      </c>
    </row>
    <row r="155" spans="1:9" ht="11.25" customHeight="1">
      <c r="A155" s="1774" t="s">
        <v>2245</v>
      </c>
      <c r="B155" s="1774" t="s">
        <v>16</v>
      </c>
      <c r="C155" s="1774" t="s">
        <v>2776</v>
      </c>
      <c r="D155" s="1774" t="s">
        <v>2777</v>
      </c>
      <c r="E155" s="1774" t="s">
        <v>2778</v>
      </c>
      <c r="F155" s="1774" t="s">
        <v>2779</v>
      </c>
      <c r="G155" s="1774" t="s">
        <v>22</v>
      </c>
      <c r="H155" s="1774" t="s">
        <v>22</v>
      </c>
      <c r="I155" s="1774" t="s">
        <v>807</v>
      </c>
    </row>
    <row r="156" spans="1:9" ht="11.25" customHeight="1">
      <c r="A156" s="1774" t="s">
        <v>2245</v>
      </c>
      <c r="B156" s="1774" t="s">
        <v>16</v>
      </c>
      <c r="C156" s="1774" t="s">
        <v>2780</v>
      </c>
      <c r="D156" s="1774" t="s">
        <v>2781</v>
      </c>
      <c r="E156" s="1774" t="s">
        <v>2782</v>
      </c>
      <c r="F156" s="1774" t="s">
        <v>2535</v>
      </c>
      <c r="G156" s="1774" t="s">
        <v>22</v>
      </c>
      <c r="H156" s="1774" t="s">
        <v>22</v>
      </c>
      <c r="I156" s="1774" t="s">
        <v>807</v>
      </c>
    </row>
    <row r="157" spans="1:9" ht="11.25" customHeight="1">
      <c r="A157" s="1774" t="s">
        <v>2245</v>
      </c>
      <c r="B157" s="1774" t="s">
        <v>16</v>
      </c>
      <c r="C157" s="1774" t="s">
        <v>2783</v>
      </c>
      <c r="D157" s="1774" t="s">
        <v>2784</v>
      </c>
      <c r="E157" s="1774" t="s">
        <v>2785</v>
      </c>
      <c r="F157" s="1774" t="s">
        <v>2270</v>
      </c>
      <c r="G157" s="1774" t="s">
        <v>22</v>
      </c>
      <c r="H157" s="1774" t="s">
        <v>22</v>
      </c>
      <c r="I157" s="1774" t="s">
        <v>807</v>
      </c>
    </row>
    <row r="158" spans="1:9" ht="11.25" customHeight="1">
      <c r="A158" s="1774" t="s">
        <v>2245</v>
      </c>
      <c r="B158" s="1774" t="s">
        <v>16</v>
      </c>
      <c r="C158" s="1774" t="s">
        <v>2786</v>
      </c>
      <c r="D158" s="1774" t="s">
        <v>2787</v>
      </c>
      <c r="E158" s="1774" t="s">
        <v>2788</v>
      </c>
      <c r="F158" s="1774" t="s">
        <v>2531</v>
      </c>
      <c r="G158" s="1774" t="s">
        <v>22</v>
      </c>
      <c r="H158" s="1774" t="s">
        <v>22</v>
      </c>
      <c r="I158" s="1774" t="s">
        <v>807</v>
      </c>
    </row>
    <row r="159" spans="1:9" ht="11.25" customHeight="1">
      <c r="A159" s="1774" t="s">
        <v>2245</v>
      </c>
      <c r="B159" s="1774" t="s">
        <v>16</v>
      </c>
      <c r="C159" s="1774" t="s">
        <v>2789</v>
      </c>
      <c r="D159" s="1774" t="s">
        <v>2790</v>
      </c>
      <c r="E159" s="1774" t="s">
        <v>2791</v>
      </c>
      <c r="F159" s="1774" t="s">
        <v>2348</v>
      </c>
      <c r="G159" s="1774" t="s">
        <v>22</v>
      </c>
      <c r="H159" s="1774" t="s">
        <v>22</v>
      </c>
      <c r="I159" s="1774" t="s">
        <v>807</v>
      </c>
    </row>
    <row r="160" spans="1:9" ht="11.25" customHeight="1">
      <c r="A160" s="1774" t="s">
        <v>2245</v>
      </c>
      <c r="B160" s="1774" t="s">
        <v>16</v>
      </c>
      <c r="C160" s="1774" t="s">
        <v>2792</v>
      </c>
      <c r="D160" s="1774" t="s">
        <v>2793</v>
      </c>
      <c r="E160" s="1774" t="s">
        <v>2794</v>
      </c>
      <c r="F160" s="1774" t="s">
        <v>2298</v>
      </c>
      <c r="G160" s="1774" t="s">
        <v>22</v>
      </c>
      <c r="H160" s="1774" t="s">
        <v>22</v>
      </c>
      <c r="I160" s="1774" t="s">
        <v>807</v>
      </c>
    </row>
    <row r="161" spans="1:9" ht="11.25" customHeight="1">
      <c r="A161" s="1774" t="s">
        <v>2245</v>
      </c>
      <c r="B161" s="1774" t="s">
        <v>16</v>
      </c>
      <c r="C161" s="1774" t="s">
        <v>2795</v>
      </c>
      <c r="D161" s="1774" t="s">
        <v>2796</v>
      </c>
      <c r="E161" s="1774" t="s">
        <v>2797</v>
      </c>
      <c r="F161" s="1774" t="s">
        <v>2298</v>
      </c>
      <c r="G161" s="1774" t="s">
        <v>22</v>
      </c>
      <c r="H161" s="1774" t="s">
        <v>22</v>
      </c>
      <c r="I161" s="1774" t="s">
        <v>807</v>
      </c>
    </row>
    <row r="162" spans="1:9" ht="11.25" customHeight="1">
      <c r="A162" s="1774" t="s">
        <v>2245</v>
      </c>
      <c r="B162" s="1774" t="s">
        <v>16</v>
      </c>
      <c r="C162" s="1774" t="s">
        <v>2798</v>
      </c>
      <c r="D162" s="1774" t="s">
        <v>2799</v>
      </c>
      <c r="E162" s="1774" t="s">
        <v>2800</v>
      </c>
      <c r="F162" s="1774" t="s">
        <v>2779</v>
      </c>
      <c r="G162" s="1774" t="s">
        <v>22</v>
      </c>
      <c r="H162" s="1774" t="s">
        <v>22</v>
      </c>
      <c r="I162" s="1774" t="s">
        <v>807</v>
      </c>
    </row>
    <row r="163" spans="1:9" ht="11.25" customHeight="1">
      <c r="A163" s="1774" t="s">
        <v>2245</v>
      </c>
      <c r="B163" s="1774" t="s">
        <v>16</v>
      </c>
      <c r="C163" s="1774" t="s">
        <v>2801</v>
      </c>
      <c r="D163" s="1774" t="s">
        <v>2802</v>
      </c>
      <c r="E163" s="1774" t="s">
        <v>2803</v>
      </c>
      <c r="F163" s="1774" t="s">
        <v>2535</v>
      </c>
      <c r="G163" s="1774" t="s">
        <v>22</v>
      </c>
      <c r="H163" s="1774" t="s">
        <v>22</v>
      </c>
      <c r="I163" s="1774" t="s">
        <v>807</v>
      </c>
    </row>
    <row r="164" spans="1:9" ht="11.25" customHeight="1">
      <c r="A164" s="1774" t="s">
        <v>2245</v>
      </c>
      <c r="B164" s="1774" t="s">
        <v>16</v>
      </c>
      <c r="C164" s="1774" t="s">
        <v>2804</v>
      </c>
      <c r="D164" s="1774" t="s">
        <v>2805</v>
      </c>
      <c r="E164" s="1774" t="s">
        <v>2806</v>
      </c>
      <c r="F164" s="1774" t="s">
        <v>2527</v>
      </c>
      <c r="G164" s="1774" t="s">
        <v>22</v>
      </c>
      <c r="H164" s="1774" t="s">
        <v>22</v>
      </c>
      <c r="I164" s="1774" t="s">
        <v>807</v>
      </c>
    </row>
    <row r="165" spans="1:9" ht="11.25" customHeight="1">
      <c r="A165" s="1774" t="s">
        <v>2245</v>
      </c>
      <c r="B165" s="1774" t="s">
        <v>16</v>
      </c>
      <c r="C165" s="1774" t="s">
        <v>2807</v>
      </c>
      <c r="D165" s="1774" t="s">
        <v>2808</v>
      </c>
      <c r="E165" s="1774" t="s">
        <v>2809</v>
      </c>
      <c r="F165" s="1774" t="s">
        <v>2523</v>
      </c>
      <c r="G165" s="1774" t="s">
        <v>22</v>
      </c>
      <c r="H165" s="1774" t="s">
        <v>22</v>
      </c>
      <c r="I165" s="1774" t="s">
        <v>807</v>
      </c>
    </row>
    <row r="166" spans="1:9" ht="11.25" customHeight="1">
      <c r="A166" s="1774" t="s">
        <v>2245</v>
      </c>
      <c r="B166" s="1774" t="s">
        <v>16</v>
      </c>
      <c r="C166" s="1774" t="s">
        <v>2810</v>
      </c>
      <c r="D166" s="1774" t="s">
        <v>2811</v>
      </c>
      <c r="E166" s="1774" t="s">
        <v>2812</v>
      </c>
      <c r="F166" s="1774" t="s">
        <v>2686</v>
      </c>
      <c r="G166" s="1774" t="s">
        <v>22</v>
      </c>
      <c r="H166" s="1774" t="s">
        <v>22</v>
      </c>
      <c r="I166" s="1774" t="s">
        <v>807</v>
      </c>
    </row>
    <row r="167" spans="1:9" ht="11.25" customHeight="1">
      <c r="A167" s="1774" t="s">
        <v>2245</v>
      </c>
      <c r="B167" s="1774" t="s">
        <v>16</v>
      </c>
      <c r="C167" s="1774" t="s">
        <v>2813</v>
      </c>
      <c r="D167" s="1774" t="s">
        <v>2814</v>
      </c>
      <c r="E167" s="1774" t="s">
        <v>2815</v>
      </c>
      <c r="F167" s="1774" t="s">
        <v>2816</v>
      </c>
      <c r="G167" s="1774" t="s">
        <v>22</v>
      </c>
      <c r="H167" s="1774" t="s">
        <v>22</v>
      </c>
      <c r="I167" s="1774" t="s">
        <v>807</v>
      </c>
    </row>
    <row r="168" spans="1:9" ht="11.25" customHeight="1">
      <c r="A168" s="1774" t="s">
        <v>2245</v>
      </c>
      <c r="B168" s="1774" t="s">
        <v>16</v>
      </c>
      <c r="C168" s="1774" t="s">
        <v>2817</v>
      </c>
      <c r="D168" s="1774" t="s">
        <v>2818</v>
      </c>
      <c r="E168" s="1774" t="s">
        <v>2819</v>
      </c>
      <c r="F168" s="1774" t="s">
        <v>2306</v>
      </c>
      <c r="G168" s="1774" t="s">
        <v>22</v>
      </c>
      <c r="H168" s="1774" t="s">
        <v>22</v>
      </c>
      <c r="I168" s="1774" t="s">
        <v>807</v>
      </c>
    </row>
    <row r="169" spans="1:9" ht="11.25" customHeight="1">
      <c r="A169" s="1774" t="s">
        <v>2245</v>
      </c>
      <c r="B169" s="1774" t="s">
        <v>16</v>
      </c>
      <c r="C169" s="1774" t="s">
        <v>2820</v>
      </c>
      <c r="D169" s="1774" t="s">
        <v>2821</v>
      </c>
      <c r="E169" s="1774" t="s">
        <v>2822</v>
      </c>
      <c r="F169" s="1774" t="s">
        <v>2823</v>
      </c>
      <c r="G169" s="1774" t="s">
        <v>22</v>
      </c>
      <c r="H169" s="1774" t="s">
        <v>22</v>
      </c>
      <c r="I169" s="1774" t="s">
        <v>807</v>
      </c>
    </row>
    <row r="170" spans="1:9" ht="11.25" customHeight="1">
      <c r="A170" s="1774" t="s">
        <v>2245</v>
      </c>
      <c r="B170" s="1774" t="s">
        <v>16</v>
      </c>
      <c r="C170" s="1774" t="s">
        <v>2824</v>
      </c>
      <c r="D170" s="1774" t="s">
        <v>2825</v>
      </c>
      <c r="E170" s="1774" t="s">
        <v>2826</v>
      </c>
      <c r="F170" s="1774" t="s">
        <v>2686</v>
      </c>
      <c r="G170" s="1774" t="s">
        <v>22</v>
      </c>
      <c r="H170" s="1774" t="s">
        <v>22</v>
      </c>
      <c r="I170" s="1774" t="s">
        <v>807</v>
      </c>
    </row>
    <row r="171" spans="1:9" ht="11.25" customHeight="1">
      <c r="A171" s="1774" t="s">
        <v>2245</v>
      </c>
      <c r="B171" s="1774" t="s">
        <v>16</v>
      </c>
      <c r="C171" s="1774" t="s">
        <v>2827</v>
      </c>
      <c r="D171" s="1774" t="s">
        <v>2828</v>
      </c>
      <c r="E171" s="1774" t="s">
        <v>2829</v>
      </c>
      <c r="F171" s="1774" t="s">
        <v>2542</v>
      </c>
      <c r="G171" s="1774" t="s">
        <v>22</v>
      </c>
      <c r="H171" s="1774" t="s">
        <v>22</v>
      </c>
      <c r="I171" s="1774" t="s">
        <v>807</v>
      </c>
    </row>
    <row r="172" spans="1:9" ht="11.25" customHeight="1">
      <c r="A172" s="1774" t="s">
        <v>2245</v>
      </c>
      <c r="B172" s="1774" t="s">
        <v>16</v>
      </c>
      <c r="C172" s="1774" t="s">
        <v>2830</v>
      </c>
      <c r="D172" s="1774" t="s">
        <v>2831</v>
      </c>
      <c r="E172" s="1774" t="s">
        <v>2832</v>
      </c>
      <c r="F172" s="1774" t="s">
        <v>2704</v>
      </c>
      <c r="G172" s="1774" t="s">
        <v>22</v>
      </c>
      <c r="H172" s="1774" t="s">
        <v>22</v>
      </c>
      <c r="I172" s="1774" t="s">
        <v>807</v>
      </c>
    </row>
    <row r="173" spans="1:9" ht="11.25" customHeight="1">
      <c r="A173" s="1774" t="s">
        <v>2245</v>
      </c>
      <c r="B173" s="1774" t="s">
        <v>16</v>
      </c>
      <c r="C173" s="1774" t="s">
        <v>2833</v>
      </c>
      <c r="D173" s="1774" t="s">
        <v>2834</v>
      </c>
      <c r="E173" s="1774" t="s">
        <v>2835</v>
      </c>
      <c r="F173" s="1774" t="s">
        <v>2836</v>
      </c>
      <c r="G173" s="1774" t="s">
        <v>22</v>
      </c>
      <c r="H173" s="1774" t="s">
        <v>22</v>
      </c>
      <c r="I173" s="1774" t="s">
        <v>807</v>
      </c>
    </row>
    <row r="174" spans="1:9" ht="11.25" customHeight="1">
      <c r="A174" s="1774" t="s">
        <v>2245</v>
      </c>
      <c r="B174" s="1774" t="s">
        <v>16</v>
      </c>
      <c r="C174" s="1774" t="s">
        <v>2837</v>
      </c>
      <c r="D174" s="1774" t="s">
        <v>2838</v>
      </c>
      <c r="E174" s="1774" t="s">
        <v>2839</v>
      </c>
      <c r="F174" s="1774" t="s">
        <v>2542</v>
      </c>
      <c r="G174" s="1774" t="s">
        <v>22</v>
      </c>
      <c r="H174" s="1774" t="s">
        <v>22</v>
      </c>
      <c r="I174" s="1774" t="s">
        <v>807</v>
      </c>
    </row>
    <row r="175" spans="1:9" ht="11.25" customHeight="1">
      <c r="A175" s="1774" t="s">
        <v>2245</v>
      </c>
      <c r="B175" s="1774" t="s">
        <v>16</v>
      </c>
      <c r="C175" s="1774" t="s">
        <v>2840</v>
      </c>
      <c r="D175" s="1774" t="s">
        <v>2841</v>
      </c>
      <c r="E175" s="1774" t="s">
        <v>2842</v>
      </c>
      <c r="F175" s="1774" t="s">
        <v>2843</v>
      </c>
      <c r="G175" s="1774" t="s">
        <v>22</v>
      </c>
      <c r="H175" s="1774" t="s">
        <v>22</v>
      </c>
      <c r="I175" s="1774" t="s">
        <v>807</v>
      </c>
    </row>
    <row r="176" spans="1:9" ht="11.25" customHeight="1">
      <c r="A176" s="1774" t="s">
        <v>2245</v>
      </c>
      <c r="B176" s="1774" t="s">
        <v>16</v>
      </c>
      <c r="C176" s="1774" t="s">
        <v>2844</v>
      </c>
      <c r="D176" s="1774" t="s">
        <v>2845</v>
      </c>
      <c r="E176" s="1774" t="s">
        <v>2846</v>
      </c>
      <c r="F176" s="1774" t="s">
        <v>2317</v>
      </c>
      <c r="G176" s="1774" t="s">
        <v>22</v>
      </c>
      <c r="H176" s="1774" t="s">
        <v>22</v>
      </c>
      <c r="I176" s="1774" t="s">
        <v>807</v>
      </c>
    </row>
    <row r="177" spans="1:9" ht="11.25" customHeight="1">
      <c r="A177" s="1774" t="s">
        <v>2245</v>
      </c>
      <c r="B177" s="1774" t="s">
        <v>16</v>
      </c>
      <c r="C177" s="1774" t="s">
        <v>2847</v>
      </c>
      <c r="D177" s="1774" t="s">
        <v>2848</v>
      </c>
      <c r="E177" s="1774" t="s">
        <v>2849</v>
      </c>
      <c r="F177" s="1774" t="s">
        <v>2519</v>
      </c>
      <c r="G177" s="1774" t="s">
        <v>22</v>
      </c>
      <c r="H177" s="1774" t="s">
        <v>22</v>
      </c>
      <c r="I177" s="1774" t="s">
        <v>807</v>
      </c>
    </row>
    <row r="178" spans="1:9" ht="11.25" customHeight="1">
      <c r="A178" s="1774" t="s">
        <v>2245</v>
      </c>
      <c r="B178" s="1774" t="s">
        <v>16</v>
      </c>
      <c r="C178" s="1774" t="s">
        <v>2850</v>
      </c>
      <c r="D178" s="1774" t="s">
        <v>2851</v>
      </c>
      <c r="E178" s="1774" t="s">
        <v>2852</v>
      </c>
      <c r="F178" s="1774" t="s">
        <v>2638</v>
      </c>
      <c r="G178" s="1774" t="s">
        <v>2853</v>
      </c>
      <c r="H178" s="1774" t="s">
        <v>22</v>
      </c>
      <c r="I178" s="1774" t="s">
        <v>807</v>
      </c>
    </row>
    <row r="179" spans="1:9" ht="11.25" customHeight="1">
      <c r="A179" s="1774" t="s">
        <v>2245</v>
      </c>
      <c r="B179" s="1774" t="s">
        <v>16</v>
      </c>
      <c r="C179" s="1774" t="s">
        <v>2854</v>
      </c>
      <c r="D179" s="1774" t="s">
        <v>2855</v>
      </c>
      <c r="E179" s="1774" t="s">
        <v>2856</v>
      </c>
      <c r="F179" s="1774" t="s">
        <v>2697</v>
      </c>
      <c r="G179" s="1774" t="s">
        <v>22</v>
      </c>
      <c r="H179" s="1774" t="s">
        <v>22</v>
      </c>
      <c r="I179" s="1774" t="s">
        <v>807</v>
      </c>
    </row>
    <row r="180" spans="1:9" ht="11.25" customHeight="1">
      <c r="A180" s="1774" t="s">
        <v>2245</v>
      </c>
      <c r="B180" s="1774" t="s">
        <v>16</v>
      </c>
      <c r="C180" s="1774" t="s">
        <v>2857</v>
      </c>
      <c r="D180" s="1774" t="s">
        <v>2858</v>
      </c>
      <c r="E180" s="1774" t="s">
        <v>2859</v>
      </c>
      <c r="F180" s="1774" t="s">
        <v>2527</v>
      </c>
      <c r="G180" s="1774" t="s">
        <v>22</v>
      </c>
      <c r="H180" s="1774" t="s">
        <v>22</v>
      </c>
      <c r="I180" s="1774" t="s">
        <v>807</v>
      </c>
    </row>
    <row r="181" spans="1:9" ht="11.25" customHeight="1">
      <c r="A181" s="1774" t="s">
        <v>2245</v>
      </c>
      <c r="B181" s="1774" t="s">
        <v>16</v>
      </c>
      <c r="C181" s="1774" t="s">
        <v>2860</v>
      </c>
      <c r="D181" s="1774" t="s">
        <v>2861</v>
      </c>
      <c r="E181" s="1774" t="s">
        <v>2862</v>
      </c>
      <c r="F181" s="1774" t="s">
        <v>2863</v>
      </c>
      <c r="G181" s="1774" t="s">
        <v>22</v>
      </c>
      <c r="H181" s="1774" t="s">
        <v>22</v>
      </c>
      <c r="I181" s="1774" t="s">
        <v>807</v>
      </c>
    </row>
    <row r="182" spans="1:9" ht="11.25" customHeight="1">
      <c r="A182" s="1774" t="s">
        <v>2245</v>
      </c>
      <c r="B182" s="1774" t="s">
        <v>16</v>
      </c>
      <c r="C182" s="1774" t="s">
        <v>2864</v>
      </c>
      <c r="D182" s="1774" t="s">
        <v>2865</v>
      </c>
      <c r="E182" s="1774" t="s">
        <v>2866</v>
      </c>
      <c r="F182" s="1774" t="s">
        <v>2867</v>
      </c>
      <c r="G182" s="1774" t="s">
        <v>22</v>
      </c>
      <c r="H182" s="1774" t="s">
        <v>22</v>
      </c>
      <c r="I182" s="1774" t="s">
        <v>807</v>
      </c>
    </row>
    <row r="183" spans="1:9" ht="11.25" customHeight="1">
      <c r="A183" s="1774" t="s">
        <v>2245</v>
      </c>
      <c r="B183" s="1774" t="s">
        <v>16</v>
      </c>
      <c r="C183" s="1774" t="s">
        <v>2868</v>
      </c>
      <c r="D183" s="1774" t="s">
        <v>2869</v>
      </c>
      <c r="E183" s="1774" t="s">
        <v>2870</v>
      </c>
      <c r="F183" s="1774" t="s">
        <v>2535</v>
      </c>
      <c r="G183" s="1774" t="s">
        <v>2871</v>
      </c>
      <c r="H183" s="1774" t="s">
        <v>22</v>
      </c>
      <c r="I183" s="1774" t="s">
        <v>807</v>
      </c>
    </row>
    <row r="184" spans="1:9" ht="11.25" customHeight="1">
      <c r="A184" s="1774" t="s">
        <v>2245</v>
      </c>
      <c r="B184" s="1774" t="s">
        <v>16</v>
      </c>
      <c r="C184" s="1774" t="s">
        <v>2872</v>
      </c>
      <c r="D184" s="1774" t="s">
        <v>2873</v>
      </c>
      <c r="E184" s="1774" t="s">
        <v>2874</v>
      </c>
      <c r="F184" s="1774" t="s">
        <v>2535</v>
      </c>
      <c r="G184" s="1774" t="s">
        <v>22</v>
      </c>
      <c r="H184" s="1774" t="s">
        <v>22</v>
      </c>
      <c r="I184" s="1774" t="s">
        <v>807</v>
      </c>
    </row>
    <row r="185" spans="1:9" ht="11.25" customHeight="1">
      <c r="A185" s="1774" t="s">
        <v>2245</v>
      </c>
      <c r="B185" s="1774" t="s">
        <v>16</v>
      </c>
      <c r="C185" s="1774" t="s">
        <v>2875</v>
      </c>
      <c r="D185" s="1774" t="s">
        <v>2876</v>
      </c>
      <c r="E185" s="1774" t="s">
        <v>2877</v>
      </c>
      <c r="F185" s="1774" t="s">
        <v>2878</v>
      </c>
      <c r="G185" s="1774" t="s">
        <v>22</v>
      </c>
      <c r="H185" s="1774" t="s">
        <v>22</v>
      </c>
      <c r="I185" s="1774" t="s">
        <v>807</v>
      </c>
    </row>
    <row r="186" spans="1:9" ht="11.25" customHeight="1">
      <c r="A186" s="1774" t="s">
        <v>2245</v>
      </c>
      <c r="B186" s="1774" t="s">
        <v>16</v>
      </c>
      <c r="C186" s="1774" t="s">
        <v>2879</v>
      </c>
      <c r="D186" s="1774" t="s">
        <v>2880</v>
      </c>
      <c r="E186" s="1774" t="s">
        <v>2881</v>
      </c>
      <c r="F186" s="1774" t="s">
        <v>2686</v>
      </c>
      <c r="G186" s="1774" t="s">
        <v>22</v>
      </c>
      <c r="H186" s="1774" t="s">
        <v>2746</v>
      </c>
      <c r="I186" s="1774" t="s">
        <v>807</v>
      </c>
    </row>
    <row r="187" spans="1:9" ht="11.25" customHeight="1">
      <c r="A187" s="1774" t="s">
        <v>2245</v>
      </c>
      <c r="B187" s="1774" t="s">
        <v>16</v>
      </c>
      <c r="C187" s="1774" t="s">
        <v>2882</v>
      </c>
      <c r="D187" s="1774" t="s">
        <v>2883</v>
      </c>
      <c r="E187" s="1774" t="s">
        <v>2884</v>
      </c>
      <c r="F187" s="1774" t="s">
        <v>2496</v>
      </c>
      <c r="G187" s="1774" t="s">
        <v>2885</v>
      </c>
      <c r="H187" s="1774" t="s">
        <v>22</v>
      </c>
      <c r="I187" s="1774" t="s">
        <v>807</v>
      </c>
    </row>
    <row r="188" spans="1:9" ht="11.25" customHeight="1">
      <c r="A188" s="1774" t="s">
        <v>2245</v>
      </c>
      <c r="B188" s="1774" t="s">
        <v>16</v>
      </c>
      <c r="C188" s="1774" t="s">
        <v>2886</v>
      </c>
      <c r="D188" s="1774" t="s">
        <v>2887</v>
      </c>
      <c r="E188" s="1774" t="s">
        <v>2888</v>
      </c>
      <c r="F188" s="1774" t="s">
        <v>2843</v>
      </c>
      <c r="G188" s="1774" t="s">
        <v>22</v>
      </c>
      <c r="H188" s="1774" t="s">
        <v>22</v>
      </c>
      <c r="I188" s="1774" t="s">
        <v>807</v>
      </c>
    </row>
    <row r="189" spans="1:9" ht="11.25" customHeight="1">
      <c r="A189" s="1774" t="s">
        <v>2245</v>
      </c>
      <c r="B189" s="1774" t="s">
        <v>16</v>
      </c>
      <c r="C189" s="1774" t="s">
        <v>2889</v>
      </c>
      <c r="D189" s="1774" t="s">
        <v>2890</v>
      </c>
      <c r="E189" s="1774" t="s">
        <v>2891</v>
      </c>
      <c r="F189" s="1774" t="s">
        <v>2892</v>
      </c>
      <c r="G189" s="1774" t="s">
        <v>22</v>
      </c>
      <c r="H189" s="1774" t="s">
        <v>22</v>
      </c>
      <c r="I189" s="1774" t="s">
        <v>807</v>
      </c>
    </row>
    <row r="190" spans="1:9" ht="11.25" customHeight="1">
      <c r="A190" s="1774" t="s">
        <v>2245</v>
      </c>
      <c r="B190" s="1774" t="s">
        <v>16</v>
      </c>
      <c r="C190" s="1774" t="s">
        <v>2893</v>
      </c>
      <c r="D190" s="1774" t="s">
        <v>2894</v>
      </c>
      <c r="E190" s="1774" t="s">
        <v>2895</v>
      </c>
      <c r="F190" s="1774" t="s">
        <v>2843</v>
      </c>
      <c r="G190" s="1774" t="s">
        <v>22</v>
      </c>
      <c r="H190" s="1774" t="s">
        <v>22</v>
      </c>
      <c r="I190" s="1774" t="s">
        <v>807</v>
      </c>
    </row>
    <row r="191" spans="1:9" ht="11.25" customHeight="1">
      <c r="A191" s="1774" t="s">
        <v>2245</v>
      </c>
      <c r="B191" s="1774" t="s">
        <v>16</v>
      </c>
      <c r="C191" s="1774" t="s">
        <v>2896</v>
      </c>
      <c r="D191" s="1774" t="s">
        <v>2897</v>
      </c>
      <c r="E191" s="1774" t="s">
        <v>2898</v>
      </c>
      <c r="F191" s="1774" t="s">
        <v>2638</v>
      </c>
      <c r="G191" s="1774" t="s">
        <v>2899</v>
      </c>
      <c r="H191" s="1774" t="s">
        <v>2900</v>
      </c>
      <c r="I191" s="1774" t="s">
        <v>807</v>
      </c>
    </row>
    <row r="192" spans="1:9" ht="11.25" customHeight="1">
      <c r="A192" s="1774" t="s">
        <v>2245</v>
      </c>
      <c r="B192" s="1774" t="s">
        <v>16</v>
      </c>
      <c r="C192" s="1774" t="s">
        <v>2901</v>
      </c>
      <c r="D192" s="1774" t="s">
        <v>2902</v>
      </c>
      <c r="E192" s="1774" t="s">
        <v>2903</v>
      </c>
      <c r="F192" s="1774" t="s">
        <v>2496</v>
      </c>
      <c r="G192" s="1774" t="s">
        <v>2904</v>
      </c>
      <c r="H192" s="1774" t="s">
        <v>2451</v>
      </c>
      <c r="I192" s="1774" t="s">
        <v>807</v>
      </c>
    </row>
    <row r="193" spans="1:9" ht="11.25" customHeight="1">
      <c r="A193" s="1774" t="s">
        <v>2245</v>
      </c>
      <c r="B193" s="1774" t="s">
        <v>16</v>
      </c>
      <c r="C193" s="1774" t="s">
        <v>2905</v>
      </c>
      <c r="D193" s="1774" t="s">
        <v>2906</v>
      </c>
      <c r="E193" s="1774" t="s">
        <v>2907</v>
      </c>
      <c r="F193" s="1774" t="s">
        <v>2253</v>
      </c>
      <c r="G193" s="1774" t="s">
        <v>22</v>
      </c>
      <c r="H193" s="1774" t="s">
        <v>22</v>
      </c>
      <c r="I193" s="1774" t="s">
        <v>807</v>
      </c>
    </row>
    <row r="194" spans="1:9" ht="11.25" customHeight="1">
      <c r="A194" s="1774" t="s">
        <v>2245</v>
      </c>
      <c r="B194" s="1774" t="s">
        <v>16</v>
      </c>
      <c r="C194" s="1774" t="s">
        <v>2908</v>
      </c>
      <c r="D194" s="1774" t="s">
        <v>2909</v>
      </c>
      <c r="E194" s="1774" t="s">
        <v>2910</v>
      </c>
      <c r="F194" s="1774" t="s">
        <v>2253</v>
      </c>
      <c r="G194" s="1774" t="s">
        <v>22</v>
      </c>
      <c r="H194" s="1774" t="s">
        <v>22</v>
      </c>
      <c r="I194" s="1774" t="s">
        <v>807</v>
      </c>
    </row>
    <row r="195" spans="1:9" ht="11.25" customHeight="1">
      <c r="A195" s="1774" t="s">
        <v>2245</v>
      </c>
      <c r="B195" s="1774" t="s">
        <v>16</v>
      </c>
      <c r="C195" s="1774" t="s">
        <v>2911</v>
      </c>
      <c r="D195" s="1774" t="s">
        <v>2912</v>
      </c>
      <c r="E195" s="1774" t="s">
        <v>2491</v>
      </c>
      <c r="F195" s="1774" t="s">
        <v>51</v>
      </c>
      <c r="G195" s="1774" t="s">
        <v>22</v>
      </c>
      <c r="H195" s="1774" t="s">
        <v>22</v>
      </c>
      <c r="I195" s="1774" t="s">
        <v>807</v>
      </c>
    </row>
    <row r="196" spans="1:9" ht="11.25" customHeight="1">
      <c r="A196" s="1774" t="s">
        <v>2245</v>
      </c>
      <c r="B196" s="1774" t="s">
        <v>16</v>
      </c>
      <c r="C196" s="1774" t="s">
        <v>2913</v>
      </c>
      <c r="D196" s="1774" t="s">
        <v>2914</v>
      </c>
      <c r="E196" s="1774" t="s">
        <v>2915</v>
      </c>
      <c r="F196" s="1774" t="s">
        <v>2916</v>
      </c>
      <c r="G196" s="1774" t="s">
        <v>22</v>
      </c>
      <c r="H196" s="1774" t="s">
        <v>22</v>
      </c>
      <c r="I196" s="1774" t="s">
        <v>807</v>
      </c>
    </row>
    <row r="197" spans="1:9" ht="11.25" customHeight="1">
      <c r="A197" s="1774" t="s">
        <v>2245</v>
      </c>
      <c r="B197" s="1774" t="s">
        <v>16</v>
      </c>
      <c r="C197" s="1774" t="s">
        <v>2917</v>
      </c>
      <c r="D197" s="1774" t="s">
        <v>2918</v>
      </c>
      <c r="E197" s="1774" t="s">
        <v>2915</v>
      </c>
      <c r="F197" s="1774" t="s">
        <v>2919</v>
      </c>
      <c r="G197" s="1774" t="s">
        <v>22</v>
      </c>
      <c r="H197" s="1774" t="s">
        <v>22</v>
      </c>
      <c r="I197" s="1774" t="s">
        <v>807</v>
      </c>
    </row>
    <row r="198" spans="1:9" ht="11.25" customHeight="1">
      <c r="A198" s="1774" t="s">
        <v>2245</v>
      </c>
      <c r="B198" s="1774" t="s">
        <v>16</v>
      </c>
      <c r="C198" s="1774" t="s">
        <v>2920</v>
      </c>
      <c r="D198" s="1774" t="s">
        <v>2921</v>
      </c>
      <c r="E198" s="1774" t="s">
        <v>2922</v>
      </c>
      <c r="F198" s="1774" t="s">
        <v>2496</v>
      </c>
      <c r="G198" s="1774" t="s">
        <v>22</v>
      </c>
      <c r="H198" s="1774" t="s">
        <v>22</v>
      </c>
      <c r="I198" s="1774" t="s">
        <v>807</v>
      </c>
    </row>
    <row r="199" spans="1:9" ht="11.25" customHeight="1">
      <c r="A199" s="1774" t="s">
        <v>2245</v>
      </c>
      <c r="B199" s="1774" t="s">
        <v>16</v>
      </c>
      <c r="C199" s="1774" t="s">
        <v>2923</v>
      </c>
      <c r="D199" s="1774" t="s">
        <v>2924</v>
      </c>
      <c r="E199" s="1774" t="s">
        <v>2925</v>
      </c>
      <c r="F199" s="1774" t="s">
        <v>2478</v>
      </c>
      <c r="G199" s="1774" t="s">
        <v>22</v>
      </c>
      <c r="H199" s="1774" t="s">
        <v>22</v>
      </c>
      <c r="I199" s="1774" t="s">
        <v>807</v>
      </c>
    </row>
    <row r="200" spans="1:9" ht="11.25" customHeight="1">
      <c r="A200" s="1774" t="s">
        <v>2245</v>
      </c>
      <c r="B200" s="1774" t="s">
        <v>16</v>
      </c>
      <c r="C200" s="1774" t="s">
        <v>2926</v>
      </c>
      <c r="D200" s="1774" t="s">
        <v>2927</v>
      </c>
      <c r="E200" s="1774" t="s">
        <v>2928</v>
      </c>
      <c r="F200" s="1774" t="s">
        <v>2542</v>
      </c>
      <c r="G200" s="1774" t="s">
        <v>22</v>
      </c>
      <c r="H200" s="1774" t="s">
        <v>22</v>
      </c>
      <c r="I200" s="1774" t="s">
        <v>807</v>
      </c>
    </row>
    <row r="201" spans="1:9" ht="11.25" customHeight="1">
      <c r="A201" s="1774" t="s">
        <v>2245</v>
      </c>
      <c r="B201" s="1774" t="s">
        <v>16</v>
      </c>
      <c r="C201" s="1774" t="s">
        <v>2929</v>
      </c>
      <c r="D201" s="1774" t="s">
        <v>2930</v>
      </c>
      <c r="E201" s="1774" t="s">
        <v>2931</v>
      </c>
      <c r="F201" s="1774" t="s">
        <v>2932</v>
      </c>
      <c r="G201" s="1774" t="s">
        <v>22</v>
      </c>
      <c r="H201" s="1774" t="s">
        <v>22</v>
      </c>
      <c r="I201" s="1774" t="s">
        <v>807</v>
      </c>
    </row>
    <row r="202" spans="1:9" ht="11.25" customHeight="1">
      <c r="A202" s="1774" t="s">
        <v>2245</v>
      </c>
      <c r="B202" s="1774" t="s">
        <v>16</v>
      </c>
      <c r="C202" s="1774" t="s">
        <v>2933</v>
      </c>
      <c r="D202" s="1774" t="s">
        <v>2934</v>
      </c>
      <c r="E202" s="1774" t="s">
        <v>2935</v>
      </c>
      <c r="F202" s="1774" t="s">
        <v>2261</v>
      </c>
      <c r="G202" s="1774" t="s">
        <v>22</v>
      </c>
      <c r="H202" s="1774" t="s">
        <v>22</v>
      </c>
      <c r="I202" s="1774" t="s">
        <v>807</v>
      </c>
    </row>
    <row r="203" spans="1:9" ht="11.25" customHeight="1">
      <c r="A203" s="1774" t="s">
        <v>2245</v>
      </c>
      <c r="B203" s="1774" t="s">
        <v>16</v>
      </c>
      <c r="C203" s="1774" t="s">
        <v>2936</v>
      </c>
      <c r="D203" s="1774" t="s">
        <v>2937</v>
      </c>
      <c r="E203" s="1774" t="s">
        <v>2427</v>
      </c>
      <c r="F203" s="1774" t="s">
        <v>2938</v>
      </c>
      <c r="G203" s="1774" t="s">
        <v>22</v>
      </c>
      <c r="H203" s="1774" t="s">
        <v>22</v>
      </c>
      <c r="I203" s="1774" t="s">
        <v>807</v>
      </c>
    </row>
    <row r="204" spans="1:9" ht="11.25" customHeight="1">
      <c r="A204" s="1774" t="s">
        <v>2245</v>
      </c>
      <c r="B204" s="1774" t="s">
        <v>16</v>
      </c>
      <c r="C204" s="1774" t="s">
        <v>2939</v>
      </c>
      <c r="D204" s="1774" t="s">
        <v>2940</v>
      </c>
      <c r="E204" s="1774" t="s">
        <v>2941</v>
      </c>
      <c r="F204" s="1774" t="s">
        <v>51</v>
      </c>
      <c r="G204" s="1774" t="s">
        <v>22</v>
      </c>
      <c r="H204" s="1774" t="s">
        <v>22</v>
      </c>
      <c r="I204" s="1774" t="s">
        <v>807</v>
      </c>
    </row>
    <row r="205" spans="1:9" ht="11.25" customHeight="1">
      <c r="A205" s="1774" t="s">
        <v>2245</v>
      </c>
      <c r="B205" s="1774" t="s">
        <v>16</v>
      </c>
      <c r="C205" s="1774" t="s">
        <v>2942</v>
      </c>
      <c r="D205" s="1774" t="s">
        <v>2943</v>
      </c>
      <c r="E205" s="1774" t="s">
        <v>2944</v>
      </c>
      <c r="F205" s="1774" t="s">
        <v>2327</v>
      </c>
      <c r="G205" s="1774" t="s">
        <v>22</v>
      </c>
      <c r="H205" s="1774" t="s">
        <v>22</v>
      </c>
      <c r="I205" s="1774" t="s">
        <v>807</v>
      </c>
    </row>
    <row r="206" spans="1:9" ht="11.25" customHeight="1">
      <c r="A206" s="1774" t="s">
        <v>2245</v>
      </c>
      <c r="B206" s="1774" t="s">
        <v>16</v>
      </c>
      <c r="C206" s="1774" t="s">
        <v>2945</v>
      </c>
      <c r="D206" s="1774" t="s">
        <v>2946</v>
      </c>
      <c r="E206" s="1774" t="s">
        <v>2947</v>
      </c>
      <c r="F206" s="1774" t="s">
        <v>2261</v>
      </c>
      <c r="G206" s="1774" t="s">
        <v>22</v>
      </c>
      <c r="H206" s="1774" t="s">
        <v>22</v>
      </c>
      <c r="I206" s="1774" t="s">
        <v>807</v>
      </c>
    </row>
    <row r="207" spans="1:9" ht="11.25" customHeight="1">
      <c r="A207" s="1774" t="s">
        <v>2245</v>
      </c>
      <c r="B207" s="1774" t="s">
        <v>16</v>
      </c>
      <c r="C207" s="1774" t="s">
        <v>2948</v>
      </c>
      <c r="D207" s="1774" t="s">
        <v>2949</v>
      </c>
      <c r="E207" s="1774" t="s">
        <v>2950</v>
      </c>
      <c r="F207" s="1774" t="s">
        <v>2313</v>
      </c>
      <c r="G207" s="1774" t="s">
        <v>22</v>
      </c>
      <c r="H207" s="1774" t="s">
        <v>22</v>
      </c>
      <c r="I207" s="1774" t="s">
        <v>807</v>
      </c>
    </row>
    <row r="208" spans="1:9" ht="11.25" customHeight="1">
      <c r="A208" s="1774" t="s">
        <v>2245</v>
      </c>
      <c r="B208" s="1774" t="s">
        <v>16</v>
      </c>
      <c r="C208" s="1774" t="s">
        <v>2951</v>
      </c>
      <c r="D208" s="1774" t="s">
        <v>2952</v>
      </c>
      <c r="E208" s="1774" t="s">
        <v>2953</v>
      </c>
      <c r="F208" s="1774" t="s">
        <v>2327</v>
      </c>
      <c r="G208" s="1774" t="s">
        <v>22</v>
      </c>
      <c r="H208" s="1774" t="s">
        <v>22</v>
      </c>
      <c r="I208" s="1774" t="s">
        <v>807</v>
      </c>
    </row>
    <row r="209" spans="1:9" ht="11.25" customHeight="1">
      <c r="A209" s="1774" t="s">
        <v>2245</v>
      </c>
      <c r="B209" s="1774" t="s">
        <v>16</v>
      </c>
      <c r="C209" s="1774" t="s">
        <v>2954</v>
      </c>
      <c r="D209" s="1774" t="s">
        <v>2955</v>
      </c>
      <c r="E209" s="1774" t="s">
        <v>2956</v>
      </c>
      <c r="F209" s="1774" t="s">
        <v>2372</v>
      </c>
      <c r="G209" s="1774" t="s">
        <v>22</v>
      </c>
      <c r="H209" s="1774" t="s">
        <v>22</v>
      </c>
      <c r="I209" s="1774" t="s">
        <v>807</v>
      </c>
    </row>
    <row r="210" spans="1:9" ht="11.25" customHeight="1">
      <c r="A210" s="1774" t="s">
        <v>2245</v>
      </c>
      <c r="B210" s="1774" t="s">
        <v>16</v>
      </c>
      <c r="C210" s="1774" t="s">
        <v>2957</v>
      </c>
      <c r="D210" s="1774" t="s">
        <v>2958</v>
      </c>
      <c r="E210" s="1774" t="s">
        <v>2959</v>
      </c>
      <c r="F210" s="1774" t="s">
        <v>2535</v>
      </c>
      <c r="G210" s="1774" t="s">
        <v>22</v>
      </c>
      <c r="H210" s="1774" t="s">
        <v>2960</v>
      </c>
      <c r="I210" s="1774" t="s">
        <v>807</v>
      </c>
    </row>
    <row r="211" spans="1:9" ht="11.25" customHeight="1">
      <c r="A211" s="1774" t="s">
        <v>2245</v>
      </c>
      <c r="B211" s="1774" t="s">
        <v>16</v>
      </c>
      <c r="C211" s="1774" t="s">
        <v>2961</v>
      </c>
      <c r="D211" s="1774" t="s">
        <v>2962</v>
      </c>
      <c r="E211" s="1774" t="s">
        <v>2963</v>
      </c>
      <c r="F211" s="1774" t="s">
        <v>2964</v>
      </c>
      <c r="G211" s="1774" t="s">
        <v>22</v>
      </c>
      <c r="H211" s="1774" t="s">
        <v>22</v>
      </c>
      <c r="I211" s="1774" t="s">
        <v>807</v>
      </c>
    </row>
    <row r="212" spans="1:9" ht="11.25" customHeight="1">
      <c r="A212" s="1774" t="s">
        <v>2245</v>
      </c>
      <c r="B212" s="1774" t="s">
        <v>16</v>
      </c>
      <c r="C212" s="1774" t="s">
        <v>2965</v>
      </c>
      <c r="D212" s="1774" t="s">
        <v>2966</v>
      </c>
      <c r="E212" s="1774" t="s">
        <v>2967</v>
      </c>
      <c r="F212" s="1774" t="s">
        <v>2708</v>
      </c>
      <c r="G212" s="1774" t="s">
        <v>22</v>
      </c>
      <c r="H212" s="1774" t="s">
        <v>22</v>
      </c>
      <c r="I212" s="1774" t="s">
        <v>807</v>
      </c>
    </row>
    <row r="213" spans="1:9" ht="11.25" customHeight="1">
      <c r="A213" s="1774" t="s">
        <v>2245</v>
      </c>
      <c r="B213" s="1774" t="s">
        <v>16</v>
      </c>
      <c r="C213" s="1774" t="s">
        <v>2968</v>
      </c>
      <c r="D213" s="1774" t="s">
        <v>2969</v>
      </c>
      <c r="E213" s="1774" t="s">
        <v>2970</v>
      </c>
      <c r="F213" s="1774" t="s">
        <v>2348</v>
      </c>
      <c r="G213" s="1774" t="s">
        <v>22</v>
      </c>
      <c r="H213" s="1774" t="s">
        <v>22</v>
      </c>
      <c r="I213" s="1774" t="s">
        <v>807</v>
      </c>
    </row>
    <row r="214" spans="1:9" ht="11.25" customHeight="1">
      <c r="A214" s="1774" t="s">
        <v>2245</v>
      </c>
      <c r="B214" s="1774" t="s">
        <v>16</v>
      </c>
      <c r="C214" s="1774" t="s">
        <v>2971</v>
      </c>
      <c r="D214" s="1774" t="s">
        <v>2972</v>
      </c>
      <c r="E214" s="1774" t="s">
        <v>2973</v>
      </c>
      <c r="F214" s="1774" t="s">
        <v>2306</v>
      </c>
      <c r="G214" s="1774" t="s">
        <v>22</v>
      </c>
      <c r="H214" s="1774" t="s">
        <v>22</v>
      </c>
      <c r="I214" s="1774" t="s">
        <v>807</v>
      </c>
    </row>
    <row r="215" spans="1:9" ht="11.25" customHeight="1">
      <c r="A215" s="1774" t="s">
        <v>2245</v>
      </c>
      <c r="B215" s="1774" t="s">
        <v>16</v>
      </c>
      <c r="C215" s="1774" t="s">
        <v>2974</v>
      </c>
      <c r="D215" s="1774" t="s">
        <v>2975</v>
      </c>
      <c r="E215" s="1774" t="s">
        <v>2976</v>
      </c>
      <c r="F215" s="1774" t="s">
        <v>2280</v>
      </c>
      <c r="G215" s="1774" t="s">
        <v>22</v>
      </c>
      <c r="H215" s="1774" t="s">
        <v>22</v>
      </c>
      <c r="I215" s="1774" t="s">
        <v>807</v>
      </c>
    </row>
    <row r="216" spans="1:9" ht="11.25" customHeight="1">
      <c r="A216" s="1774" t="s">
        <v>2245</v>
      </c>
      <c r="B216" s="1774" t="s">
        <v>16</v>
      </c>
      <c r="C216" s="1774" t="s">
        <v>2977</v>
      </c>
      <c r="D216" s="1774" t="s">
        <v>2978</v>
      </c>
      <c r="E216" s="1774" t="s">
        <v>2979</v>
      </c>
      <c r="F216" s="1774" t="s">
        <v>2372</v>
      </c>
      <c r="G216" s="1774" t="s">
        <v>22</v>
      </c>
      <c r="H216" s="1774" t="s">
        <v>22</v>
      </c>
      <c r="I216" s="1774" t="s">
        <v>807</v>
      </c>
    </row>
    <row r="217" spans="1:9" ht="11.25" customHeight="1">
      <c r="A217" s="1774" t="s">
        <v>2245</v>
      </c>
      <c r="B217" s="1774" t="s">
        <v>16</v>
      </c>
      <c r="C217" s="1774" t="s">
        <v>2980</v>
      </c>
      <c r="D217" s="1774" t="s">
        <v>2981</v>
      </c>
      <c r="E217" s="1774" t="s">
        <v>2982</v>
      </c>
      <c r="F217" s="1774" t="s">
        <v>2686</v>
      </c>
      <c r="G217" s="1774" t="s">
        <v>22</v>
      </c>
      <c r="H217" s="1774" t="s">
        <v>22</v>
      </c>
      <c r="I217" s="1774" t="s">
        <v>807</v>
      </c>
    </row>
    <row r="218" spans="1:9" ht="11.25" customHeight="1">
      <c r="A218" s="1774" t="s">
        <v>2245</v>
      </c>
      <c r="B218" s="1774" t="s">
        <v>16</v>
      </c>
      <c r="C218" s="1774" t="s">
        <v>2983</v>
      </c>
      <c r="D218" s="1774" t="s">
        <v>2984</v>
      </c>
      <c r="E218" s="1774" t="s">
        <v>2985</v>
      </c>
      <c r="F218" s="1774" t="s">
        <v>2306</v>
      </c>
      <c r="G218" s="1774" t="s">
        <v>22</v>
      </c>
      <c r="H218" s="1774" t="s">
        <v>22</v>
      </c>
      <c r="I218" s="1774" t="s">
        <v>807</v>
      </c>
    </row>
    <row r="219" spans="1:9" ht="11.25" customHeight="1">
      <c r="A219" s="1774" t="s">
        <v>2245</v>
      </c>
      <c r="B219" s="1774" t="s">
        <v>16</v>
      </c>
      <c r="C219" s="1774" t="s">
        <v>2986</v>
      </c>
      <c r="D219" s="1774" t="s">
        <v>2987</v>
      </c>
      <c r="E219" s="1774" t="s">
        <v>2988</v>
      </c>
      <c r="F219" s="1774" t="s">
        <v>2666</v>
      </c>
      <c r="G219" s="1774" t="s">
        <v>22</v>
      </c>
      <c r="H219" s="1774" t="s">
        <v>22</v>
      </c>
      <c r="I219" s="1774" t="s">
        <v>807</v>
      </c>
    </row>
    <row r="220" spans="1:9" ht="11.25" customHeight="1">
      <c r="A220" s="1774" t="s">
        <v>2245</v>
      </c>
      <c r="B220" s="1774" t="s">
        <v>16</v>
      </c>
      <c r="C220" s="1774" t="s">
        <v>2989</v>
      </c>
      <c r="D220" s="1774" t="s">
        <v>2990</v>
      </c>
      <c r="E220" s="1774" t="s">
        <v>2566</v>
      </c>
      <c r="F220" s="1774" t="s">
        <v>2991</v>
      </c>
      <c r="G220" s="1774" t="s">
        <v>22</v>
      </c>
      <c r="H220" s="1774" t="s">
        <v>22</v>
      </c>
      <c r="I220" s="1774" t="s">
        <v>807</v>
      </c>
    </row>
    <row r="221" spans="1:9" ht="11.25" customHeight="1">
      <c r="A221" s="1774" t="s">
        <v>2245</v>
      </c>
      <c r="B221" s="1774" t="s">
        <v>16</v>
      </c>
      <c r="C221" s="1774" t="s">
        <v>2992</v>
      </c>
      <c r="D221" s="1774" t="s">
        <v>2993</v>
      </c>
      <c r="E221" s="1774" t="s">
        <v>2994</v>
      </c>
      <c r="F221" s="1774" t="s">
        <v>2478</v>
      </c>
      <c r="G221" s="1774" t="s">
        <v>22</v>
      </c>
      <c r="H221" s="1774" t="s">
        <v>22</v>
      </c>
      <c r="I221" s="1774" t="s">
        <v>807</v>
      </c>
    </row>
    <row r="222" spans="1:9" ht="11.25" customHeight="1">
      <c r="A222" s="1774" t="s">
        <v>2245</v>
      </c>
      <c r="B222" s="1774" t="s">
        <v>16</v>
      </c>
      <c r="C222" s="1774" t="s">
        <v>2995</v>
      </c>
      <c r="D222" s="1774" t="s">
        <v>2996</v>
      </c>
      <c r="E222" s="1774" t="s">
        <v>2997</v>
      </c>
      <c r="F222" s="1774" t="s">
        <v>2270</v>
      </c>
      <c r="G222" s="1774" t="s">
        <v>22</v>
      </c>
      <c r="H222" s="1774" t="s">
        <v>22</v>
      </c>
      <c r="I222" s="1774" t="s">
        <v>807</v>
      </c>
    </row>
    <row r="223" spans="1:9" ht="11.25" customHeight="1">
      <c r="A223" s="1774" t="s">
        <v>2245</v>
      </c>
      <c r="B223" s="1774" t="s">
        <v>16</v>
      </c>
      <c r="C223" s="1774" t="s">
        <v>2998</v>
      </c>
      <c r="D223" s="1774" t="s">
        <v>2999</v>
      </c>
      <c r="E223" s="1774" t="s">
        <v>3000</v>
      </c>
      <c r="F223" s="1774" t="s">
        <v>2327</v>
      </c>
      <c r="G223" s="1774" t="s">
        <v>22</v>
      </c>
      <c r="H223" s="1774" t="s">
        <v>22</v>
      </c>
      <c r="I223" s="1774" t="s">
        <v>807</v>
      </c>
    </row>
    <row r="224" spans="1:9" ht="11.25" customHeight="1">
      <c r="A224" s="1774" t="s">
        <v>2245</v>
      </c>
      <c r="B224" s="1774" t="s">
        <v>16</v>
      </c>
      <c r="C224" s="1774" t="s">
        <v>3001</v>
      </c>
      <c r="D224" s="1774" t="s">
        <v>3002</v>
      </c>
      <c r="E224" s="1774" t="s">
        <v>3003</v>
      </c>
      <c r="F224" s="1774" t="s">
        <v>2253</v>
      </c>
      <c r="G224" s="1774" t="s">
        <v>22</v>
      </c>
      <c r="H224" s="1774" t="s">
        <v>22</v>
      </c>
      <c r="I224" s="1774" t="s">
        <v>807</v>
      </c>
    </row>
    <row r="225" spans="1:9" ht="11.25" customHeight="1">
      <c r="A225" s="1774" t="s">
        <v>2245</v>
      </c>
      <c r="B225" s="1774" t="s">
        <v>16</v>
      </c>
      <c r="C225" s="1774" t="s">
        <v>3004</v>
      </c>
      <c r="D225" s="1774" t="s">
        <v>3005</v>
      </c>
      <c r="E225" s="1774" t="s">
        <v>3006</v>
      </c>
      <c r="F225" s="1774" t="s">
        <v>2519</v>
      </c>
      <c r="G225" s="1774" t="s">
        <v>22</v>
      </c>
      <c r="H225" s="1774" t="s">
        <v>22</v>
      </c>
      <c r="I225" s="1774" t="s">
        <v>807</v>
      </c>
    </row>
    <row r="226" spans="1:9" ht="11.25" customHeight="1">
      <c r="A226" s="1774" t="s">
        <v>2245</v>
      </c>
      <c r="B226" s="1774" t="s">
        <v>16</v>
      </c>
      <c r="C226" s="1774" t="s">
        <v>3007</v>
      </c>
      <c r="D226" s="1774" t="s">
        <v>3008</v>
      </c>
      <c r="E226" s="1774" t="s">
        <v>3009</v>
      </c>
      <c r="F226" s="1774" t="s">
        <v>3010</v>
      </c>
      <c r="G226" s="1774" t="s">
        <v>22</v>
      </c>
      <c r="H226" s="1774" t="s">
        <v>22</v>
      </c>
      <c r="I226" s="1774" t="s">
        <v>807</v>
      </c>
    </row>
    <row r="227" spans="1:9" ht="11.25" customHeight="1">
      <c r="A227" s="1774" t="s">
        <v>2245</v>
      </c>
      <c r="B227" s="1774" t="s">
        <v>16</v>
      </c>
      <c r="C227" s="1774" t="s">
        <v>3011</v>
      </c>
      <c r="D227" s="1774" t="s">
        <v>3012</v>
      </c>
      <c r="E227" s="1774" t="s">
        <v>3013</v>
      </c>
      <c r="F227" s="1774" t="s">
        <v>2327</v>
      </c>
      <c r="G227" s="1774" t="s">
        <v>22</v>
      </c>
      <c r="H227" s="1774" t="s">
        <v>22</v>
      </c>
      <c r="I227" s="1774" t="s">
        <v>807</v>
      </c>
    </row>
    <row r="228" spans="1:9" ht="11.25" customHeight="1">
      <c r="A228" s="1774" t="s">
        <v>2245</v>
      </c>
      <c r="B228" s="1774" t="s">
        <v>16</v>
      </c>
      <c r="C228" s="1774" t="s">
        <v>3014</v>
      </c>
      <c r="D228" s="1774" t="s">
        <v>3015</v>
      </c>
      <c r="E228" s="1774" t="s">
        <v>3016</v>
      </c>
      <c r="F228" s="1774" t="s">
        <v>2964</v>
      </c>
      <c r="G228" s="1774" t="s">
        <v>22</v>
      </c>
      <c r="H228" s="1774" t="s">
        <v>22</v>
      </c>
      <c r="I228" s="1774" t="s">
        <v>807</v>
      </c>
    </row>
    <row r="229" spans="1:9" ht="11.25" customHeight="1">
      <c r="A229" s="1774" t="s">
        <v>2245</v>
      </c>
      <c r="B229" s="1774" t="s">
        <v>16</v>
      </c>
      <c r="C229" s="1774" t="s">
        <v>3017</v>
      </c>
      <c r="D229" s="1774" t="s">
        <v>3018</v>
      </c>
      <c r="E229" s="1774" t="s">
        <v>3019</v>
      </c>
      <c r="F229" s="1774" t="s">
        <v>51</v>
      </c>
      <c r="G229" s="1774" t="s">
        <v>22</v>
      </c>
      <c r="H229" s="1774" t="s">
        <v>22</v>
      </c>
      <c r="I229" s="1774" t="s">
        <v>807</v>
      </c>
    </row>
    <row r="230" spans="1:9" ht="11.25" customHeight="1">
      <c r="A230" s="1774" t="s">
        <v>2245</v>
      </c>
      <c r="B230" s="1774" t="s">
        <v>16</v>
      </c>
      <c r="C230" s="1774" t="s">
        <v>3020</v>
      </c>
      <c r="D230" s="1774" t="s">
        <v>3021</v>
      </c>
      <c r="E230" s="1774" t="s">
        <v>3022</v>
      </c>
      <c r="F230" s="1774" t="s">
        <v>2291</v>
      </c>
      <c r="G230" s="1774" t="s">
        <v>22</v>
      </c>
      <c r="H230" s="1774" t="s">
        <v>22</v>
      </c>
      <c r="I230" s="1774" t="s">
        <v>807</v>
      </c>
    </row>
    <row r="231" spans="1:9" ht="11.25" customHeight="1">
      <c r="A231" s="1774" t="s">
        <v>2245</v>
      </c>
      <c r="B231" s="1774" t="s">
        <v>16</v>
      </c>
      <c r="C231" s="1774" t="s">
        <v>3023</v>
      </c>
      <c r="D231" s="1774" t="s">
        <v>3024</v>
      </c>
      <c r="E231" s="1774" t="s">
        <v>3025</v>
      </c>
      <c r="F231" s="1774" t="s">
        <v>2291</v>
      </c>
      <c r="G231" s="1774" t="s">
        <v>22</v>
      </c>
      <c r="H231" s="1774" t="s">
        <v>22</v>
      </c>
      <c r="I231" s="1774" t="s">
        <v>807</v>
      </c>
    </row>
    <row r="232" spans="1:9" ht="11.25" customHeight="1">
      <c r="A232" s="1774" t="s">
        <v>2245</v>
      </c>
      <c r="B232" s="1774" t="s">
        <v>16</v>
      </c>
      <c r="C232" s="1774" t="s">
        <v>3026</v>
      </c>
      <c r="D232" s="1774" t="s">
        <v>3027</v>
      </c>
      <c r="E232" s="1774" t="s">
        <v>3028</v>
      </c>
      <c r="F232" s="1774" t="s">
        <v>2372</v>
      </c>
      <c r="G232" s="1774" t="s">
        <v>22</v>
      </c>
      <c r="H232" s="1774" t="s">
        <v>3029</v>
      </c>
      <c r="I232" s="1774" t="s">
        <v>807</v>
      </c>
    </row>
    <row r="233" spans="1:9" ht="11.25" customHeight="1">
      <c r="A233" s="1774" t="s">
        <v>2245</v>
      </c>
      <c r="B233" s="1774" t="s">
        <v>16</v>
      </c>
      <c r="C233" s="1774" t="s">
        <v>3030</v>
      </c>
      <c r="D233" s="1774" t="s">
        <v>3031</v>
      </c>
      <c r="E233" s="1774" t="s">
        <v>3032</v>
      </c>
      <c r="F233" s="1774" t="s">
        <v>2253</v>
      </c>
      <c r="G233" s="1774" t="s">
        <v>22</v>
      </c>
      <c r="H233" s="1774" t="s">
        <v>22</v>
      </c>
      <c r="I233" s="1774" t="s">
        <v>807</v>
      </c>
    </row>
    <row r="234" spans="1:9" ht="11.25" customHeight="1">
      <c r="A234" s="1774" t="s">
        <v>2245</v>
      </c>
      <c r="B234" s="1774" t="s">
        <v>16</v>
      </c>
      <c r="C234" s="1774" t="s">
        <v>3033</v>
      </c>
      <c r="D234" s="1774" t="s">
        <v>3034</v>
      </c>
      <c r="E234" s="1774" t="s">
        <v>2503</v>
      </c>
      <c r="F234" s="1774" t="s">
        <v>2270</v>
      </c>
      <c r="G234" s="1774" t="s">
        <v>22</v>
      </c>
      <c r="H234" s="1774" t="s">
        <v>22</v>
      </c>
      <c r="I234" s="1774" t="s">
        <v>807</v>
      </c>
    </row>
    <row r="235" spans="1:9" ht="11.25" customHeight="1">
      <c r="A235" s="1774" t="s">
        <v>2245</v>
      </c>
      <c r="B235" s="1774" t="s">
        <v>16</v>
      </c>
      <c r="C235" s="1774" t="s">
        <v>3035</v>
      </c>
      <c r="D235" s="1774" t="s">
        <v>3036</v>
      </c>
      <c r="E235" s="1774" t="s">
        <v>3037</v>
      </c>
      <c r="F235" s="1774" t="s">
        <v>2372</v>
      </c>
      <c r="G235" s="1774" t="s">
        <v>22</v>
      </c>
      <c r="H235" s="1774" t="s">
        <v>22</v>
      </c>
      <c r="I235" s="1774" t="s">
        <v>807</v>
      </c>
    </row>
    <row r="236" spans="1:9" ht="11.25" customHeight="1">
      <c r="A236" s="1774" t="s">
        <v>2245</v>
      </c>
      <c r="B236" s="1774" t="s">
        <v>16</v>
      </c>
      <c r="C236" s="1774" t="s">
        <v>3038</v>
      </c>
      <c r="D236" s="1774" t="s">
        <v>3039</v>
      </c>
      <c r="E236" s="1774" t="s">
        <v>3040</v>
      </c>
      <c r="F236" s="1774" t="s">
        <v>2478</v>
      </c>
      <c r="G236" s="1774" t="s">
        <v>22</v>
      </c>
      <c r="H236" s="1774" t="s">
        <v>22</v>
      </c>
      <c r="I236" s="1774" t="s">
        <v>807</v>
      </c>
    </row>
    <row r="237" spans="1:9" ht="11.25" customHeight="1">
      <c r="A237" s="1774" t="s">
        <v>2245</v>
      </c>
      <c r="B237" s="1774" t="s">
        <v>16</v>
      </c>
      <c r="C237" s="1774" t="s">
        <v>3041</v>
      </c>
      <c r="D237" s="1774" t="s">
        <v>3042</v>
      </c>
      <c r="E237" s="1774" t="s">
        <v>3043</v>
      </c>
      <c r="F237" s="1774" t="s">
        <v>2280</v>
      </c>
      <c r="G237" s="1774" t="s">
        <v>22</v>
      </c>
      <c r="H237" s="1774" t="s">
        <v>22</v>
      </c>
      <c r="I237" s="1774" t="s">
        <v>807</v>
      </c>
    </row>
    <row r="238" spans="1:9" ht="11.25" customHeight="1">
      <c r="A238" s="1774" t="s">
        <v>2245</v>
      </c>
      <c r="B238" s="1774" t="s">
        <v>16</v>
      </c>
      <c r="C238" s="1774" t="s">
        <v>3044</v>
      </c>
      <c r="D238" s="1774" t="s">
        <v>3045</v>
      </c>
      <c r="E238" s="1774" t="s">
        <v>3046</v>
      </c>
      <c r="F238" s="1774" t="s">
        <v>2280</v>
      </c>
      <c r="G238" s="1774" t="s">
        <v>22</v>
      </c>
      <c r="H238" s="1774" t="s">
        <v>22</v>
      </c>
      <c r="I238" s="1774" t="s">
        <v>807</v>
      </c>
    </row>
    <row r="239" spans="1:9" ht="11.25" customHeight="1">
      <c r="A239" s="1774" t="s">
        <v>2245</v>
      </c>
      <c r="B239" s="1774" t="s">
        <v>16</v>
      </c>
      <c r="C239" s="1774" t="s">
        <v>3047</v>
      </c>
      <c r="D239" s="1774" t="s">
        <v>3048</v>
      </c>
      <c r="E239" s="1774" t="s">
        <v>3049</v>
      </c>
      <c r="F239" s="1774" t="s">
        <v>2372</v>
      </c>
      <c r="G239" s="1774" t="s">
        <v>22</v>
      </c>
      <c r="H239" s="1774" t="s">
        <v>22</v>
      </c>
      <c r="I239" s="1774" t="s">
        <v>807</v>
      </c>
    </row>
    <row r="240" spans="1:9" ht="11.25" customHeight="1">
      <c r="A240" s="1774" t="s">
        <v>2245</v>
      </c>
      <c r="B240" s="1774" t="s">
        <v>16</v>
      </c>
      <c r="C240" s="1774" t="s">
        <v>3050</v>
      </c>
      <c r="D240" s="1774" t="s">
        <v>3048</v>
      </c>
      <c r="E240" s="1774" t="s">
        <v>3051</v>
      </c>
      <c r="F240" s="1774" t="s">
        <v>2386</v>
      </c>
      <c r="G240" s="1774" t="s">
        <v>3052</v>
      </c>
      <c r="H240" s="1774" t="s">
        <v>22</v>
      </c>
      <c r="I240" s="1774" t="s">
        <v>807</v>
      </c>
    </row>
    <row r="241" spans="1:9" ht="11.25" customHeight="1">
      <c r="A241" s="1774" t="s">
        <v>2245</v>
      </c>
      <c r="B241" s="1774" t="s">
        <v>16</v>
      </c>
      <c r="C241" s="1774" t="s">
        <v>3053</v>
      </c>
      <c r="D241" s="1774" t="s">
        <v>3054</v>
      </c>
      <c r="E241" s="1774" t="s">
        <v>3055</v>
      </c>
      <c r="F241" s="1774" t="s">
        <v>2348</v>
      </c>
      <c r="G241" s="1774" t="s">
        <v>22</v>
      </c>
      <c r="H241" s="1774" t="s">
        <v>22</v>
      </c>
      <c r="I241" s="1774" t="s">
        <v>807</v>
      </c>
    </row>
    <row r="242" spans="1:9" ht="11.25" customHeight="1">
      <c r="A242" s="1774" t="s">
        <v>2245</v>
      </c>
      <c r="B242" s="1774" t="s">
        <v>16</v>
      </c>
      <c r="C242" s="1774" t="s">
        <v>3056</v>
      </c>
      <c r="D242" s="1774" t="s">
        <v>3057</v>
      </c>
      <c r="E242" s="1774" t="s">
        <v>3058</v>
      </c>
      <c r="F242" s="1774" t="s">
        <v>2280</v>
      </c>
      <c r="G242" s="1774" t="s">
        <v>22</v>
      </c>
      <c r="H242" s="1774" t="s">
        <v>22</v>
      </c>
      <c r="I242" s="1774" t="s">
        <v>807</v>
      </c>
    </row>
    <row r="243" spans="1:9" ht="11.25" customHeight="1">
      <c r="A243" s="1774" t="s">
        <v>2245</v>
      </c>
      <c r="B243" s="1774" t="s">
        <v>16</v>
      </c>
      <c r="C243" s="1774" t="s">
        <v>3059</v>
      </c>
      <c r="D243" s="1774" t="s">
        <v>3060</v>
      </c>
      <c r="E243" s="1774" t="s">
        <v>3061</v>
      </c>
      <c r="F243" s="1774" t="s">
        <v>2280</v>
      </c>
      <c r="G243" s="1774" t="s">
        <v>22</v>
      </c>
      <c r="H243" s="1774" t="s">
        <v>22</v>
      </c>
      <c r="I243" s="1774" t="s">
        <v>807</v>
      </c>
    </row>
    <row r="244" spans="1:9" ht="11.25" customHeight="1">
      <c r="A244" s="1774" t="s">
        <v>2245</v>
      </c>
      <c r="B244" s="1774" t="s">
        <v>16</v>
      </c>
      <c r="C244" s="1774" t="s">
        <v>3062</v>
      </c>
      <c r="D244" s="1774" t="s">
        <v>3063</v>
      </c>
      <c r="E244" s="1774" t="s">
        <v>3064</v>
      </c>
      <c r="F244" s="1774" t="s">
        <v>2280</v>
      </c>
      <c r="G244" s="1774" t="s">
        <v>22</v>
      </c>
      <c r="H244" s="1774" t="s">
        <v>22</v>
      </c>
      <c r="I244" s="1774" t="s">
        <v>807</v>
      </c>
    </row>
    <row r="245" spans="1:9" ht="11.25" customHeight="1">
      <c r="A245" s="1774" t="s">
        <v>2245</v>
      </c>
      <c r="B245" s="1774" t="s">
        <v>16</v>
      </c>
      <c r="C245" s="1774" t="s">
        <v>3065</v>
      </c>
      <c r="D245" s="1774" t="s">
        <v>3066</v>
      </c>
      <c r="E245" s="1774" t="s">
        <v>3067</v>
      </c>
      <c r="F245" s="1774" t="s">
        <v>2535</v>
      </c>
      <c r="G245" s="1774" t="s">
        <v>22</v>
      </c>
      <c r="H245" s="1774" t="s">
        <v>22</v>
      </c>
      <c r="I245" s="1774" t="s">
        <v>807</v>
      </c>
    </row>
    <row r="246" spans="1:9" ht="11.25" customHeight="1">
      <c r="A246" s="1774" t="s">
        <v>2245</v>
      </c>
      <c r="B246" s="1774" t="s">
        <v>16</v>
      </c>
      <c r="C246" s="1774" t="s">
        <v>3068</v>
      </c>
      <c r="D246" s="1774" t="s">
        <v>3066</v>
      </c>
      <c r="E246" s="1774" t="s">
        <v>3069</v>
      </c>
      <c r="F246" s="1774" t="s">
        <v>51</v>
      </c>
      <c r="G246" s="1774" t="s">
        <v>22</v>
      </c>
      <c r="H246" s="1774" t="s">
        <v>22</v>
      </c>
      <c r="I246" s="1774" t="s">
        <v>807</v>
      </c>
    </row>
    <row r="247" spans="1:9" ht="11.25" customHeight="1">
      <c r="A247" s="1774" t="s">
        <v>2245</v>
      </c>
      <c r="B247" s="1774" t="s">
        <v>16</v>
      </c>
      <c r="C247" s="1774" t="s">
        <v>3070</v>
      </c>
      <c r="D247" s="1774" t="s">
        <v>3071</v>
      </c>
      <c r="E247" s="1774" t="s">
        <v>3072</v>
      </c>
      <c r="F247" s="1774" t="s">
        <v>3073</v>
      </c>
      <c r="G247" s="1774" t="s">
        <v>22</v>
      </c>
      <c r="H247" s="1774" t="s">
        <v>22</v>
      </c>
      <c r="I247" s="1774" t="s">
        <v>807</v>
      </c>
    </row>
    <row r="248" spans="1:9" ht="11.25" customHeight="1">
      <c r="A248" s="1774" t="s">
        <v>2245</v>
      </c>
      <c r="B248" s="1774" t="s">
        <v>16</v>
      </c>
      <c r="C248" s="1774" t="s">
        <v>3074</v>
      </c>
      <c r="D248" s="1774" t="s">
        <v>3075</v>
      </c>
      <c r="E248" s="1774" t="s">
        <v>3076</v>
      </c>
      <c r="F248" s="1774" t="s">
        <v>2261</v>
      </c>
      <c r="G248" s="1774" t="s">
        <v>22</v>
      </c>
      <c r="H248" s="1774" t="s">
        <v>22</v>
      </c>
      <c r="I248" s="1774" t="s">
        <v>807</v>
      </c>
    </row>
    <row r="249" spans="1:9" ht="11.25" customHeight="1">
      <c r="A249" s="1774" t="s">
        <v>2245</v>
      </c>
      <c r="B249" s="1774" t="s">
        <v>16</v>
      </c>
      <c r="C249" s="1774" t="s">
        <v>3077</v>
      </c>
      <c r="D249" s="1774" t="s">
        <v>3078</v>
      </c>
      <c r="E249" s="1774" t="s">
        <v>3079</v>
      </c>
      <c r="F249" s="1774" t="s">
        <v>2284</v>
      </c>
      <c r="G249" s="1774" t="s">
        <v>22</v>
      </c>
      <c r="H249" s="1774" t="s">
        <v>3080</v>
      </c>
      <c r="I249" s="1774" t="s">
        <v>807</v>
      </c>
    </row>
    <row r="250" spans="1:9" ht="11.25" customHeight="1">
      <c r="A250" s="1774" t="s">
        <v>2245</v>
      </c>
      <c r="B250" s="1774" t="s">
        <v>16</v>
      </c>
      <c r="C250" s="1774" t="s">
        <v>3081</v>
      </c>
      <c r="D250" s="1774" t="s">
        <v>3082</v>
      </c>
      <c r="E250" s="1774" t="s">
        <v>3083</v>
      </c>
      <c r="F250" s="1774" t="s">
        <v>2298</v>
      </c>
      <c r="G250" s="1774" t="s">
        <v>22</v>
      </c>
      <c r="H250" s="1774" t="s">
        <v>22</v>
      </c>
      <c r="I250" s="1774" t="s">
        <v>807</v>
      </c>
    </row>
    <row r="251" spans="1:9" ht="11.25" customHeight="1">
      <c r="A251" s="1774" t="s">
        <v>2245</v>
      </c>
      <c r="B251" s="1774" t="s">
        <v>16</v>
      </c>
      <c r="C251" s="1774" t="s">
        <v>3084</v>
      </c>
      <c r="D251" s="1774" t="s">
        <v>3085</v>
      </c>
      <c r="E251" s="1774" t="s">
        <v>3086</v>
      </c>
      <c r="F251" s="1774" t="s">
        <v>2630</v>
      </c>
      <c r="G251" s="1774" t="s">
        <v>22</v>
      </c>
      <c r="H251" s="1774" t="s">
        <v>22</v>
      </c>
      <c r="I251" s="1774" t="s">
        <v>807</v>
      </c>
    </row>
    <row r="252" spans="1:9" ht="11.25" customHeight="1">
      <c r="A252" s="1774" t="s">
        <v>2245</v>
      </c>
      <c r="B252" s="1774" t="s">
        <v>16</v>
      </c>
      <c r="C252" s="1774" t="s">
        <v>3087</v>
      </c>
      <c r="D252" s="1774" t="s">
        <v>3088</v>
      </c>
      <c r="E252" s="1774" t="s">
        <v>3089</v>
      </c>
      <c r="F252" s="1774" t="s">
        <v>2261</v>
      </c>
      <c r="G252" s="1774" t="s">
        <v>3090</v>
      </c>
      <c r="H252" s="1774" t="s">
        <v>22</v>
      </c>
      <c r="I252" s="1774" t="s">
        <v>807</v>
      </c>
    </row>
    <row r="253" spans="1:9" ht="11.25" customHeight="1">
      <c r="A253" s="1774" t="s">
        <v>2245</v>
      </c>
      <c r="B253" s="1774" t="s">
        <v>16</v>
      </c>
      <c r="C253" s="1774" t="s">
        <v>3091</v>
      </c>
      <c r="D253" s="1774" t="s">
        <v>3092</v>
      </c>
      <c r="E253" s="1774" t="s">
        <v>3093</v>
      </c>
      <c r="F253" s="1774" t="s">
        <v>2542</v>
      </c>
      <c r="G253" s="1774" t="s">
        <v>22</v>
      </c>
      <c r="H253" s="1774" t="s">
        <v>22</v>
      </c>
      <c r="I253" s="1774" t="s">
        <v>807</v>
      </c>
    </row>
    <row r="254" spans="1:9" ht="11.25" customHeight="1">
      <c r="A254" s="1774" t="s">
        <v>2245</v>
      </c>
      <c r="B254" s="1774" t="s">
        <v>16</v>
      </c>
      <c r="C254" s="1774" t="s">
        <v>3094</v>
      </c>
      <c r="D254" s="1774" t="s">
        <v>3092</v>
      </c>
      <c r="E254" s="1774" t="s">
        <v>3095</v>
      </c>
      <c r="F254" s="1774" t="s">
        <v>2697</v>
      </c>
      <c r="G254" s="1774" t="s">
        <v>22</v>
      </c>
      <c r="H254" s="1774" t="s">
        <v>22</v>
      </c>
      <c r="I254" s="1774" t="s">
        <v>807</v>
      </c>
    </row>
    <row r="255" spans="1:9" ht="11.25" customHeight="1">
      <c r="A255" s="1774" t="s">
        <v>2245</v>
      </c>
      <c r="B255" s="1774" t="s">
        <v>16</v>
      </c>
      <c r="C255" s="1774" t="s">
        <v>3096</v>
      </c>
      <c r="D255" s="1774" t="s">
        <v>3097</v>
      </c>
      <c r="E255" s="1774" t="s">
        <v>3098</v>
      </c>
      <c r="F255" s="1774" t="s">
        <v>2265</v>
      </c>
      <c r="G255" s="1774" t="s">
        <v>22</v>
      </c>
      <c r="H255" s="1774" t="s">
        <v>22</v>
      </c>
      <c r="I255" s="1774" t="s">
        <v>807</v>
      </c>
    </row>
    <row r="256" spans="1:9" ht="11.25" customHeight="1">
      <c r="A256" s="1774" t="s">
        <v>2245</v>
      </c>
      <c r="B256" s="1774" t="s">
        <v>16</v>
      </c>
      <c r="C256" s="1774" t="s">
        <v>3099</v>
      </c>
      <c r="D256" s="1774" t="s">
        <v>3100</v>
      </c>
      <c r="E256" s="1774" t="s">
        <v>3101</v>
      </c>
      <c r="F256" s="1774" t="s">
        <v>2527</v>
      </c>
      <c r="G256" s="1774" t="s">
        <v>22</v>
      </c>
      <c r="H256" s="1774" t="s">
        <v>22</v>
      </c>
      <c r="I256" s="1774" t="s">
        <v>807</v>
      </c>
    </row>
    <row r="257" spans="1:9" ht="11.25" customHeight="1">
      <c r="A257" s="1774" t="s">
        <v>2245</v>
      </c>
      <c r="B257" s="1774" t="s">
        <v>16</v>
      </c>
      <c r="C257" s="1774" t="s">
        <v>3102</v>
      </c>
      <c r="D257" s="1774" t="s">
        <v>3103</v>
      </c>
      <c r="E257" s="1774" t="s">
        <v>3104</v>
      </c>
      <c r="F257" s="1774" t="s">
        <v>2253</v>
      </c>
      <c r="G257" s="1774" t="s">
        <v>22</v>
      </c>
      <c r="H257" s="1774" t="s">
        <v>22</v>
      </c>
      <c r="I257" s="1774" t="s">
        <v>807</v>
      </c>
    </row>
    <row r="258" spans="1:9" ht="11.25" customHeight="1">
      <c r="A258" s="1774" t="s">
        <v>2245</v>
      </c>
      <c r="B258" s="1774" t="s">
        <v>16</v>
      </c>
      <c r="C258" s="1774" t="s">
        <v>3105</v>
      </c>
      <c r="D258" s="1774" t="s">
        <v>3106</v>
      </c>
      <c r="E258" s="1774" t="s">
        <v>3107</v>
      </c>
      <c r="F258" s="1774" t="s">
        <v>51</v>
      </c>
      <c r="G258" s="1774" t="s">
        <v>22</v>
      </c>
      <c r="H258" s="1774" t="s">
        <v>22</v>
      </c>
      <c r="I258" s="1774" t="s">
        <v>807</v>
      </c>
    </row>
    <row r="259" spans="1:9" ht="11.25" customHeight="1">
      <c r="A259" s="1774" t="s">
        <v>2245</v>
      </c>
      <c r="B259" s="1774" t="s">
        <v>16</v>
      </c>
      <c r="C259" s="1774" t="s">
        <v>3108</v>
      </c>
      <c r="D259" s="1774" t="s">
        <v>3109</v>
      </c>
      <c r="E259" s="1774" t="s">
        <v>3110</v>
      </c>
      <c r="F259" s="1774" t="s">
        <v>3111</v>
      </c>
      <c r="G259" s="1774" t="s">
        <v>22</v>
      </c>
      <c r="H259" s="1774" t="s">
        <v>22</v>
      </c>
      <c r="I259" s="1774" t="s">
        <v>807</v>
      </c>
    </row>
    <row r="260" spans="1:9" ht="11.25" customHeight="1">
      <c r="A260" s="1774" t="s">
        <v>2245</v>
      </c>
      <c r="B260" s="1774" t="s">
        <v>16</v>
      </c>
      <c r="C260" s="1774" t="s">
        <v>3112</v>
      </c>
      <c r="D260" s="1774" t="s">
        <v>3113</v>
      </c>
      <c r="E260" s="1774" t="s">
        <v>3114</v>
      </c>
      <c r="F260" s="1774" t="s">
        <v>2478</v>
      </c>
      <c r="G260" s="1774" t="s">
        <v>22</v>
      </c>
      <c r="H260" s="1774" t="s">
        <v>22</v>
      </c>
      <c r="I260" s="1774" t="s">
        <v>807</v>
      </c>
    </row>
    <row r="261" spans="1:9" ht="11.25" customHeight="1">
      <c r="A261" s="1774" t="s">
        <v>2245</v>
      </c>
      <c r="B261" s="1774" t="s">
        <v>16</v>
      </c>
      <c r="C261" s="1774" t="s">
        <v>3115</v>
      </c>
      <c r="D261" s="1774" t="s">
        <v>3116</v>
      </c>
      <c r="E261" s="1774" t="s">
        <v>3117</v>
      </c>
      <c r="F261" s="1774" t="s">
        <v>2317</v>
      </c>
      <c r="G261" s="1774" t="s">
        <v>22</v>
      </c>
      <c r="H261" s="1774" t="s">
        <v>22</v>
      </c>
      <c r="I261" s="1774" t="s">
        <v>807</v>
      </c>
    </row>
    <row r="262" spans="1:9" ht="11.25" customHeight="1">
      <c r="A262" s="1774" t="s">
        <v>2245</v>
      </c>
      <c r="B262" s="1774" t="s">
        <v>16</v>
      </c>
      <c r="C262" s="1774" t="s">
        <v>3118</v>
      </c>
      <c r="D262" s="1774" t="s">
        <v>3119</v>
      </c>
      <c r="E262" s="1774" t="s">
        <v>3120</v>
      </c>
      <c r="F262" s="1774" t="s">
        <v>2686</v>
      </c>
      <c r="G262" s="1774" t="s">
        <v>22</v>
      </c>
      <c r="H262" s="1774" t="s">
        <v>22</v>
      </c>
      <c r="I262" s="1774" t="s">
        <v>807</v>
      </c>
    </row>
    <row r="263" spans="1:9" ht="11.25" customHeight="1">
      <c r="A263" s="1774" t="s">
        <v>2245</v>
      </c>
      <c r="B263" s="1774" t="s">
        <v>16</v>
      </c>
      <c r="C263" s="1774" t="s">
        <v>3121</v>
      </c>
      <c r="D263" s="1774" t="s">
        <v>3122</v>
      </c>
      <c r="E263" s="1774" t="s">
        <v>3123</v>
      </c>
      <c r="F263" s="1774" t="s">
        <v>2253</v>
      </c>
      <c r="G263" s="1774" t="s">
        <v>22</v>
      </c>
      <c r="H263" s="1774" t="s">
        <v>22</v>
      </c>
      <c r="I263" s="1774" t="s">
        <v>807</v>
      </c>
    </row>
    <row r="264" spans="1:9" ht="11.25" customHeight="1">
      <c r="A264" s="1774" t="s">
        <v>2245</v>
      </c>
      <c r="B264" s="1774" t="s">
        <v>16</v>
      </c>
      <c r="C264" s="1774" t="s">
        <v>3124</v>
      </c>
      <c r="D264" s="1774" t="s">
        <v>3125</v>
      </c>
      <c r="E264" s="1774" t="s">
        <v>3126</v>
      </c>
      <c r="F264" s="1774" t="s">
        <v>2253</v>
      </c>
      <c r="G264" s="1774" t="s">
        <v>22</v>
      </c>
      <c r="H264" s="1774" t="s">
        <v>22</v>
      </c>
      <c r="I264" s="1774" t="s">
        <v>807</v>
      </c>
    </row>
    <row r="265" spans="1:9" ht="11.25" customHeight="1">
      <c r="A265" s="1774" t="s">
        <v>2245</v>
      </c>
      <c r="B265" s="1774" t="s">
        <v>16</v>
      </c>
      <c r="C265" s="1774" t="s">
        <v>3127</v>
      </c>
      <c r="D265" s="1774" t="s">
        <v>3128</v>
      </c>
      <c r="E265" s="1774" t="s">
        <v>3129</v>
      </c>
      <c r="F265" s="1774" t="s">
        <v>2478</v>
      </c>
      <c r="G265" s="1774" t="s">
        <v>22</v>
      </c>
      <c r="H265" s="1774" t="s">
        <v>22</v>
      </c>
      <c r="I265" s="1774" t="s">
        <v>807</v>
      </c>
    </row>
    <row r="266" spans="1:9" ht="11.25" customHeight="1">
      <c r="A266" s="1774" t="s">
        <v>2245</v>
      </c>
      <c r="B266" s="1774" t="s">
        <v>16</v>
      </c>
      <c r="C266" s="1774" t="s">
        <v>3130</v>
      </c>
      <c r="D266" s="1774" t="s">
        <v>3131</v>
      </c>
      <c r="E266" s="1774" t="s">
        <v>3132</v>
      </c>
      <c r="F266" s="1774" t="s">
        <v>2313</v>
      </c>
      <c r="G266" s="1774" t="s">
        <v>22</v>
      </c>
      <c r="H266" s="1774" t="s">
        <v>22</v>
      </c>
      <c r="I266" s="1774" t="s">
        <v>807</v>
      </c>
    </row>
    <row r="267" spans="1:9" ht="11.25" customHeight="1">
      <c r="A267" s="1774" t="s">
        <v>2245</v>
      </c>
      <c r="B267" s="1774" t="s">
        <v>16</v>
      </c>
      <c r="C267" s="1774" t="s">
        <v>3133</v>
      </c>
      <c r="D267" s="1774" t="s">
        <v>3134</v>
      </c>
      <c r="E267" s="1774" t="s">
        <v>3135</v>
      </c>
      <c r="F267" s="1774" t="s">
        <v>2327</v>
      </c>
      <c r="G267" s="1774" t="s">
        <v>22</v>
      </c>
      <c r="H267" s="1774" t="s">
        <v>22</v>
      </c>
      <c r="I267" s="1774" t="s">
        <v>807</v>
      </c>
    </row>
    <row r="268" spans="1:9" ht="11.25" customHeight="1">
      <c r="A268" s="1774" t="s">
        <v>2245</v>
      </c>
      <c r="B268" s="1774" t="s">
        <v>16</v>
      </c>
      <c r="C268" s="1774" t="s">
        <v>3136</v>
      </c>
      <c r="D268" s="1774" t="s">
        <v>3137</v>
      </c>
      <c r="E268" s="1774" t="s">
        <v>3138</v>
      </c>
      <c r="F268" s="1774" t="s">
        <v>2450</v>
      </c>
      <c r="G268" s="1774" t="s">
        <v>22</v>
      </c>
      <c r="H268" s="1774" t="s">
        <v>22</v>
      </c>
      <c r="I268" s="1774" t="s">
        <v>807</v>
      </c>
    </row>
    <row r="269" spans="1:9" ht="11.25" customHeight="1">
      <c r="A269" s="1774" t="s">
        <v>2245</v>
      </c>
      <c r="B269" s="1774" t="s">
        <v>16</v>
      </c>
      <c r="C269" s="1774" t="s">
        <v>3139</v>
      </c>
      <c r="D269" s="1774" t="s">
        <v>3140</v>
      </c>
      <c r="E269" s="1774" t="s">
        <v>3141</v>
      </c>
      <c r="F269" s="1774" t="s">
        <v>2450</v>
      </c>
      <c r="G269" s="1774" t="s">
        <v>22</v>
      </c>
      <c r="H269" s="1774" t="s">
        <v>22</v>
      </c>
      <c r="I269" s="1774" t="s">
        <v>807</v>
      </c>
    </row>
    <row r="270" spans="1:9" ht="11.25" customHeight="1">
      <c r="A270" s="1774" t="s">
        <v>2245</v>
      </c>
      <c r="B270" s="1774" t="s">
        <v>16</v>
      </c>
      <c r="C270" s="1774" t="s">
        <v>13</v>
      </c>
      <c r="D270" s="1774" t="s">
        <v>46</v>
      </c>
      <c r="E270" s="1774" t="s">
        <v>49</v>
      </c>
      <c r="F270" s="1774" t="s">
        <v>51</v>
      </c>
      <c r="G270" s="1774" t="s">
        <v>3142</v>
      </c>
      <c r="H270" s="1774" t="s">
        <v>22</v>
      </c>
      <c r="I270" s="1774" t="s">
        <v>807</v>
      </c>
    </row>
    <row r="271" spans="1:9" ht="11.25" customHeight="1">
      <c r="A271" s="1774" t="s">
        <v>2245</v>
      </c>
      <c r="B271" s="1774" t="s">
        <v>16</v>
      </c>
      <c r="C271" s="1774" t="s">
        <v>3143</v>
      </c>
      <c r="D271" s="1774" t="s">
        <v>3144</v>
      </c>
      <c r="E271" s="1774" t="s">
        <v>3145</v>
      </c>
      <c r="F271" s="1774" t="s">
        <v>2265</v>
      </c>
      <c r="G271" s="1774" t="s">
        <v>22</v>
      </c>
      <c r="H271" s="1774" t="s">
        <v>22</v>
      </c>
      <c r="I271" s="1774" t="s">
        <v>807</v>
      </c>
    </row>
    <row r="272" spans="1:9" ht="11.25" customHeight="1">
      <c r="A272" s="1774" t="s">
        <v>2245</v>
      </c>
      <c r="B272" s="1774" t="s">
        <v>16</v>
      </c>
      <c r="C272" s="1774" t="s">
        <v>3146</v>
      </c>
      <c r="D272" s="1774" t="s">
        <v>3147</v>
      </c>
      <c r="E272" s="1774" t="s">
        <v>3148</v>
      </c>
      <c r="F272" s="1774" t="s">
        <v>2478</v>
      </c>
      <c r="G272" s="1774" t="s">
        <v>22</v>
      </c>
      <c r="H272" s="1774" t="s">
        <v>22</v>
      </c>
      <c r="I272" s="1774" t="s">
        <v>807</v>
      </c>
    </row>
    <row r="273" spans="1:9" ht="11.25" customHeight="1">
      <c r="A273" s="1774" t="s">
        <v>2245</v>
      </c>
      <c r="B273" s="1774" t="s">
        <v>16</v>
      </c>
      <c r="C273" s="1774" t="s">
        <v>3149</v>
      </c>
      <c r="D273" s="1774" t="s">
        <v>3150</v>
      </c>
      <c r="E273" s="1774" t="s">
        <v>3151</v>
      </c>
      <c r="F273" s="1774" t="s">
        <v>2280</v>
      </c>
      <c r="G273" s="1774" t="s">
        <v>3152</v>
      </c>
      <c r="H273" s="1774" t="s">
        <v>22</v>
      </c>
      <c r="I273" s="1774" t="s">
        <v>807</v>
      </c>
    </row>
    <row r="274" spans="1:9" ht="11.25" customHeight="1">
      <c r="A274" s="1774" t="s">
        <v>2245</v>
      </c>
      <c r="B274" s="1774" t="s">
        <v>16</v>
      </c>
      <c r="C274" s="1774" t="s">
        <v>3153</v>
      </c>
      <c r="D274" s="1774" t="s">
        <v>3154</v>
      </c>
      <c r="E274" s="1774" t="s">
        <v>3155</v>
      </c>
      <c r="F274" s="1774" t="s">
        <v>2280</v>
      </c>
      <c r="G274" s="1774" t="s">
        <v>22</v>
      </c>
      <c r="H274" s="1774" t="s">
        <v>22</v>
      </c>
      <c r="I274" s="1774" t="s">
        <v>807</v>
      </c>
    </row>
    <row r="275" spans="1:9" ht="11.25" customHeight="1">
      <c r="A275" s="1774" t="s">
        <v>2245</v>
      </c>
      <c r="B275" s="1774" t="s">
        <v>16</v>
      </c>
      <c r="C275" s="1774" t="s">
        <v>3156</v>
      </c>
      <c r="D275" s="1774" t="s">
        <v>3157</v>
      </c>
      <c r="E275" s="1774" t="s">
        <v>3158</v>
      </c>
      <c r="F275" s="1774" t="s">
        <v>2964</v>
      </c>
      <c r="G275" s="1774" t="s">
        <v>22</v>
      </c>
      <c r="H275" s="1774" t="s">
        <v>22</v>
      </c>
      <c r="I275" s="1774" t="s">
        <v>807</v>
      </c>
    </row>
    <row r="276" spans="1:9" ht="11.25" customHeight="1">
      <c r="A276" s="1774" t="s">
        <v>2245</v>
      </c>
      <c r="B276" s="1774" t="s">
        <v>16</v>
      </c>
      <c r="C276" s="1774" t="s">
        <v>3159</v>
      </c>
      <c r="D276" s="1774" t="s">
        <v>3160</v>
      </c>
      <c r="E276" s="1774" t="s">
        <v>3161</v>
      </c>
      <c r="F276" s="1774" t="s">
        <v>2253</v>
      </c>
      <c r="G276" s="1774" t="s">
        <v>22</v>
      </c>
      <c r="H276" s="1774" t="s">
        <v>22</v>
      </c>
      <c r="I276" s="1774" t="s">
        <v>807</v>
      </c>
    </row>
    <row r="277" spans="1:9" ht="11.25" customHeight="1">
      <c r="A277" s="1774" t="s">
        <v>2245</v>
      </c>
      <c r="B277" s="1774" t="s">
        <v>16</v>
      </c>
      <c r="C277" s="1774" t="s">
        <v>3162</v>
      </c>
      <c r="D277" s="1774" t="s">
        <v>3163</v>
      </c>
      <c r="E277" s="1774" t="s">
        <v>3164</v>
      </c>
      <c r="F277" s="1774" t="s">
        <v>2386</v>
      </c>
      <c r="G277" s="1774" t="s">
        <v>22</v>
      </c>
      <c r="H277" s="1774" t="s">
        <v>22</v>
      </c>
      <c r="I277" s="1774" t="s">
        <v>807</v>
      </c>
    </row>
    <row r="278" spans="1:9" ht="11.25" customHeight="1">
      <c r="A278" s="1774" t="s">
        <v>2245</v>
      </c>
      <c r="B278" s="1774" t="s">
        <v>16</v>
      </c>
      <c r="C278" s="1774" t="s">
        <v>3165</v>
      </c>
      <c r="D278" s="1774" t="s">
        <v>3166</v>
      </c>
      <c r="E278" s="1774" t="s">
        <v>3167</v>
      </c>
      <c r="F278" s="1774" t="s">
        <v>2386</v>
      </c>
      <c r="G278" s="1774" t="s">
        <v>3168</v>
      </c>
      <c r="H278" s="1774" t="s">
        <v>22</v>
      </c>
      <c r="I278" s="1774" t="s">
        <v>807</v>
      </c>
    </row>
    <row r="279" spans="1:9" ht="11.25" customHeight="1">
      <c r="A279" s="1774" t="s">
        <v>2245</v>
      </c>
      <c r="B279" s="1774" t="s">
        <v>16</v>
      </c>
      <c r="C279" s="1774" t="s">
        <v>3169</v>
      </c>
      <c r="D279" s="1774" t="s">
        <v>3170</v>
      </c>
      <c r="E279" s="1774" t="s">
        <v>3171</v>
      </c>
      <c r="F279" s="1774" t="s">
        <v>2291</v>
      </c>
      <c r="G279" s="1774" t="s">
        <v>22</v>
      </c>
      <c r="H279" s="1774" t="s">
        <v>22</v>
      </c>
      <c r="I279" s="1774" t="s">
        <v>807</v>
      </c>
    </row>
    <row r="280" spans="1:9" ht="11.25" customHeight="1">
      <c r="A280" s="1774" t="s">
        <v>2245</v>
      </c>
      <c r="B280" s="1774" t="s">
        <v>16</v>
      </c>
      <c r="C280" s="1774" t="s">
        <v>3172</v>
      </c>
      <c r="D280" s="1774" t="s">
        <v>3173</v>
      </c>
      <c r="E280" s="1774" t="s">
        <v>3174</v>
      </c>
      <c r="F280" s="1774" t="s">
        <v>2823</v>
      </c>
      <c r="G280" s="1774" t="s">
        <v>22</v>
      </c>
      <c r="H280" s="1774" t="s">
        <v>22</v>
      </c>
      <c r="I280" s="1774" t="s">
        <v>807</v>
      </c>
    </row>
    <row r="281" spans="1:9" ht="11.25" customHeight="1">
      <c r="A281" s="1774" t="s">
        <v>2245</v>
      </c>
      <c r="B281" s="1774" t="s">
        <v>16</v>
      </c>
      <c r="C281" s="1774" t="s">
        <v>3175</v>
      </c>
      <c r="D281" s="1774" t="s">
        <v>3176</v>
      </c>
      <c r="E281" s="1774" t="s">
        <v>3177</v>
      </c>
      <c r="F281" s="1774" t="s">
        <v>2253</v>
      </c>
      <c r="G281" s="1774" t="s">
        <v>22</v>
      </c>
      <c r="H281" s="1774" t="s">
        <v>22</v>
      </c>
      <c r="I281" s="1774" t="s">
        <v>807</v>
      </c>
    </row>
    <row r="282" spans="1:9" ht="11.25" customHeight="1">
      <c r="A282" s="1774" t="s">
        <v>2245</v>
      </c>
      <c r="B282" s="1774" t="s">
        <v>16</v>
      </c>
      <c r="C282" s="1774" t="s">
        <v>3178</v>
      </c>
      <c r="D282" s="1774" t="s">
        <v>3179</v>
      </c>
      <c r="E282" s="1774" t="s">
        <v>3180</v>
      </c>
      <c r="F282" s="1774" t="s">
        <v>2766</v>
      </c>
      <c r="G282" s="1774" t="s">
        <v>22</v>
      </c>
      <c r="H282" s="1774" t="s">
        <v>22</v>
      </c>
      <c r="I282" s="1774" t="s">
        <v>807</v>
      </c>
    </row>
    <row r="283" spans="1:9" ht="11.25" customHeight="1">
      <c r="A283" s="1774" t="s">
        <v>2245</v>
      </c>
      <c r="B283" s="1774" t="s">
        <v>16</v>
      </c>
      <c r="C283" s="1774" t="s">
        <v>3181</v>
      </c>
      <c r="D283" s="1774" t="s">
        <v>3182</v>
      </c>
      <c r="E283" s="1774" t="s">
        <v>3183</v>
      </c>
      <c r="F283" s="1774" t="s">
        <v>2766</v>
      </c>
      <c r="G283" s="1774" t="s">
        <v>3184</v>
      </c>
      <c r="H283" s="1774" t="s">
        <v>22</v>
      </c>
      <c r="I283" s="1774" t="s">
        <v>807</v>
      </c>
    </row>
    <row r="284" spans="1:9" ht="11.25" customHeight="1">
      <c r="A284" s="1774" t="s">
        <v>2245</v>
      </c>
      <c r="B284" s="1774" t="s">
        <v>16</v>
      </c>
      <c r="C284" s="1774" t="s">
        <v>3185</v>
      </c>
      <c r="D284" s="1774" t="s">
        <v>3186</v>
      </c>
      <c r="E284" s="1774" t="s">
        <v>3187</v>
      </c>
      <c r="F284" s="1774" t="s">
        <v>2508</v>
      </c>
      <c r="G284" s="1774" t="s">
        <v>3188</v>
      </c>
      <c r="H284" s="1774" t="s">
        <v>22</v>
      </c>
      <c r="I284" s="1774" t="s">
        <v>807</v>
      </c>
    </row>
    <row r="285" spans="1:9" ht="11.25" customHeight="1">
      <c r="A285" s="1774" t="s">
        <v>2245</v>
      </c>
      <c r="B285" s="1774" t="s">
        <v>16</v>
      </c>
      <c r="C285" s="1774" t="s">
        <v>3189</v>
      </c>
      <c r="D285" s="1774" t="s">
        <v>3190</v>
      </c>
      <c r="E285" s="1774" t="s">
        <v>3191</v>
      </c>
      <c r="F285" s="1774" t="s">
        <v>2386</v>
      </c>
      <c r="G285" s="1774" t="s">
        <v>22</v>
      </c>
      <c r="H285" s="1774" t="s">
        <v>22</v>
      </c>
      <c r="I285" s="1774" t="s">
        <v>807</v>
      </c>
    </row>
    <row r="286" spans="1:9" ht="11.25" customHeight="1">
      <c r="A286" s="1774" t="s">
        <v>2245</v>
      </c>
      <c r="B286" s="1774" t="s">
        <v>16</v>
      </c>
      <c r="C286" s="1774" t="s">
        <v>3192</v>
      </c>
      <c r="D286" s="1774" t="s">
        <v>3193</v>
      </c>
      <c r="E286" s="1774" t="s">
        <v>3194</v>
      </c>
      <c r="F286" s="1774" t="s">
        <v>2542</v>
      </c>
      <c r="G286" s="1774" t="s">
        <v>22</v>
      </c>
      <c r="H286" s="1774" t="s">
        <v>22</v>
      </c>
      <c r="I286" s="1774" t="s">
        <v>807</v>
      </c>
    </row>
    <row r="287" spans="1:9" ht="11.25" customHeight="1">
      <c r="A287" s="1774" t="s">
        <v>2245</v>
      </c>
      <c r="B287" s="1774" t="s">
        <v>16</v>
      </c>
      <c r="C287" s="1774" t="s">
        <v>3195</v>
      </c>
      <c r="D287" s="1774" t="s">
        <v>3196</v>
      </c>
      <c r="E287" s="1774" t="s">
        <v>3197</v>
      </c>
      <c r="F287" s="1774" t="s">
        <v>2708</v>
      </c>
      <c r="G287" s="1774" t="s">
        <v>22</v>
      </c>
      <c r="H287" s="1774" t="s">
        <v>22</v>
      </c>
      <c r="I287" s="1774" t="s">
        <v>807</v>
      </c>
    </row>
    <row r="288" spans="1:9" ht="11.25" customHeight="1">
      <c r="A288" s="1774" t="s">
        <v>2245</v>
      </c>
      <c r="B288" s="1774" t="s">
        <v>16</v>
      </c>
      <c r="C288" s="1774" t="s">
        <v>3198</v>
      </c>
      <c r="D288" s="1774" t="s">
        <v>3199</v>
      </c>
      <c r="E288" s="1774" t="s">
        <v>3200</v>
      </c>
      <c r="F288" s="1774" t="s">
        <v>2265</v>
      </c>
      <c r="G288" s="1774" t="s">
        <v>22</v>
      </c>
      <c r="H288" s="1774" t="s">
        <v>22</v>
      </c>
      <c r="I288" s="1774" t="s">
        <v>807</v>
      </c>
    </row>
    <row r="289" spans="1:9" ht="11.25" customHeight="1">
      <c r="A289" s="1774" t="s">
        <v>2245</v>
      </c>
      <c r="B289" s="1774" t="s">
        <v>16</v>
      </c>
      <c r="C289" s="1774" t="s">
        <v>3201</v>
      </c>
      <c r="D289" s="1774" t="s">
        <v>3202</v>
      </c>
      <c r="E289" s="1774" t="s">
        <v>3203</v>
      </c>
      <c r="F289" s="1774" t="s">
        <v>3204</v>
      </c>
      <c r="G289" s="1774" t="s">
        <v>22</v>
      </c>
      <c r="H289" s="1774" t="s">
        <v>22</v>
      </c>
      <c r="I289" s="1774" t="s">
        <v>807</v>
      </c>
    </row>
    <row r="290" spans="1:9" ht="11.25" customHeight="1">
      <c r="A290" s="1774" t="s">
        <v>2245</v>
      </c>
      <c r="B290" s="1774" t="s">
        <v>16</v>
      </c>
      <c r="C290" s="1774" t="s">
        <v>3205</v>
      </c>
      <c r="D290" s="1774" t="s">
        <v>3206</v>
      </c>
      <c r="E290" s="1774" t="s">
        <v>3207</v>
      </c>
      <c r="F290" s="1774" t="s">
        <v>2261</v>
      </c>
      <c r="G290" s="1774" t="s">
        <v>22</v>
      </c>
      <c r="H290" s="1774" t="s">
        <v>22</v>
      </c>
      <c r="I290" s="1774" t="s">
        <v>807</v>
      </c>
    </row>
    <row r="291" spans="1:9" ht="11.25" customHeight="1">
      <c r="A291" s="1774" t="s">
        <v>2245</v>
      </c>
      <c r="B291" s="1774" t="s">
        <v>16</v>
      </c>
      <c r="C291" s="1774" t="s">
        <v>3208</v>
      </c>
      <c r="D291" s="1774" t="s">
        <v>3209</v>
      </c>
      <c r="E291" s="1774" t="s">
        <v>3210</v>
      </c>
      <c r="F291" s="1774" t="s">
        <v>2816</v>
      </c>
      <c r="G291" s="1774" t="s">
        <v>3211</v>
      </c>
      <c r="H291" s="1774" t="s">
        <v>22</v>
      </c>
      <c r="I291" s="1774" t="s">
        <v>807</v>
      </c>
    </row>
    <row r="292" spans="1:9" ht="11.25" customHeight="1">
      <c r="A292" s="1774" t="s">
        <v>2245</v>
      </c>
      <c r="B292" s="1774" t="s">
        <v>16</v>
      </c>
      <c r="C292" s="1774" t="s">
        <v>3212</v>
      </c>
      <c r="D292" s="1774" t="s">
        <v>3213</v>
      </c>
      <c r="E292" s="1774" t="s">
        <v>3214</v>
      </c>
      <c r="F292" s="1774" t="s">
        <v>51</v>
      </c>
      <c r="G292" s="1774" t="s">
        <v>3215</v>
      </c>
      <c r="H292" s="1774" t="s">
        <v>22</v>
      </c>
      <c r="I292" s="1774" t="s">
        <v>807</v>
      </c>
    </row>
    <row r="293" spans="1:9" ht="11.25" customHeight="1">
      <c r="A293" s="1774" t="s">
        <v>2245</v>
      </c>
      <c r="B293" s="1774" t="s">
        <v>16</v>
      </c>
      <c r="C293" s="1774" t="s">
        <v>3216</v>
      </c>
      <c r="D293" s="1774" t="s">
        <v>3217</v>
      </c>
      <c r="E293" s="1774" t="s">
        <v>3218</v>
      </c>
      <c r="F293" s="1774" t="s">
        <v>2261</v>
      </c>
      <c r="G293" s="1774" t="s">
        <v>22</v>
      </c>
      <c r="H293" s="1774" t="s">
        <v>22</v>
      </c>
      <c r="I293" s="1774" t="s">
        <v>807</v>
      </c>
    </row>
    <row r="294" spans="1:9" ht="11.25" customHeight="1">
      <c r="A294" s="1774" t="s">
        <v>2245</v>
      </c>
      <c r="B294" s="1774" t="s">
        <v>16</v>
      </c>
      <c r="C294" s="1774" t="s">
        <v>3219</v>
      </c>
      <c r="D294" s="1774" t="s">
        <v>3220</v>
      </c>
      <c r="E294" s="1774" t="s">
        <v>3221</v>
      </c>
      <c r="F294" s="1774" t="s">
        <v>2386</v>
      </c>
      <c r="G294" s="1774" t="s">
        <v>3222</v>
      </c>
      <c r="H294" s="1774" t="s">
        <v>22</v>
      </c>
      <c r="I294" s="1774" t="s">
        <v>807</v>
      </c>
    </row>
    <row r="295" spans="1:9" ht="11.25" customHeight="1">
      <c r="A295" s="1774" t="s">
        <v>2245</v>
      </c>
      <c r="B295" s="1774" t="s">
        <v>16</v>
      </c>
      <c r="C295" s="1774" t="s">
        <v>3223</v>
      </c>
      <c r="D295" s="1774" t="s">
        <v>3224</v>
      </c>
      <c r="E295" s="1774" t="s">
        <v>3225</v>
      </c>
      <c r="F295" s="1774" t="s">
        <v>2253</v>
      </c>
      <c r="G295" s="1774" t="s">
        <v>22</v>
      </c>
      <c r="H295" s="1774" t="s">
        <v>22</v>
      </c>
      <c r="I295" s="1774" t="s">
        <v>807</v>
      </c>
    </row>
    <row r="296" spans="1:9" ht="11.25" customHeight="1">
      <c r="A296" s="1774" t="s">
        <v>2245</v>
      </c>
      <c r="B296" s="1774" t="s">
        <v>16</v>
      </c>
      <c r="C296" s="1774" t="s">
        <v>3226</v>
      </c>
      <c r="D296" s="1774" t="s">
        <v>3227</v>
      </c>
      <c r="E296" s="1774" t="s">
        <v>3228</v>
      </c>
      <c r="F296" s="1774" t="s">
        <v>51</v>
      </c>
      <c r="G296" s="1774" t="s">
        <v>3229</v>
      </c>
      <c r="H296" s="1774" t="s">
        <v>22</v>
      </c>
      <c r="I296" s="1774" t="s">
        <v>807</v>
      </c>
    </row>
    <row r="297" spans="1:9" ht="11.25" customHeight="1">
      <c r="A297" s="1774" t="s">
        <v>2245</v>
      </c>
      <c r="B297" s="1774" t="s">
        <v>16</v>
      </c>
      <c r="C297" s="1774" t="s">
        <v>3230</v>
      </c>
      <c r="D297" s="1774" t="s">
        <v>3231</v>
      </c>
      <c r="E297" s="1774" t="s">
        <v>3232</v>
      </c>
      <c r="F297" s="1774" t="s">
        <v>2376</v>
      </c>
      <c r="G297" s="1774" t="s">
        <v>3233</v>
      </c>
      <c r="H297" s="1774" t="s">
        <v>22</v>
      </c>
      <c r="I297" s="1774" t="s">
        <v>807</v>
      </c>
    </row>
    <row r="298" spans="1:9" ht="11.25" customHeight="1">
      <c r="A298" s="1774" t="s">
        <v>2245</v>
      </c>
      <c r="B298" s="1774" t="s">
        <v>16</v>
      </c>
      <c r="C298" s="1774" t="s">
        <v>3234</v>
      </c>
      <c r="D298" s="1774" t="s">
        <v>3235</v>
      </c>
      <c r="E298" s="1774" t="s">
        <v>3236</v>
      </c>
      <c r="F298" s="1774" t="s">
        <v>2261</v>
      </c>
      <c r="G298" s="1774" t="s">
        <v>22</v>
      </c>
      <c r="H298" s="1774" t="s">
        <v>22</v>
      </c>
      <c r="I298" s="1774" t="s">
        <v>807</v>
      </c>
    </row>
    <row r="299" spans="1:9" ht="11.25" customHeight="1">
      <c r="A299" s="1774" t="s">
        <v>2245</v>
      </c>
      <c r="B299" s="1774" t="s">
        <v>16</v>
      </c>
      <c r="C299" s="1774" t="s">
        <v>3237</v>
      </c>
      <c r="D299" s="1774" t="s">
        <v>3238</v>
      </c>
      <c r="E299" s="1774" t="s">
        <v>3239</v>
      </c>
      <c r="F299" s="1774" t="s">
        <v>51</v>
      </c>
      <c r="G299" s="1774" t="s">
        <v>22</v>
      </c>
      <c r="H299" s="1774" t="s">
        <v>22</v>
      </c>
      <c r="I299" s="1774" t="s">
        <v>807</v>
      </c>
    </row>
    <row r="300" spans="1:9" ht="11.25" customHeight="1">
      <c r="A300" s="1774" t="s">
        <v>2245</v>
      </c>
      <c r="B300" s="1774" t="s">
        <v>16</v>
      </c>
      <c r="C300" s="1774" t="s">
        <v>3240</v>
      </c>
      <c r="D300" s="1774" t="s">
        <v>3241</v>
      </c>
      <c r="E300" s="1774" t="s">
        <v>3242</v>
      </c>
      <c r="F300" s="1774" t="s">
        <v>2253</v>
      </c>
      <c r="G300" s="1774" t="s">
        <v>22</v>
      </c>
      <c r="H300" s="1774" t="s">
        <v>22</v>
      </c>
      <c r="I300" s="1774" t="s">
        <v>807</v>
      </c>
    </row>
    <row r="301" spans="1:9" ht="11.25" customHeight="1">
      <c r="A301" s="1774" t="s">
        <v>2245</v>
      </c>
      <c r="B301" s="1774" t="s">
        <v>16</v>
      </c>
      <c r="C301" s="1774" t="s">
        <v>3243</v>
      </c>
      <c r="D301" s="1774" t="s">
        <v>3244</v>
      </c>
      <c r="E301" s="1774" t="s">
        <v>3245</v>
      </c>
      <c r="F301" s="1774" t="s">
        <v>2450</v>
      </c>
      <c r="G301" s="1774" t="s">
        <v>22</v>
      </c>
      <c r="H301" s="1774" t="s">
        <v>22</v>
      </c>
      <c r="I301" s="1774" t="s">
        <v>807</v>
      </c>
    </row>
    <row r="302" spans="1:9" ht="11.25" customHeight="1">
      <c r="A302" s="1774" t="s">
        <v>2245</v>
      </c>
      <c r="B302" s="1774" t="s">
        <v>16</v>
      </c>
      <c r="C302" s="1774" t="s">
        <v>3246</v>
      </c>
      <c r="D302" s="1774" t="s">
        <v>3247</v>
      </c>
      <c r="E302" s="1774" t="s">
        <v>3248</v>
      </c>
      <c r="F302" s="1774" t="s">
        <v>2261</v>
      </c>
      <c r="G302" s="1774" t="s">
        <v>3249</v>
      </c>
      <c r="H302" s="1774" t="s">
        <v>22</v>
      </c>
      <c r="I302" s="1774" t="s">
        <v>807</v>
      </c>
    </row>
    <row r="303" spans="1:9" ht="11.25" customHeight="1">
      <c r="A303" s="1774" t="s">
        <v>2245</v>
      </c>
      <c r="B303" s="1774" t="s">
        <v>16</v>
      </c>
      <c r="C303" s="1774" t="s">
        <v>3250</v>
      </c>
      <c r="D303" s="1774" t="s">
        <v>3251</v>
      </c>
      <c r="E303" s="1774" t="s">
        <v>3252</v>
      </c>
      <c r="F303" s="1774" t="s">
        <v>2535</v>
      </c>
      <c r="G303" s="1774" t="s">
        <v>22</v>
      </c>
      <c r="H303" s="1774" t="s">
        <v>22</v>
      </c>
      <c r="I303" s="1774" t="s">
        <v>807</v>
      </c>
    </row>
    <row r="304" spans="1:9" ht="11.25" customHeight="1">
      <c r="A304" s="1774" t="s">
        <v>2245</v>
      </c>
      <c r="B304" s="1774" t="s">
        <v>16</v>
      </c>
      <c r="C304" s="1774" t="s">
        <v>3253</v>
      </c>
      <c r="D304" s="1774" t="s">
        <v>3254</v>
      </c>
      <c r="E304" s="1774" t="s">
        <v>3255</v>
      </c>
      <c r="F304" s="1774" t="s">
        <v>2372</v>
      </c>
      <c r="G304" s="1774" t="s">
        <v>22</v>
      </c>
      <c r="H304" s="1774" t="s">
        <v>22</v>
      </c>
      <c r="I304" s="1774" t="s">
        <v>807</v>
      </c>
    </row>
    <row r="305" spans="1:9" ht="11.25" customHeight="1">
      <c r="A305" s="1774" t="s">
        <v>2245</v>
      </c>
      <c r="B305" s="1774" t="s">
        <v>16</v>
      </c>
      <c r="C305" s="1774" t="s">
        <v>3256</v>
      </c>
      <c r="D305" s="1774" t="s">
        <v>3257</v>
      </c>
      <c r="E305" s="1774" t="s">
        <v>3258</v>
      </c>
      <c r="F305" s="1774" t="s">
        <v>2253</v>
      </c>
      <c r="G305" s="1774" t="s">
        <v>22</v>
      </c>
      <c r="H305" s="1774" t="s">
        <v>22</v>
      </c>
      <c r="I305" s="1774" t="s">
        <v>807</v>
      </c>
    </row>
    <row r="306" spans="1:9" ht="11.25" customHeight="1">
      <c r="A306" s="1774" t="s">
        <v>2245</v>
      </c>
      <c r="B306" s="1774" t="s">
        <v>16</v>
      </c>
      <c r="C306" s="1774" t="s">
        <v>3259</v>
      </c>
      <c r="D306" s="1774" t="s">
        <v>3260</v>
      </c>
      <c r="E306" s="1774" t="s">
        <v>3261</v>
      </c>
      <c r="F306" s="1774" t="s">
        <v>2892</v>
      </c>
      <c r="G306" s="1774" t="s">
        <v>22</v>
      </c>
      <c r="H306" s="1774" t="s">
        <v>22</v>
      </c>
      <c r="I306" s="1774" t="s">
        <v>807</v>
      </c>
    </row>
    <row r="307" spans="1:9" ht="11.25" customHeight="1">
      <c r="A307" s="1774" t="s">
        <v>2245</v>
      </c>
      <c r="B307" s="1774" t="s">
        <v>16</v>
      </c>
      <c r="C307" s="1774" t="s">
        <v>3262</v>
      </c>
      <c r="D307" s="1774" t="s">
        <v>3263</v>
      </c>
      <c r="E307" s="1774" t="s">
        <v>3264</v>
      </c>
      <c r="F307" s="1774" t="s">
        <v>2306</v>
      </c>
      <c r="G307" s="1774" t="s">
        <v>22</v>
      </c>
      <c r="H307" s="1774" t="s">
        <v>22</v>
      </c>
      <c r="I307" s="1774" t="s">
        <v>807</v>
      </c>
    </row>
    <row r="308" spans="1:9" ht="11.25" customHeight="1">
      <c r="A308" s="1774" t="s">
        <v>2245</v>
      </c>
      <c r="B308" s="1774" t="s">
        <v>16</v>
      </c>
      <c r="C308" s="1774" t="s">
        <v>3265</v>
      </c>
      <c r="D308" s="1774" t="s">
        <v>3266</v>
      </c>
      <c r="E308" s="1774" t="s">
        <v>3267</v>
      </c>
      <c r="F308" s="1774" t="s">
        <v>2892</v>
      </c>
      <c r="G308" s="1774" t="s">
        <v>3268</v>
      </c>
      <c r="H308" s="1774" t="s">
        <v>22</v>
      </c>
      <c r="I308" s="1774" t="s">
        <v>807</v>
      </c>
    </row>
    <row r="309" spans="1:9" ht="11.25" customHeight="1">
      <c r="A309" s="1774" t="s">
        <v>2245</v>
      </c>
      <c r="B309" s="1774" t="s">
        <v>16</v>
      </c>
      <c r="C309" s="1774" t="s">
        <v>3269</v>
      </c>
      <c r="D309" s="1774" t="s">
        <v>3270</v>
      </c>
      <c r="E309" s="1774" t="s">
        <v>3271</v>
      </c>
      <c r="F309" s="1774" t="s">
        <v>2270</v>
      </c>
      <c r="G309" s="1774" t="s">
        <v>22</v>
      </c>
      <c r="H309" s="1774" t="s">
        <v>22</v>
      </c>
      <c r="I309" s="1774" t="s">
        <v>807</v>
      </c>
    </row>
    <row r="310" spans="1:9" ht="11.25" customHeight="1">
      <c r="A310" s="1774" t="s">
        <v>2245</v>
      </c>
      <c r="B310" s="1774" t="s">
        <v>16</v>
      </c>
      <c r="C310" s="1774" t="s">
        <v>3272</v>
      </c>
      <c r="D310" s="1774" t="s">
        <v>3273</v>
      </c>
      <c r="E310" s="1774" t="s">
        <v>3274</v>
      </c>
      <c r="F310" s="1774" t="s">
        <v>2327</v>
      </c>
      <c r="G310" s="1774" t="s">
        <v>22</v>
      </c>
      <c r="H310" s="1774" t="s">
        <v>22</v>
      </c>
      <c r="I310" s="1774" t="s">
        <v>807</v>
      </c>
    </row>
    <row r="311" spans="1:9" ht="11.25" customHeight="1">
      <c r="A311" s="1774" t="s">
        <v>2245</v>
      </c>
      <c r="B311" s="1774" t="s">
        <v>16</v>
      </c>
      <c r="C311" s="1774" t="s">
        <v>3275</v>
      </c>
      <c r="D311" s="1774" t="s">
        <v>3276</v>
      </c>
      <c r="E311" s="1774" t="s">
        <v>3277</v>
      </c>
      <c r="F311" s="1774" t="s">
        <v>2298</v>
      </c>
      <c r="G311" s="1774" t="s">
        <v>22</v>
      </c>
      <c r="H311" s="1774" t="s">
        <v>22</v>
      </c>
      <c r="I311" s="1774" t="s">
        <v>807</v>
      </c>
    </row>
    <row r="312" spans="1:9" ht="11.25" customHeight="1">
      <c r="A312" s="1774" t="s">
        <v>2245</v>
      </c>
      <c r="B312" s="1774" t="s">
        <v>16</v>
      </c>
      <c r="C312" s="1774" t="s">
        <v>3278</v>
      </c>
      <c r="D312" s="1774" t="s">
        <v>3279</v>
      </c>
      <c r="E312" s="1774" t="s">
        <v>3280</v>
      </c>
      <c r="F312" s="1774" t="s">
        <v>2386</v>
      </c>
      <c r="G312" s="1774" t="s">
        <v>22</v>
      </c>
      <c r="H312" s="1774" t="s">
        <v>22</v>
      </c>
      <c r="I312" s="1774" t="s">
        <v>807</v>
      </c>
    </row>
    <row r="313" spans="1:9" ht="11.25" customHeight="1">
      <c r="A313" s="1774" t="s">
        <v>2245</v>
      </c>
      <c r="B313" s="1774" t="s">
        <v>16</v>
      </c>
      <c r="C313" s="1774" t="s">
        <v>3281</v>
      </c>
      <c r="D313" s="1774" t="s">
        <v>3282</v>
      </c>
      <c r="E313" s="1774" t="s">
        <v>3283</v>
      </c>
      <c r="F313" s="1774" t="s">
        <v>2280</v>
      </c>
      <c r="G313" s="1774" t="s">
        <v>22</v>
      </c>
      <c r="H313" s="1774" t="s">
        <v>3284</v>
      </c>
      <c r="I313" s="1774" t="s">
        <v>807</v>
      </c>
    </row>
    <row r="314" spans="1:9" ht="11.25" customHeight="1">
      <c r="A314" s="1774" t="s">
        <v>2245</v>
      </c>
      <c r="B314" s="1774" t="s">
        <v>16</v>
      </c>
      <c r="C314" s="1774" t="s">
        <v>3285</v>
      </c>
      <c r="D314" s="1774" t="s">
        <v>3286</v>
      </c>
      <c r="E314" s="1774" t="s">
        <v>3287</v>
      </c>
      <c r="F314" s="1774" t="s">
        <v>2634</v>
      </c>
      <c r="G314" s="1774" t="s">
        <v>22</v>
      </c>
      <c r="H314" s="1774" t="s">
        <v>22</v>
      </c>
      <c r="I314" s="1774" t="s">
        <v>807</v>
      </c>
    </row>
    <row r="315" spans="1:9" ht="11.25" customHeight="1">
      <c r="A315" s="1774" t="s">
        <v>2245</v>
      </c>
      <c r="B315" s="1774" t="s">
        <v>16</v>
      </c>
      <c r="C315" s="1774" t="s">
        <v>3288</v>
      </c>
      <c r="D315" s="1774" t="s">
        <v>3289</v>
      </c>
      <c r="E315" s="1774" t="s">
        <v>3290</v>
      </c>
      <c r="F315" s="1774" t="s">
        <v>2697</v>
      </c>
      <c r="G315" s="1774" t="s">
        <v>22</v>
      </c>
      <c r="H315" s="1774" t="s">
        <v>3291</v>
      </c>
      <c r="I315" s="1774" t="s">
        <v>807</v>
      </c>
    </row>
    <row r="316" spans="1:9" ht="11.25" customHeight="1">
      <c r="A316" s="1774" t="s">
        <v>2245</v>
      </c>
      <c r="B316" s="1774" t="s">
        <v>16</v>
      </c>
      <c r="C316" s="1774" t="s">
        <v>3292</v>
      </c>
      <c r="D316" s="1774" t="s">
        <v>3293</v>
      </c>
      <c r="E316" s="1774" t="s">
        <v>3294</v>
      </c>
      <c r="F316" s="1774" t="s">
        <v>2372</v>
      </c>
      <c r="G316" s="1774" t="s">
        <v>22</v>
      </c>
      <c r="H316" s="1774" t="s">
        <v>22</v>
      </c>
      <c r="I316" s="1774" t="s">
        <v>807</v>
      </c>
    </row>
    <row r="317" spans="1:9" ht="11.25" customHeight="1">
      <c r="A317" s="1774" t="s">
        <v>2245</v>
      </c>
      <c r="B317" s="1774" t="s">
        <v>16</v>
      </c>
      <c r="C317" s="1774" t="s">
        <v>3295</v>
      </c>
      <c r="D317" s="1774" t="s">
        <v>3296</v>
      </c>
      <c r="E317" s="1774" t="s">
        <v>3297</v>
      </c>
      <c r="F317" s="1774" t="s">
        <v>2630</v>
      </c>
      <c r="G317" s="1774" t="s">
        <v>22</v>
      </c>
      <c r="H317" s="1774" t="s">
        <v>22</v>
      </c>
      <c r="I317" s="1774" t="s">
        <v>807</v>
      </c>
    </row>
    <row r="318" spans="1:9" ht="11.25" customHeight="1">
      <c r="A318" s="1774" t="s">
        <v>2245</v>
      </c>
      <c r="B318" s="1774" t="s">
        <v>16</v>
      </c>
      <c r="C318" s="1774" t="s">
        <v>3298</v>
      </c>
      <c r="D318" s="1774" t="s">
        <v>3299</v>
      </c>
      <c r="E318" s="1774" t="s">
        <v>3300</v>
      </c>
      <c r="F318" s="1774" t="s">
        <v>3301</v>
      </c>
      <c r="G318" s="1774" t="s">
        <v>22</v>
      </c>
      <c r="H318" s="1774" t="s">
        <v>22</v>
      </c>
      <c r="I318" s="1774" t="s">
        <v>807</v>
      </c>
    </row>
    <row r="319" spans="1:9" ht="11.25" customHeight="1">
      <c r="A319" s="1774" t="s">
        <v>2245</v>
      </c>
      <c r="B319" s="1774" t="s">
        <v>16</v>
      </c>
      <c r="C319" s="1774" t="s">
        <v>3302</v>
      </c>
      <c r="D319" s="1774" t="s">
        <v>3303</v>
      </c>
      <c r="E319" s="1774" t="s">
        <v>3304</v>
      </c>
      <c r="F319" s="1774" t="s">
        <v>3305</v>
      </c>
      <c r="G319" s="1774" t="s">
        <v>22</v>
      </c>
      <c r="H319" s="1774" t="s">
        <v>22</v>
      </c>
      <c r="I319" s="1774" t="s">
        <v>807</v>
      </c>
    </row>
    <row r="320" spans="1:9" ht="11.25" customHeight="1">
      <c r="A320" s="1774" t="s">
        <v>2245</v>
      </c>
      <c r="B320" s="1774" t="s">
        <v>16</v>
      </c>
      <c r="C320" s="1774" t="s">
        <v>3306</v>
      </c>
      <c r="D320" s="1774" t="s">
        <v>3307</v>
      </c>
      <c r="E320" s="1774" t="s">
        <v>3308</v>
      </c>
      <c r="F320" s="1774" t="s">
        <v>3309</v>
      </c>
      <c r="G320" s="1774" t="s">
        <v>22</v>
      </c>
      <c r="H320" s="1774" t="s">
        <v>22</v>
      </c>
      <c r="I320" s="1774" t="s">
        <v>807</v>
      </c>
    </row>
    <row r="321" spans="1:9" ht="11.25" customHeight="1">
      <c r="A321" s="1774" t="s">
        <v>2245</v>
      </c>
      <c r="B321" s="1774" t="s">
        <v>16</v>
      </c>
      <c r="C321" s="1774" t="s">
        <v>3310</v>
      </c>
      <c r="D321" s="1774" t="s">
        <v>3311</v>
      </c>
      <c r="E321" s="1774" t="s">
        <v>3312</v>
      </c>
      <c r="F321" s="1774" t="s">
        <v>2261</v>
      </c>
      <c r="G321" s="1774" t="s">
        <v>22</v>
      </c>
      <c r="H321" s="1774" t="s">
        <v>22</v>
      </c>
      <c r="I321" s="1774" t="s">
        <v>807</v>
      </c>
    </row>
    <row r="322" spans="1:9" ht="11.25" customHeight="1">
      <c r="A322" s="1774" t="s">
        <v>2245</v>
      </c>
      <c r="B322" s="1774" t="s">
        <v>16</v>
      </c>
      <c r="C322" s="1774" t="s">
        <v>3313</v>
      </c>
      <c r="D322" s="1774" t="s">
        <v>3314</v>
      </c>
      <c r="E322" s="1774" t="s">
        <v>3315</v>
      </c>
      <c r="F322" s="1774" t="s">
        <v>2348</v>
      </c>
      <c r="G322" s="1774" t="s">
        <v>22</v>
      </c>
      <c r="H322" s="1774" t="s">
        <v>22</v>
      </c>
      <c r="I322" s="1774" t="s">
        <v>807</v>
      </c>
    </row>
    <row r="323" spans="1:9" ht="11.25" customHeight="1">
      <c r="A323" s="1774" t="s">
        <v>2245</v>
      </c>
      <c r="B323" s="1774" t="s">
        <v>16</v>
      </c>
      <c r="C323" s="1774" t="s">
        <v>3316</v>
      </c>
      <c r="D323" s="1774" t="s">
        <v>3317</v>
      </c>
      <c r="E323" s="1774" t="s">
        <v>3318</v>
      </c>
      <c r="F323" s="1774" t="s">
        <v>3319</v>
      </c>
      <c r="G323" s="1774" t="s">
        <v>22</v>
      </c>
      <c r="H323" s="1774" t="s">
        <v>22</v>
      </c>
      <c r="I323" s="1774" t="s">
        <v>807</v>
      </c>
    </row>
    <row r="324" spans="1:9" ht="11.25" customHeight="1">
      <c r="A324" s="1774" t="s">
        <v>2245</v>
      </c>
      <c r="B324" s="1774" t="s">
        <v>16</v>
      </c>
      <c r="C324" s="1774" t="s">
        <v>3320</v>
      </c>
      <c r="D324" s="1774" t="s">
        <v>3321</v>
      </c>
      <c r="E324" s="1774" t="s">
        <v>3322</v>
      </c>
      <c r="F324" s="1774" t="s">
        <v>2327</v>
      </c>
      <c r="G324" s="1774" t="s">
        <v>22</v>
      </c>
      <c r="H324" s="1774" t="s">
        <v>22</v>
      </c>
      <c r="I324" s="1774" t="s">
        <v>807</v>
      </c>
    </row>
    <row r="325" spans="1:9" ht="11.25" customHeight="1">
      <c r="A325" s="1774" t="s">
        <v>2245</v>
      </c>
      <c r="B325" s="1774" t="s">
        <v>16</v>
      </c>
      <c r="C325" s="1774" t="s">
        <v>3323</v>
      </c>
      <c r="D325" s="1774" t="s">
        <v>3324</v>
      </c>
      <c r="E325" s="1774" t="s">
        <v>3325</v>
      </c>
      <c r="F325" s="1774" t="s">
        <v>2253</v>
      </c>
      <c r="G325" s="1774" t="s">
        <v>3326</v>
      </c>
      <c r="H325" s="1774" t="s">
        <v>22</v>
      </c>
      <c r="I325" s="1774" t="s">
        <v>807</v>
      </c>
    </row>
    <row r="326" spans="1:9" ht="11.25" customHeight="1">
      <c r="A326" s="1774" t="s">
        <v>2245</v>
      </c>
      <c r="B326" s="1774" t="s">
        <v>16</v>
      </c>
      <c r="C326" s="1774" t="s">
        <v>3327</v>
      </c>
      <c r="D326" s="1774" t="s">
        <v>3328</v>
      </c>
      <c r="E326" s="1774" t="s">
        <v>3329</v>
      </c>
      <c r="F326" s="1774" t="s">
        <v>2306</v>
      </c>
      <c r="G326" s="1774" t="s">
        <v>22</v>
      </c>
      <c r="H326" s="1774" t="s">
        <v>22</v>
      </c>
      <c r="I326" s="1774" t="s">
        <v>807</v>
      </c>
    </row>
    <row r="327" spans="1:9" ht="11.25" customHeight="1">
      <c r="A327" s="1774" t="s">
        <v>2245</v>
      </c>
      <c r="B327" s="1774" t="s">
        <v>16</v>
      </c>
      <c r="C327" s="1774" t="s">
        <v>3330</v>
      </c>
      <c r="D327" s="1774" t="s">
        <v>3331</v>
      </c>
      <c r="E327" s="1774" t="s">
        <v>3332</v>
      </c>
      <c r="F327" s="1774" t="s">
        <v>2508</v>
      </c>
      <c r="G327" s="1774" t="s">
        <v>22</v>
      </c>
      <c r="H327" s="1774" t="s">
        <v>22</v>
      </c>
      <c r="I327" s="1774" t="s">
        <v>807</v>
      </c>
    </row>
    <row r="328" spans="1:9" ht="11.25" customHeight="1">
      <c r="A328" s="1774" t="s">
        <v>2245</v>
      </c>
      <c r="B328" s="1774" t="s">
        <v>16</v>
      </c>
      <c r="C328" s="1774" t="s">
        <v>3333</v>
      </c>
      <c r="D328" s="1774" t="s">
        <v>3334</v>
      </c>
      <c r="E328" s="1774" t="s">
        <v>3335</v>
      </c>
      <c r="F328" s="1774" t="s">
        <v>2542</v>
      </c>
      <c r="G328" s="1774" t="s">
        <v>22</v>
      </c>
      <c r="H328" s="1774" t="s">
        <v>22</v>
      </c>
      <c r="I328" s="1774" t="s">
        <v>807</v>
      </c>
    </row>
    <row r="329" spans="1:9" ht="11.25" customHeight="1">
      <c r="A329" s="1774" t="s">
        <v>2245</v>
      </c>
      <c r="B329" s="1774" t="s">
        <v>16</v>
      </c>
      <c r="C329" s="1774" t="s">
        <v>3336</v>
      </c>
      <c r="D329" s="1774" t="s">
        <v>3337</v>
      </c>
      <c r="E329" s="1774" t="s">
        <v>3338</v>
      </c>
      <c r="F329" s="1774" t="s">
        <v>2666</v>
      </c>
      <c r="G329" s="1774" t="s">
        <v>22</v>
      </c>
      <c r="H329" s="1774" t="s">
        <v>22</v>
      </c>
      <c r="I329" s="1774" t="s">
        <v>807</v>
      </c>
    </row>
    <row r="330" spans="1:9" ht="11.25" customHeight="1">
      <c r="A330" s="1774" t="s">
        <v>2245</v>
      </c>
      <c r="B330" s="1774" t="s">
        <v>16</v>
      </c>
      <c r="C330" s="1774" t="s">
        <v>3339</v>
      </c>
      <c r="D330" s="1774" t="s">
        <v>3340</v>
      </c>
      <c r="E330" s="1774" t="s">
        <v>3341</v>
      </c>
      <c r="F330" s="1774" t="s">
        <v>2261</v>
      </c>
      <c r="G330" s="1774" t="s">
        <v>22</v>
      </c>
      <c r="H330" s="1774" t="s">
        <v>22</v>
      </c>
      <c r="I330" s="1774" t="s">
        <v>807</v>
      </c>
    </row>
    <row r="331" spans="1:9" ht="11.25" customHeight="1">
      <c r="A331" s="1774" t="s">
        <v>2245</v>
      </c>
      <c r="B331" s="1774" t="s">
        <v>16</v>
      </c>
      <c r="C331" s="1774" t="s">
        <v>3342</v>
      </c>
      <c r="D331" s="1774" t="s">
        <v>3343</v>
      </c>
      <c r="E331" s="1774" t="s">
        <v>3344</v>
      </c>
      <c r="F331" s="1774" t="s">
        <v>2415</v>
      </c>
      <c r="G331" s="1774" t="s">
        <v>22</v>
      </c>
      <c r="H331" s="1774" t="s">
        <v>22</v>
      </c>
      <c r="I331" s="1774" t="s">
        <v>807</v>
      </c>
    </row>
    <row r="332" spans="1:9" ht="11.25" customHeight="1">
      <c r="A332" s="1774" t="s">
        <v>2245</v>
      </c>
      <c r="B332" s="1774" t="s">
        <v>16</v>
      </c>
      <c r="C332" s="1774" t="s">
        <v>3345</v>
      </c>
      <c r="D332" s="1774" t="s">
        <v>3346</v>
      </c>
      <c r="E332" s="1774" t="s">
        <v>3347</v>
      </c>
      <c r="F332" s="1774" t="s">
        <v>2253</v>
      </c>
      <c r="G332" s="1774" t="s">
        <v>22</v>
      </c>
      <c r="H332" s="1774" t="s">
        <v>22</v>
      </c>
      <c r="I332" s="1774" t="s">
        <v>807</v>
      </c>
    </row>
    <row r="333" spans="1:9" ht="11.25" customHeight="1">
      <c r="A333" s="1774" t="s">
        <v>2245</v>
      </c>
      <c r="B333" s="1774" t="s">
        <v>16</v>
      </c>
      <c r="C333" s="1774" t="s">
        <v>3348</v>
      </c>
      <c r="D333" s="1774" t="s">
        <v>3349</v>
      </c>
      <c r="E333" s="1774" t="s">
        <v>3350</v>
      </c>
      <c r="F333" s="1774" t="s">
        <v>3351</v>
      </c>
      <c r="G333" s="1774" t="s">
        <v>3352</v>
      </c>
      <c r="H333" s="1774" t="s">
        <v>22</v>
      </c>
      <c r="I333" s="1774" t="s">
        <v>807</v>
      </c>
    </row>
    <row r="334" spans="1:9" ht="11.25" customHeight="1">
      <c r="A334" s="1774" t="s">
        <v>2245</v>
      </c>
      <c r="B334" s="1774" t="s">
        <v>16</v>
      </c>
      <c r="C334" s="1774" t="s">
        <v>3353</v>
      </c>
      <c r="D334" s="1774" t="s">
        <v>3354</v>
      </c>
      <c r="E334" s="1774" t="s">
        <v>3355</v>
      </c>
      <c r="F334" s="1774" t="s">
        <v>2686</v>
      </c>
      <c r="G334" s="1774" t="s">
        <v>3356</v>
      </c>
      <c r="H334" s="1774" t="s">
        <v>22</v>
      </c>
      <c r="I334" s="1774" t="s">
        <v>807</v>
      </c>
    </row>
    <row r="335" spans="1:9" ht="11.25" customHeight="1">
      <c r="A335" s="1774" t="s">
        <v>2245</v>
      </c>
      <c r="B335" s="1774" t="s">
        <v>16</v>
      </c>
      <c r="C335" s="1774" t="s">
        <v>3357</v>
      </c>
      <c r="D335" s="1774" t="s">
        <v>3358</v>
      </c>
      <c r="E335" s="1774" t="s">
        <v>3359</v>
      </c>
      <c r="F335" s="1774" t="s">
        <v>2253</v>
      </c>
      <c r="G335" s="1774" t="s">
        <v>22</v>
      </c>
      <c r="H335" s="1774" t="s">
        <v>22</v>
      </c>
      <c r="I335" s="1774" t="s">
        <v>807</v>
      </c>
    </row>
    <row r="336" spans="1:9" ht="11.25" customHeight="1">
      <c r="A336" s="1774" t="s">
        <v>2245</v>
      </c>
      <c r="B336" s="1774" t="s">
        <v>16</v>
      </c>
      <c r="C336" s="1774" t="s">
        <v>3360</v>
      </c>
      <c r="D336" s="1774" t="s">
        <v>3361</v>
      </c>
      <c r="E336" s="1774" t="s">
        <v>3362</v>
      </c>
      <c r="F336" s="1774" t="s">
        <v>2253</v>
      </c>
      <c r="G336" s="1774" t="s">
        <v>22</v>
      </c>
      <c r="H336" s="1774" t="s">
        <v>22</v>
      </c>
      <c r="I336" s="1774" t="s">
        <v>807</v>
      </c>
    </row>
    <row r="337" spans="1:9" ht="11.25" customHeight="1">
      <c r="A337" s="1774" t="s">
        <v>2245</v>
      </c>
      <c r="B337" s="1774" t="s">
        <v>16</v>
      </c>
      <c r="C337" s="1774" t="s">
        <v>3363</v>
      </c>
      <c r="D337" s="1774" t="s">
        <v>3364</v>
      </c>
      <c r="E337" s="1774" t="s">
        <v>3365</v>
      </c>
      <c r="F337" s="1774" t="s">
        <v>2535</v>
      </c>
      <c r="G337" s="1774" t="s">
        <v>22</v>
      </c>
      <c r="H337" s="1774" t="s">
        <v>22</v>
      </c>
      <c r="I337" s="1774" t="s">
        <v>807</v>
      </c>
    </row>
    <row r="338" spans="1:9" ht="11.25" customHeight="1">
      <c r="A338" s="1774" t="s">
        <v>2245</v>
      </c>
      <c r="B338" s="1774" t="s">
        <v>16</v>
      </c>
      <c r="C338" s="1774" t="s">
        <v>3366</v>
      </c>
      <c r="D338" s="1774" t="s">
        <v>3367</v>
      </c>
      <c r="E338" s="1774" t="s">
        <v>3368</v>
      </c>
      <c r="F338" s="1774" t="s">
        <v>51</v>
      </c>
      <c r="G338" s="1774" t="s">
        <v>22</v>
      </c>
      <c r="H338" s="1774" t="s">
        <v>22</v>
      </c>
      <c r="I338" s="1774" t="s">
        <v>807</v>
      </c>
    </row>
    <row r="339" spans="1:9" ht="11.25" customHeight="1">
      <c r="A339" s="1774" t="s">
        <v>2245</v>
      </c>
      <c r="B339" s="1774" t="s">
        <v>16</v>
      </c>
      <c r="C339" s="1774" t="s">
        <v>3369</v>
      </c>
      <c r="D339" s="1774" t="s">
        <v>3370</v>
      </c>
      <c r="E339" s="1774" t="s">
        <v>3371</v>
      </c>
      <c r="F339" s="1774" t="s">
        <v>2450</v>
      </c>
      <c r="G339" s="1774" t="s">
        <v>22</v>
      </c>
      <c r="H339" s="1774" t="s">
        <v>22</v>
      </c>
      <c r="I339" s="1774" t="s">
        <v>807</v>
      </c>
    </row>
    <row r="340" spans="1:9" ht="11.25" customHeight="1">
      <c r="A340" s="1774" t="s">
        <v>2245</v>
      </c>
      <c r="B340" s="1774" t="s">
        <v>16</v>
      </c>
      <c r="C340" s="1774" t="s">
        <v>3372</v>
      </c>
      <c r="D340" s="1774" t="s">
        <v>3373</v>
      </c>
      <c r="E340" s="1774" t="s">
        <v>3374</v>
      </c>
      <c r="F340" s="1774" t="s">
        <v>2317</v>
      </c>
      <c r="G340" s="1774" t="s">
        <v>22</v>
      </c>
      <c r="H340" s="1774" t="s">
        <v>22</v>
      </c>
      <c r="I340" s="1774" t="s">
        <v>807</v>
      </c>
    </row>
    <row r="341" spans="1:9" ht="11.25" customHeight="1">
      <c r="A341" s="1774" t="s">
        <v>2245</v>
      </c>
      <c r="B341" s="1774" t="s">
        <v>16</v>
      </c>
      <c r="C341" s="1774" t="s">
        <v>3375</v>
      </c>
      <c r="D341" s="1774" t="s">
        <v>3376</v>
      </c>
      <c r="E341" s="1774" t="s">
        <v>3377</v>
      </c>
      <c r="F341" s="1774" t="s">
        <v>51</v>
      </c>
      <c r="G341" s="1774" t="s">
        <v>22</v>
      </c>
      <c r="H341" s="1774" t="s">
        <v>22</v>
      </c>
      <c r="I341" s="1774" t="s">
        <v>807</v>
      </c>
    </row>
    <row r="342" spans="1:9" ht="11.25" customHeight="1">
      <c r="A342" s="1774" t="s">
        <v>2245</v>
      </c>
      <c r="B342" s="1774" t="s">
        <v>16</v>
      </c>
      <c r="C342" s="1774" t="s">
        <v>3378</v>
      </c>
      <c r="D342" s="1774" t="s">
        <v>3379</v>
      </c>
      <c r="E342" s="1774" t="s">
        <v>3380</v>
      </c>
      <c r="F342" s="1774" t="s">
        <v>2386</v>
      </c>
      <c r="G342" s="1774" t="s">
        <v>22</v>
      </c>
      <c r="H342" s="1774" t="s">
        <v>22</v>
      </c>
      <c r="I342" s="1774" t="s">
        <v>807</v>
      </c>
    </row>
    <row r="343" spans="1:9" ht="11.25" customHeight="1">
      <c r="A343" s="1774" t="s">
        <v>2245</v>
      </c>
      <c r="B343" s="1774" t="s">
        <v>16</v>
      </c>
      <c r="C343" s="1774" t="s">
        <v>3381</v>
      </c>
      <c r="D343" s="1774" t="s">
        <v>3382</v>
      </c>
      <c r="E343" s="1774" t="s">
        <v>3383</v>
      </c>
      <c r="F343" s="1774" t="s">
        <v>2686</v>
      </c>
      <c r="G343" s="1774" t="s">
        <v>22</v>
      </c>
      <c r="H343" s="1774" t="s">
        <v>22</v>
      </c>
      <c r="I343" s="1774" t="s">
        <v>807</v>
      </c>
    </row>
    <row r="344" spans="1:9" ht="11.25" customHeight="1">
      <c r="A344" s="1774" t="s">
        <v>2245</v>
      </c>
      <c r="B344" s="1774" t="s">
        <v>16</v>
      </c>
      <c r="C344" s="1774" t="s">
        <v>3384</v>
      </c>
      <c r="D344" s="1774" t="s">
        <v>3385</v>
      </c>
      <c r="E344" s="1774" t="s">
        <v>3386</v>
      </c>
      <c r="F344" s="1774" t="s">
        <v>2478</v>
      </c>
      <c r="G344" s="1774" t="s">
        <v>22</v>
      </c>
      <c r="H344" s="1774" t="s">
        <v>22</v>
      </c>
      <c r="I344" s="1774" t="s">
        <v>807</v>
      </c>
    </row>
    <row r="345" spans="1:9" ht="11.25" customHeight="1">
      <c r="A345" s="1774" t="s">
        <v>2245</v>
      </c>
      <c r="B345" s="1774" t="s">
        <v>16</v>
      </c>
      <c r="C345" s="1774" t="s">
        <v>3387</v>
      </c>
      <c r="D345" s="1774" t="s">
        <v>3388</v>
      </c>
      <c r="E345" s="1774" t="s">
        <v>3389</v>
      </c>
      <c r="F345" s="1774" t="s">
        <v>2253</v>
      </c>
      <c r="G345" s="1774" t="s">
        <v>22</v>
      </c>
      <c r="H345" s="1774" t="s">
        <v>22</v>
      </c>
      <c r="I345" s="1774" t="s">
        <v>807</v>
      </c>
    </row>
    <row r="346" spans="1:9" ht="11.25" customHeight="1">
      <c r="A346" s="1774" t="s">
        <v>2245</v>
      </c>
      <c r="B346" s="1774" t="s">
        <v>16</v>
      </c>
      <c r="C346" s="1774" t="s">
        <v>3390</v>
      </c>
      <c r="D346" s="1774" t="s">
        <v>3391</v>
      </c>
      <c r="E346" s="1774" t="s">
        <v>3392</v>
      </c>
      <c r="F346" s="1774" t="s">
        <v>2313</v>
      </c>
      <c r="G346" s="1774" t="s">
        <v>22</v>
      </c>
      <c r="H346" s="1774" t="s">
        <v>22</v>
      </c>
      <c r="I346" s="1774" t="s">
        <v>807</v>
      </c>
    </row>
    <row r="347" spans="1:9" ht="11.25" customHeight="1">
      <c r="A347" s="1774" t="s">
        <v>2245</v>
      </c>
      <c r="B347" s="1774" t="s">
        <v>16</v>
      </c>
      <c r="C347" s="1774" t="s">
        <v>3393</v>
      </c>
      <c r="D347" s="1774" t="s">
        <v>3394</v>
      </c>
      <c r="E347" s="1774" t="s">
        <v>3395</v>
      </c>
      <c r="F347" s="1774" t="s">
        <v>2964</v>
      </c>
      <c r="G347" s="1774" t="s">
        <v>22</v>
      </c>
      <c r="H347" s="1774" t="s">
        <v>22</v>
      </c>
      <c r="I347" s="1774" t="s">
        <v>807</v>
      </c>
    </row>
    <row r="348" spans="1:9" ht="11.25" customHeight="1">
      <c r="A348" s="1774" t="s">
        <v>2245</v>
      </c>
      <c r="B348" s="1774" t="s">
        <v>16</v>
      </c>
      <c r="C348" s="1774" t="s">
        <v>3396</v>
      </c>
      <c r="D348" s="1774" t="s">
        <v>3397</v>
      </c>
      <c r="E348" s="1774" t="s">
        <v>3398</v>
      </c>
      <c r="F348" s="1774" t="s">
        <v>2298</v>
      </c>
      <c r="G348" s="1774" t="s">
        <v>22</v>
      </c>
      <c r="H348" s="1774" t="s">
        <v>22</v>
      </c>
      <c r="I348" s="1774" t="s">
        <v>807</v>
      </c>
    </row>
    <row r="349" spans="1:9" ht="11.25" customHeight="1">
      <c r="A349" s="1774" t="s">
        <v>2245</v>
      </c>
      <c r="B349" s="1774" t="s">
        <v>16</v>
      </c>
      <c r="C349" s="1774" t="s">
        <v>3399</v>
      </c>
      <c r="D349" s="1774" t="s">
        <v>3400</v>
      </c>
      <c r="E349" s="1774" t="s">
        <v>3401</v>
      </c>
      <c r="F349" s="1774" t="s">
        <v>2306</v>
      </c>
      <c r="G349" s="1774" t="s">
        <v>22</v>
      </c>
      <c r="H349" s="1774" t="s">
        <v>22</v>
      </c>
      <c r="I349" s="1774" t="s">
        <v>807</v>
      </c>
    </row>
    <row r="350" spans="1:9" ht="11.25" customHeight="1">
      <c r="A350" s="1774" t="s">
        <v>2245</v>
      </c>
      <c r="B350" s="1774" t="s">
        <v>16</v>
      </c>
      <c r="C350" s="1774" t="s">
        <v>3402</v>
      </c>
      <c r="D350" s="1774" t="s">
        <v>3403</v>
      </c>
      <c r="E350" s="1774" t="s">
        <v>3404</v>
      </c>
      <c r="F350" s="1774" t="s">
        <v>2892</v>
      </c>
      <c r="G350" s="1774" t="s">
        <v>22</v>
      </c>
      <c r="H350" s="1774" t="s">
        <v>22</v>
      </c>
      <c r="I350" s="1774" t="s">
        <v>807</v>
      </c>
    </row>
    <row r="351" spans="1:9" ht="11.25" customHeight="1">
      <c r="A351" s="1774" t="s">
        <v>2245</v>
      </c>
      <c r="B351" s="1774" t="s">
        <v>16</v>
      </c>
      <c r="C351" s="1774" t="s">
        <v>3405</v>
      </c>
      <c r="D351" s="1774" t="s">
        <v>3406</v>
      </c>
      <c r="E351" s="1774" t="s">
        <v>3407</v>
      </c>
      <c r="F351" s="1774" t="s">
        <v>51</v>
      </c>
      <c r="G351" s="1774" t="s">
        <v>22</v>
      </c>
      <c r="H351" s="1774" t="s">
        <v>22</v>
      </c>
      <c r="I351" s="1774" t="s">
        <v>807</v>
      </c>
    </row>
    <row r="352" spans="1:9" ht="11.25" customHeight="1">
      <c r="A352" s="1774" t="s">
        <v>2245</v>
      </c>
      <c r="B352" s="1774" t="s">
        <v>16</v>
      </c>
      <c r="C352" s="1774" t="s">
        <v>3408</v>
      </c>
      <c r="D352" s="1774" t="s">
        <v>3409</v>
      </c>
      <c r="E352" s="1774" t="s">
        <v>3410</v>
      </c>
      <c r="F352" s="1774" t="s">
        <v>2317</v>
      </c>
      <c r="G352" s="1774" t="s">
        <v>22</v>
      </c>
      <c r="H352" s="1774" t="s">
        <v>22</v>
      </c>
      <c r="I352" s="1774" t="s">
        <v>807</v>
      </c>
    </row>
    <row r="353" spans="1:9" ht="11.25" customHeight="1">
      <c r="A353" s="1774" t="s">
        <v>2245</v>
      </c>
      <c r="B353" s="1774" t="s">
        <v>16</v>
      </c>
      <c r="C353" s="1774" t="s">
        <v>3411</v>
      </c>
      <c r="D353" s="1774" t="s">
        <v>3412</v>
      </c>
      <c r="E353" s="1774" t="s">
        <v>3413</v>
      </c>
      <c r="F353" s="1774" t="s">
        <v>2280</v>
      </c>
      <c r="G353" s="1774" t="s">
        <v>22</v>
      </c>
      <c r="H353" s="1774" t="s">
        <v>22</v>
      </c>
      <c r="I353" s="1774" t="s">
        <v>807</v>
      </c>
    </row>
    <row r="354" spans="1:9" ht="11.25" customHeight="1">
      <c r="A354" s="1774" t="s">
        <v>2245</v>
      </c>
      <c r="B354" s="1774" t="s">
        <v>16</v>
      </c>
      <c r="C354" s="1774" t="s">
        <v>3414</v>
      </c>
      <c r="D354" s="1774" t="s">
        <v>3415</v>
      </c>
      <c r="E354" s="1774" t="s">
        <v>3416</v>
      </c>
      <c r="F354" s="1774" t="s">
        <v>3301</v>
      </c>
      <c r="G354" s="1774" t="s">
        <v>22</v>
      </c>
      <c r="H354" s="1774" t="s">
        <v>22</v>
      </c>
      <c r="I354" s="1774" t="s">
        <v>807</v>
      </c>
    </row>
    <row r="355" spans="1:9" ht="11.25" customHeight="1">
      <c r="A355" s="1774" t="s">
        <v>2245</v>
      </c>
      <c r="B355" s="1774" t="s">
        <v>16</v>
      </c>
      <c r="C355" s="1774" t="s">
        <v>3417</v>
      </c>
      <c r="D355" s="1774" t="s">
        <v>3418</v>
      </c>
      <c r="E355" s="1774" t="s">
        <v>3419</v>
      </c>
      <c r="F355" s="1774" t="s">
        <v>2816</v>
      </c>
      <c r="G355" s="1774" t="s">
        <v>22</v>
      </c>
      <c r="H355" s="1774" t="s">
        <v>22</v>
      </c>
      <c r="I355" s="1774" t="s">
        <v>807</v>
      </c>
    </row>
    <row r="356" spans="1:9" ht="11.25" customHeight="1">
      <c r="A356" s="1774" t="s">
        <v>2245</v>
      </c>
      <c r="B356" s="1774" t="s">
        <v>16</v>
      </c>
      <c r="C356" s="1774" t="s">
        <v>3420</v>
      </c>
      <c r="D356" s="1774" t="s">
        <v>3421</v>
      </c>
      <c r="E356" s="1774" t="s">
        <v>3422</v>
      </c>
      <c r="F356" s="1774" t="s">
        <v>2291</v>
      </c>
      <c r="G356" s="1774" t="s">
        <v>22</v>
      </c>
      <c r="H356" s="1774" t="s">
        <v>22</v>
      </c>
      <c r="I356" s="1774" t="s">
        <v>807</v>
      </c>
    </row>
    <row r="357" spans="1:9" ht="11.25" customHeight="1">
      <c r="A357" s="1774" t="s">
        <v>2245</v>
      </c>
      <c r="B357" s="1774" t="s">
        <v>16</v>
      </c>
      <c r="C357" s="1774" t="s">
        <v>3423</v>
      </c>
      <c r="D357" s="1774" t="s">
        <v>3424</v>
      </c>
      <c r="E357" s="1774" t="s">
        <v>3425</v>
      </c>
      <c r="F357" s="1774" t="s">
        <v>2867</v>
      </c>
      <c r="G357" s="1774" t="s">
        <v>22</v>
      </c>
      <c r="H357" s="1774" t="s">
        <v>22</v>
      </c>
      <c r="I357" s="1774" t="s">
        <v>807</v>
      </c>
    </row>
    <row r="358" spans="1:9" ht="11.25" customHeight="1">
      <c r="A358" s="1774" t="s">
        <v>2245</v>
      </c>
      <c r="B358" s="1774" t="s">
        <v>16</v>
      </c>
      <c r="C358" s="1774" t="s">
        <v>3426</v>
      </c>
      <c r="D358" s="1774" t="s">
        <v>3427</v>
      </c>
      <c r="E358" s="1774" t="s">
        <v>3428</v>
      </c>
      <c r="F358" s="1774" t="s">
        <v>2964</v>
      </c>
      <c r="G358" s="1774" t="s">
        <v>22</v>
      </c>
      <c r="H358" s="1774" t="s">
        <v>22</v>
      </c>
      <c r="I358" s="1774" t="s">
        <v>807</v>
      </c>
    </row>
    <row r="359" spans="1:9" ht="11.25" customHeight="1">
      <c r="A359" s="1774" t="s">
        <v>2245</v>
      </c>
      <c r="B359" s="1774" t="s">
        <v>16</v>
      </c>
      <c r="C359" s="1774" t="s">
        <v>3429</v>
      </c>
      <c r="D359" s="1774" t="s">
        <v>3430</v>
      </c>
      <c r="E359" s="1774" t="s">
        <v>3431</v>
      </c>
      <c r="F359" s="1774" t="s">
        <v>3432</v>
      </c>
      <c r="G359" s="1774" t="s">
        <v>3433</v>
      </c>
      <c r="H359" s="1774" t="s">
        <v>22</v>
      </c>
      <c r="I359" s="1774" t="s">
        <v>807</v>
      </c>
    </row>
    <row r="360" spans="1:9" ht="11.25" customHeight="1">
      <c r="A360" s="1774" t="s">
        <v>2245</v>
      </c>
      <c r="B360" s="1774" t="s">
        <v>16</v>
      </c>
      <c r="C360" s="1774" t="s">
        <v>3434</v>
      </c>
      <c r="D360" s="1774" t="s">
        <v>3435</v>
      </c>
      <c r="E360" s="1774" t="s">
        <v>3436</v>
      </c>
      <c r="F360" s="1774" t="s">
        <v>2280</v>
      </c>
      <c r="G360" s="1774" t="s">
        <v>22</v>
      </c>
      <c r="H360" s="1774" t="s">
        <v>22</v>
      </c>
      <c r="I360" s="1774" t="s">
        <v>807</v>
      </c>
    </row>
    <row r="361" spans="1:9" ht="11.25" customHeight="1">
      <c r="A361" s="1774" t="s">
        <v>2245</v>
      </c>
      <c r="B361" s="1774" t="s">
        <v>16</v>
      </c>
      <c r="C361" s="1774" t="s">
        <v>3437</v>
      </c>
      <c r="D361" s="1774" t="s">
        <v>3438</v>
      </c>
      <c r="E361" s="1774" t="s">
        <v>3439</v>
      </c>
      <c r="F361" s="1774" t="s">
        <v>2313</v>
      </c>
      <c r="G361" s="1774" t="s">
        <v>22</v>
      </c>
      <c r="H361" s="1774" t="s">
        <v>22</v>
      </c>
      <c r="I361" s="1774" t="s">
        <v>807</v>
      </c>
    </row>
    <row r="362" spans="1:9" ht="11.25" customHeight="1">
      <c r="A362" s="1774" t="s">
        <v>2245</v>
      </c>
      <c r="B362" s="1774" t="s">
        <v>16</v>
      </c>
      <c r="C362" s="1774" t="s">
        <v>3440</v>
      </c>
      <c r="D362" s="1774" t="s">
        <v>3441</v>
      </c>
      <c r="E362" s="1774" t="s">
        <v>3442</v>
      </c>
      <c r="F362" s="1774" t="s">
        <v>3443</v>
      </c>
      <c r="G362" s="1774" t="s">
        <v>22</v>
      </c>
      <c r="H362" s="1774" t="s">
        <v>22</v>
      </c>
      <c r="I362" s="1774" t="s">
        <v>807</v>
      </c>
    </row>
    <row r="363" spans="1:9" ht="11.25" customHeight="1">
      <c r="A363" s="1774" t="s">
        <v>2245</v>
      </c>
      <c r="B363" s="1774" t="s">
        <v>16</v>
      </c>
      <c r="C363" s="1774" t="s">
        <v>3444</v>
      </c>
      <c r="D363" s="1774" t="s">
        <v>3445</v>
      </c>
      <c r="E363" s="1774" t="s">
        <v>3446</v>
      </c>
      <c r="F363" s="1774" t="s">
        <v>2535</v>
      </c>
      <c r="G363" s="1774" t="s">
        <v>22</v>
      </c>
      <c r="H363" s="1774" t="s">
        <v>3447</v>
      </c>
      <c r="I363" s="1774" t="s">
        <v>807</v>
      </c>
    </row>
    <row r="364" spans="1:9" ht="11.25" customHeight="1">
      <c r="A364" s="1774" t="s">
        <v>2245</v>
      </c>
      <c r="B364" s="1774" t="s">
        <v>16</v>
      </c>
      <c r="C364" s="1774" t="s">
        <v>3448</v>
      </c>
      <c r="D364" s="1774" t="s">
        <v>3449</v>
      </c>
      <c r="E364" s="1774" t="s">
        <v>3450</v>
      </c>
      <c r="F364" s="1774" t="s">
        <v>2542</v>
      </c>
      <c r="G364" s="1774" t="s">
        <v>22</v>
      </c>
      <c r="H364" s="1774" t="s">
        <v>22</v>
      </c>
      <c r="I364" s="1774" t="s">
        <v>807</v>
      </c>
    </row>
    <row r="365" spans="1:9" ht="11.25" customHeight="1">
      <c r="A365" s="1774" t="s">
        <v>2245</v>
      </c>
      <c r="B365" s="1774" t="s">
        <v>16</v>
      </c>
      <c r="C365" s="1774" t="s">
        <v>3451</v>
      </c>
      <c r="D365" s="1774" t="s">
        <v>3452</v>
      </c>
      <c r="E365" s="1774" t="s">
        <v>3453</v>
      </c>
      <c r="F365" s="1774" t="s">
        <v>2298</v>
      </c>
      <c r="G365" s="1774" t="s">
        <v>22</v>
      </c>
      <c r="H365" s="1774" t="s">
        <v>22</v>
      </c>
      <c r="I365" s="1774" t="s">
        <v>807</v>
      </c>
    </row>
    <row r="366" spans="1:9" ht="11.25" customHeight="1">
      <c r="A366" s="1774" t="s">
        <v>2245</v>
      </c>
      <c r="B366" s="1774" t="s">
        <v>16</v>
      </c>
      <c r="C366" s="1774" t="s">
        <v>3454</v>
      </c>
      <c r="D366" s="1774" t="s">
        <v>3455</v>
      </c>
      <c r="E366" s="1774" t="s">
        <v>3456</v>
      </c>
      <c r="F366" s="1774" t="s">
        <v>2386</v>
      </c>
      <c r="G366" s="1774" t="s">
        <v>22</v>
      </c>
      <c r="H366" s="1774" t="s">
        <v>22</v>
      </c>
      <c r="I366" s="1774" t="s">
        <v>807</v>
      </c>
    </row>
    <row r="367" spans="1:9" ht="11.25" customHeight="1">
      <c r="A367" s="1774" t="s">
        <v>2245</v>
      </c>
      <c r="B367" s="1774" t="s">
        <v>16</v>
      </c>
      <c r="C367" s="1774" t="s">
        <v>3457</v>
      </c>
      <c r="D367" s="1774" t="s">
        <v>3458</v>
      </c>
      <c r="E367" s="1774" t="s">
        <v>3459</v>
      </c>
      <c r="F367" s="1774" t="s">
        <v>2306</v>
      </c>
      <c r="G367" s="1774" t="s">
        <v>22</v>
      </c>
      <c r="H367" s="1774" t="s">
        <v>22</v>
      </c>
      <c r="I367" s="1774" t="s">
        <v>807</v>
      </c>
    </row>
    <row r="368" spans="1:9" ht="11.25" customHeight="1">
      <c r="A368" s="1774" t="s">
        <v>2245</v>
      </c>
      <c r="B368" s="1774" t="s">
        <v>16</v>
      </c>
      <c r="C368" s="1774" t="s">
        <v>3460</v>
      </c>
      <c r="D368" s="1774" t="s">
        <v>3461</v>
      </c>
      <c r="E368" s="1774" t="s">
        <v>3462</v>
      </c>
      <c r="F368" s="1774" t="s">
        <v>2253</v>
      </c>
      <c r="G368" s="1774" t="s">
        <v>22</v>
      </c>
      <c r="H368" s="1774" t="s">
        <v>22</v>
      </c>
      <c r="I368" s="1774" t="s">
        <v>807</v>
      </c>
    </row>
    <row r="369" spans="1:9" ht="11.25" customHeight="1">
      <c r="A369" s="1774" t="s">
        <v>2245</v>
      </c>
      <c r="B369" s="1774" t="s">
        <v>16</v>
      </c>
      <c r="C369" s="1774" t="s">
        <v>3463</v>
      </c>
      <c r="D369" s="1774" t="s">
        <v>3464</v>
      </c>
      <c r="E369" s="1774" t="s">
        <v>3465</v>
      </c>
      <c r="F369" s="1774" t="s">
        <v>2327</v>
      </c>
      <c r="G369" s="1774" t="s">
        <v>22</v>
      </c>
      <c r="H369" s="1774" t="s">
        <v>22</v>
      </c>
      <c r="I369" s="1774" t="s">
        <v>807</v>
      </c>
    </row>
    <row r="370" spans="1:9" ht="11.25" customHeight="1">
      <c r="A370" s="1774" t="s">
        <v>2245</v>
      </c>
      <c r="B370" s="1774" t="s">
        <v>16</v>
      </c>
      <c r="C370" s="1774" t="s">
        <v>3466</v>
      </c>
      <c r="D370" s="1774" t="s">
        <v>3467</v>
      </c>
      <c r="E370" s="1774" t="s">
        <v>3468</v>
      </c>
      <c r="F370" s="1774" t="s">
        <v>2327</v>
      </c>
      <c r="G370" s="1774" t="s">
        <v>22</v>
      </c>
      <c r="H370" s="1774" t="s">
        <v>22</v>
      </c>
      <c r="I370" s="1774" t="s">
        <v>807</v>
      </c>
    </row>
    <row r="371" spans="1:9" ht="11.25" customHeight="1">
      <c r="A371" s="1774" t="s">
        <v>2245</v>
      </c>
      <c r="B371" s="1774" t="s">
        <v>16</v>
      </c>
      <c r="C371" s="1774" t="s">
        <v>3469</v>
      </c>
      <c r="D371" s="1774" t="s">
        <v>3470</v>
      </c>
      <c r="E371" s="1774" t="s">
        <v>3471</v>
      </c>
      <c r="F371" s="1774" t="s">
        <v>2531</v>
      </c>
      <c r="G371" s="1774" t="s">
        <v>22</v>
      </c>
      <c r="H371" s="1774" t="s">
        <v>22</v>
      </c>
      <c r="I371" s="1774" t="s">
        <v>807</v>
      </c>
    </row>
    <row r="372" spans="1:9" ht="11.25" customHeight="1">
      <c r="A372" s="1774" t="s">
        <v>2245</v>
      </c>
      <c r="B372" s="1774" t="s">
        <v>16</v>
      </c>
      <c r="C372" s="1774" t="s">
        <v>3472</v>
      </c>
      <c r="D372" s="1774" t="s">
        <v>3473</v>
      </c>
      <c r="E372" s="1774" t="s">
        <v>3474</v>
      </c>
      <c r="F372" s="1774" t="s">
        <v>2253</v>
      </c>
      <c r="G372" s="1774" t="s">
        <v>22</v>
      </c>
      <c r="H372" s="1774" t="s">
        <v>22</v>
      </c>
      <c r="I372" s="1774" t="s">
        <v>807</v>
      </c>
    </row>
    <row r="373" spans="1:9" ht="11.25" customHeight="1">
      <c r="A373" s="1774" t="s">
        <v>2245</v>
      </c>
      <c r="B373" s="1774" t="s">
        <v>16</v>
      </c>
      <c r="C373" s="1774" t="s">
        <v>3475</v>
      </c>
      <c r="D373" s="1774" t="s">
        <v>3476</v>
      </c>
      <c r="E373" s="1774" t="s">
        <v>3477</v>
      </c>
      <c r="F373" s="1774" t="s">
        <v>2327</v>
      </c>
      <c r="G373" s="1774" t="s">
        <v>3478</v>
      </c>
      <c r="H373" s="1774" t="s">
        <v>22</v>
      </c>
      <c r="I373" s="1774" t="s">
        <v>807</v>
      </c>
    </row>
    <row r="374" spans="1:9" ht="11.25" customHeight="1">
      <c r="A374" s="1774" t="s">
        <v>2245</v>
      </c>
      <c r="B374" s="1774" t="s">
        <v>16</v>
      </c>
      <c r="C374" s="1774" t="s">
        <v>3479</v>
      </c>
      <c r="D374" s="1774" t="s">
        <v>3480</v>
      </c>
      <c r="E374" s="1774" t="s">
        <v>3481</v>
      </c>
      <c r="F374" s="1774" t="s">
        <v>2261</v>
      </c>
      <c r="G374" s="1774" t="s">
        <v>22</v>
      </c>
      <c r="H374" s="1774" t="s">
        <v>22</v>
      </c>
      <c r="I374" s="1774" t="s">
        <v>807</v>
      </c>
    </row>
    <row r="375" spans="1:9" ht="11.25" customHeight="1">
      <c r="A375" s="1774" t="s">
        <v>2245</v>
      </c>
      <c r="B375" s="1774" t="s">
        <v>16</v>
      </c>
      <c r="C375" s="1774" t="s">
        <v>3482</v>
      </c>
      <c r="D375" s="1774" t="s">
        <v>3483</v>
      </c>
      <c r="E375" s="1774" t="s">
        <v>3484</v>
      </c>
      <c r="F375" s="1774" t="s">
        <v>2372</v>
      </c>
      <c r="G375" s="1774" t="s">
        <v>3485</v>
      </c>
      <c r="H375" s="1774" t="s">
        <v>22</v>
      </c>
      <c r="I375" s="1774" t="s">
        <v>807</v>
      </c>
    </row>
    <row r="376" spans="1:9" ht="11.25" customHeight="1">
      <c r="A376" s="1774" t="s">
        <v>2245</v>
      </c>
      <c r="B376" s="1774" t="s">
        <v>16</v>
      </c>
      <c r="C376" s="1774" t="s">
        <v>3486</v>
      </c>
      <c r="D376" s="1774" t="s">
        <v>3487</v>
      </c>
      <c r="E376" s="1774" t="s">
        <v>3488</v>
      </c>
      <c r="F376" s="1774" t="s">
        <v>2253</v>
      </c>
      <c r="G376" s="1774" t="s">
        <v>22</v>
      </c>
      <c r="H376" s="1774" t="s">
        <v>22</v>
      </c>
      <c r="I376" s="1774" t="s">
        <v>807</v>
      </c>
    </row>
    <row r="377" spans="1:9" ht="11.25" customHeight="1">
      <c r="A377" s="1774" t="s">
        <v>2245</v>
      </c>
      <c r="B377" s="1774" t="s">
        <v>16</v>
      </c>
      <c r="C377" s="1774" t="s">
        <v>3489</v>
      </c>
      <c r="D377" s="1774" t="s">
        <v>3490</v>
      </c>
      <c r="E377" s="1774" t="s">
        <v>3491</v>
      </c>
      <c r="F377" s="1774" t="s">
        <v>2450</v>
      </c>
      <c r="G377" s="1774" t="s">
        <v>22</v>
      </c>
      <c r="H377" s="1774" t="s">
        <v>22</v>
      </c>
      <c r="I377" s="1774" t="s">
        <v>807</v>
      </c>
    </row>
    <row r="378" spans="1:9" ht="11.25" customHeight="1">
      <c r="A378" s="1774" t="s">
        <v>2245</v>
      </c>
      <c r="B378" s="1774" t="s">
        <v>16</v>
      </c>
      <c r="C378" s="1774" t="s">
        <v>3492</v>
      </c>
      <c r="D378" s="1774" t="s">
        <v>3493</v>
      </c>
      <c r="E378" s="1774" t="s">
        <v>3494</v>
      </c>
      <c r="F378" s="1774" t="s">
        <v>2317</v>
      </c>
      <c r="G378" s="1774" t="s">
        <v>22</v>
      </c>
      <c r="H378" s="1774" t="s">
        <v>22</v>
      </c>
      <c r="I378" s="1774" t="s">
        <v>807</v>
      </c>
    </row>
    <row r="379" spans="1:9" ht="11.25" customHeight="1">
      <c r="A379" s="1774" t="s">
        <v>2245</v>
      </c>
      <c r="B379" s="1774" t="s">
        <v>16</v>
      </c>
      <c r="C379" s="1774" t="s">
        <v>3495</v>
      </c>
      <c r="D379" s="1774" t="s">
        <v>3496</v>
      </c>
      <c r="E379" s="1774" t="s">
        <v>3497</v>
      </c>
      <c r="F379" s="1774" t="s">
        <v>2253</v>
      </c>
      <c r="G379" s="1774" t="s">
        <v>22</v>
      </c>
      <c r="H379" s="1774" t="s">
        <v>22</v>
      </c>
      <c r="I379" s="1774" t="s">
        <v>807</v>
      </c>
    </row>
    <row r="380" spans="1:9" ht="11.25" customHeight="1">
      <c r="A380" s="1774" t="s">
        <v>2245</v>
      </c>
      <c r="B380" s="1774" t="s">
        <v>16</v>
      </c>
      <c r="C380" s="1774" t="s">
        <v>3498</v>
      </c>
      <c r="D380" s="1774" t="s">
        <v>3499</v>
      </c>
      <c r="E380" s="1774" t="s">
        <v>3500</v>
      </c>
      <c r="F380" s="1774" t="s">
        <v>2253</v>
      </c>
      <c r="G380" s="1774" t="s">
        <v>22</v>
      </c>
      <c r="H380" s="1774" t="s">
        <v>22</v>
      </c>
      <c r="I380" s="1774" t="s">
        <v>807</v>
      </c>
    </row>
    <row r="381" spans="1:9" ht="11.25" customHeight="1">
      <c r="A381" s="1774" t="s">
        <v>2245</v>
      </c>
      <c r="B381" s="1774" t="s">
        <v>16</v>
      </c>
      <c r="C381" s="1774" t="s">
        <v>3501</v>
      </c>
      <c r="D381" s="1774" t="s">
        <v>3502</v>
      </c>
      <c r="E381" s="1774" t="s">
        <v>3503</v>
      </c>
      <c r="F381" s="1774" t="s">
        <v>2253</v>
      </c>
      <c r="G381" s="1774" t="s">
        <v>22</v>
      </c>
      <c r="H381" s="1774" t="s">
        <v>22</v>
      </c>
      <c r="I381" s="1774" t="s">
        <v>807</v>
      </c>
    </row>
    <row r="382" spans="1:9" ht="11.25" customHeight="1">
      <c r="A382" s="1774" t="s">
        <v>2245</v>
      </c>
      <c r="B382" s="1774" t="s">
        <v>16</v>
      </c>
      <c r="C382" s="1774" t="s">
        <v>3504</v>
      </c>
      <c r="D382" s="1774" t="s">
        <v>3505</v>
      </c>
      <c r="E382" s="1774" t="s">
        <v>3506</v>
      </c>
      <c r="F382" s="1774" t="s">
        <v>2313</v>
      </c>
      <c r="G382" s="1774" t="s">
        <v>22</v>
      </c>
      <c r="H382" s="1774" t="s">
        <v>22</v>
      </c>
      <c r="I382" s="1774" t="s">
        <v>807</v>
      </c>
    </row>
    <row r="383" spans="1:9" ht="11.25" customHeight="1">
      <c r="A383" s="1774" t="s">
        <v>2245</v>
      </c>
      <c r="B383" s="1774" t="s">
        <v>16</v>
      </c>
      <c r="C383" s="1774" t="s">
        <v>3507</v>
      </c>
      <c r="D383" s="1774" t="s">
        <v>3508</v>
      </c>
      <c r="E383" s="1774" t="s">
        <v>3509</v>
      </c>
      <c r="F383" s="1774" t="s">
        <v>2253</v>
      </c>
      <c r="G383" s="1774" t="s">
        <v>3510</v>
      </c>
      <c r="H383" s="1774" t="s">
        <v>22</v>
      </c>
      <c r="I383" s="1774" t="s">
        <v>807</v>
      </c>
    </row>
    <row r="384" spans="1:9" ht="11.25" customHeight="1">
      <c r="A384" s="1774" t="s">
        <v>2245</v>
      </c>
      <c r="B384" s="1774" t="s">
        <v>16</v>
      </c>
      <c r="C384" s="1774" t="s">
        <v>3511</v>
      </c>
      <c r="D384" s="1774" t="s">
        <v>3512</v>
      </c>
      <c r="E384" s="1774" t="s">
        <v>3513</v>
      </c>
      <c r="F384" s="1774" t="s">
        <v>2298</v>
      </c>
      <c r="G384" s="1774" t="s">
        <v>22</v>
      </c>
      <c r="H384" s="1774" t="s">
        <v>22</v>
      </c>
      <c r="I384" s="1774" t="s">
        <v>807</v>
      </c>
    </row>
    <row r="385" spans="1:9" ht="11.25" customHeight="1">
      <c r="A385" s="1774" t="s">
        <v>2245</v>
      </c>
      <c r="B385" s="1774" t="s">
        <v>16</v>
      </c>
      <c r="C385" s="1774" t="s">
        <v>3514</v>
      </c>
      <c r="D385" s="1774" t="s">
        <v>3515</v>
      </c>
      <c r="E385" s="1774" t="s">
        <v>3516</v>
      </c>
      <c r="F385" s="1774" t="s">
        <v>2306</v>
      </c>
      <c r="G385" s="1774" t="s">
        <v>22</v>
      </c>
      <c r="H385" s="1774" t="s">
        <v>22</v>
      </c>
      <c r="I385" s="1774" t="s">
        <v>807</v>
      </c>
    </row>
    <row r="386" spans="1:9" ht="11.25" customHeight="1">
      <c r="A386" s="1774" t="s">
        <v>2245</v>
      </c>
      <c r="B386" s="1774" t="s">
        <v>16</v>
      </c>
      <c r="C386" s="1774" t="s">
        <v>3517</v>
      </c>
      <c r="D386" s="1774" t="s">
        <v>3518</v>
      </c>
      <c r="E386" s="1774" t="s">
        <v>3519</v>
      </c>
      <c r="F386" s="1774" t="s">
        <v>2638</v>
      </c>
      <c r="G386" s="1774" t="s">
        <v>22</v>
      </c>
      <c r="H386" s="1774" t="s">
        <v>22</v>
      </c>
      <c r="I386" s="1774" t="s">
        <v>807</v>
      </c>
    </row>
    <row r="387" spans="1:9" ht="11.25" customHeight="1">
      <c r="A387" s="1774" t="s">
        <v>2245</v>
      </c>
      <c r="B387" s="1774" t="s">
        <v>16</v>
      </c>
      <c r="C387" s="1774" t="s">
        <v>3520</v>
      </c>
      <c r="D387" s="1774" t="s">
        <v>3521</v>
      </c>
      <c r="E387" s="1774" t="s">
        <v>3522</v>
      </c>
      <c r="F387" s="1774" t="s">
        <v>2306</v>
      </c>
      <c r="G387" s="1774" t="s">
        <v>22</v>
      </c>
      <c r="H387" s="1774" t="s">
        <v>22</v>
      </c>
      <c r="I387" s="1774" t="s">
        <v>807</v>
      </c>
    </row>
    <row r="388" spans="1:9" ht="11.25" customHeight="1">
      <c r="A388" s="1774" t="s">
        <v>2245</v>
      </c>
      <c r="B388" s="1774" t="s">
        <v>16</v>
      </c>
      <c r="C388" s="1774" t="s">
        <v>3523</v>
      </c>
      <c r="D388" s="1774" t="s">
        <v>3524</v>
      </c>
      <c r="E388" s="1774" t="s">
        <v>3525</v>
      </c>
      <c r="F388" s="1774" t="s">
        <v>2478</v>
      </c>
      <c r="G388" s="1774" t="s">
        <v>22</v>
      </c>
      <c r="H388" s="1774" t="s">
        <v>22</v>
      </c>
      <c r="I388" s="1774" t="s">
        <v>807</v>
      </c>
    </row>
    <row r="389" spans="1:9" ht="11.25" customHeight="1">
      <c r="A389" s="1774" t="s">
        <v>2245</v>
      </c>
      <c r="B389" s="1774" t="s">
        <v>16</v>
      </c>
      <c r="C389" s="1774" t="s">
        <v>3526</v>
      </c>
      <c r="D389" s="1774" t="s">
        <v>3527</v>
      </c>
      <c r="E389" s="1774" t="s">
        <v>3528</v>
      </c>
      <c r="F389" s="1774" t="s">
        <v>2630</v>
      </c>
      <c r="G389" s="1774" t="s">
        <v>22</v>
      </c>
      <c r="H389" s="1774" t="s">
        <v>22</v>
      </c>
      <c r="I389" s="1774" t="s">
        <v>807</v>
      </c>
    </row>
    <row r="390" spans="1:9" ht="11.25" customHeight="1">
      <c r="A390" s="1774" t="s">
        <v>2245</v>
      </c>
      <c r="B390" s="1774" t="s">
        <v>16</v>
      </c>
      <c r="C390" s="1774" t="s">
        <v>3529</v>
      </c>
      <c r="D390" s="1774" t="s">
        <v>3530</v>
      </c>
      <c r="E390" s="1774" t="s">
        <v>3531</v>
      </c>
      <c r="F390" s="1774" t="s">
        <v>2386</v>
      </c>
      <c r="G390" s="1774" t="s">
        <v>22</v>
      </c>
      <c r="H390" s="1774" t="s">
        <v>22</v>
      </c>
      <c r="I390" s="1774" t="s">
        <v>807</v>
      </c>
    </row>
    <row r="391" spans="1:9" ht="11.25" customHeight="1">
      <c r="A391" s="1774" t="s">
        <v>2245</v>
      </c>
      <c r="B391" s="1774" t="s">
        <v>16</v>
      </c>
      <c r="C391" s="1774" t="s">
        <v>3532</v>
      </c>
      <c r="D391" s="1774" t="s">
        <v>3533</v>
      </c>
      <c r="E391" s="1774" t="s">
        <v>3534</v>
      </c>
      <c r="F391" s="1774" t="s">
        <v>2478</v>
      </c>
      <c r="G391" s="1774" t="s">
        <v>22</v>
      </c>
      <c r="H391" s="1774" t="s">
        <v>22</v>
      </c>
      <c r="I391" s="1774" t="s">
        <v>807</v>
      </c>
    </row>
    <row r="392" spans="1:9" ht="11.25" customHeight="1">
      <c r="A392" s="1774" t="s">
        <v>2245</v>
      </c>
      <c r="B392" s="1774" t="s">
        <v>16</v>
      </c>
      <c r="C392" s="1774" t="s">
        <v>3535</v>
      </c>
      <c r="D392" s="1774" t="s">
        <v>3536</v>
      </c>
      <c r="E392" s="1774" t="s">
        <v>3537</v>
      </c>
      <c r="F392" s="1774" t="s">
        <v>2261</v>
      </c>
      <c r="G392" s="1774" t="s">
        <v>22</v>
      </c>
      <c r="H392" s="1774" t="s">
        <v>22</v>
      </c>
      <c r="I392" s="1774" t="s">
        <v>807</v>
      </c>
    </row>
    <row r="393" spans="1:9" ht="11.25" customHeight="1">
      <c r="A393" s="1774" t="s">
        <v>2245</v>
      </c>
      <c r="B393" s="1774" t="s">
        <v>16</v>
      </c>
      <c r="C393" s="1774" t="s">
        <v>3538</v>
      </c>
      <c r="D393" s="1774" t="s">
        <v>3539</v>
      </c>
      <c r="E393" s="1774" t="s">
        <v>3540</v>
      </c>
      <c r="F393" s="1774" t="s">
        <v>2816</v>
      </c>
      <c r="G393" s="1774" t="s">
        <v>22</v>
      </c>
      <c r="H393" s="1774" t="s">
        <v>22</v>
      </c>
      <c r="I393" s="1774" t="s">
        <v>807</v>
      </c>
    </row>
    <row r="394" spans="1:9" ht="11.25" customHeight="1">
      <c r="A394" s="1774" t="s">
        <v>2245</v>
      </c>
      <c r="B394" s="1774" t="s">
        <v>16</v>
      </c>
      <c r="C394" s="1774" t="s">
        <v>3541</v>
      </c>
      <c r="D394" s="1774" t="s">
        <v>3542</v>
      </c>
      <c r="E394" s="1774" t="s">
        <v>3543</v>
      </c>
      <c r="F394" s="1774" t="s">
        <v>2253</v>
      </c>
      <c r="G394" s="1774" t="s">
        <v>3544</v>
      </c>
      <c r="H394" s="1774" t="s">
        <v>22</v>
      </c>
      <c r="I394" s="1774" t="s">
        <v>807</v>
      </c>
    </row>
    <row r="395" spans="1:9" ht="11.25" customHeight="1">
      <c r="A395" s="1774" t="s">
        <v>2245</v>
      </c>
      <c r="B395" s="1774" t="s">
        <v>16</v>
      </c>
      <c r="C395" s="1774" t="s">
        <v>3545</v>
      </c>
      <c r="D395" s="1774" t="s">
        <v>3546</v>
      </c>
      <c r="E395" s="1774" t="s">
        <v>3547</v>
      </c>
      <c r="F395" s="1774" t="s">
        <v>2386</v>
      </c>
      <c r="G395" s="1774" t="s">
        <v>22</v>
      </c>
      <c r="H395" s="1774" t="s">
        <v>22</v>
      </c>
      <c r="I395" s="1774" t="s">
        <v>807</v>
      </c>
    </row>
    <row r="396" spans="1:9" ht="11.25" customHeight="1">
      <c r="A396" s="1774" t="s">
        <v>2245</v>
      </c>
      <c r="B396" s="1774" t="s">
        <v>16</v>
      </c>
      <c r="C396" s="1774" t="s">
        <v>3548</v>
      </c>
      <c r="D396" s="1774" t="s">
        <v>3549</v>
      </c>
      <c r="E396" s="1774" t="s">
        <v>3550</v>
      </c>
      <c r="F396" s="1774" t="s">
        <v>2291</v>
      </c>
      <c r="G396" s="1774" t="s">
        <v>22</v>
      </c>
      <c r="H396" s="1774" t="s">
        <v>22</v>
      </c>
      <c r="I396" s="1774" t="s">
        <v>807</v>
      </c>
    </row>
    <row r="397" spans="1:9" ht="11.25" customHeight="1">
      <c r="A397" s="1774" t="s">
        <v>2245</v>
      </c>
      <c r="B397" s="1774" t="s">
        <v>16</v>
      </c>
      <c r="C397" s="1774" t="s">
        <v>3551</v>
      </c>
      <c r="D397" s="1774" t="s">
        <v>3552</v>
      </c>
      <c r="E397" s="1774" t="s">
        <v>3553</v>
      </c>
      <c r="F397" s="1774" t="s">
        <v>2298</v>
      </c>
      <c r="G397" s="1774" t="s">
        <v>22</v>
      </c>
      <c r="H397" s="1774" t="s">
        <v>22</v>
      </c>
      <c r="I397" s="1774" t="s">
        <v>807</v>
      </c>
    </row>
    <row r="398" spans="1:9" ht="11.25" customHeight="1">
      <c r="A398" s="1774" t="s">
        <v>2245</v>
      </c>
      <c r="B398" s="1774" t="s">
        <v>16</v>
      </c>
      <c r="C398" s="1774" t="s">
        <v>3554</v>
      </c>
      <c r="D398" s="1774" t="s">
        <v>3555</v>
      </c>
      <c r="E398" s="1774" t="s">
        <v>2301</v>
      </c>
      <c r="F398" s="1774" t="s">
        <v>3556</v>
      </c>
      <c r="G398" s="1774" t="s">
        <v>22</v>
      </c>
      <c r="H398" s="1774" t="s">
        <v>22</v>
      </c>
      <c r="I398" s="1774" t="s">
        <v>807</v>
      </c>
    </row>
    <row r="399" spans="1:9" ht="11.25" customHeight="1">
      <c r="A399" s="1774" t="s">
        <v>2245</v>
      </c>
      <c r="B399" s="1774" t="s">
        <v>16</v>
      </c>
      <c r="C399" s="1774" t="s">
        <v>3557</v>
      </c>
      <c r="D399" s="1774" t="s">
        <v>3558</v>
      </c>
      <c r="E399" s="1774" t="s">
        <v>3559</v>
      </c>
      <c r="F399" s="1774" t="s">
        <v>2253</v>
      </c>
      <c r="G399" s="1774" t="s">
        <v>3560</v>
      </c>
      <c r="H399" s="1774" t="s">
        <v>22</v>
      </c>
      <c r="I399" s="1774" t="s">
        <v>807</v>
      </c>
    </row>
    <row r="400" spans="1:9" ht="11.25" customHeight="1">
      <c r="A400" s="1774" t="s">
        <v>2245</v>
      </c>
      <c r="B400" s="1774" t="s">
        <v>16</v>
      </c>
      <c r="C400" s="1774" t="s">
        <v>3561</v>
      </c>
      <c r="D400" s="1774" t="s">
        <v>3562</v>
      </c>
      <c r="E400" s="1774" t="s">
        <v>3563</v>
      </c>
      <c r="F400" s="1774" t="s">
        <v>2686</v>
      </c>
      <c r="G400" s="1774" t="s">
        <v>22</v>
      </c>
      <c r="H400" s="1774" t="s">
        <v>22</v>
      </c>
      <c r="I400" s="1774" t="s">
        <v>807</v>
      </c>
    </row>
    <row r="401" spans="1:9" ht="11.25" customHeight="1">
      <c r="A401" s="1774" t="s">
        <v>2245</v>
      </c>
      <c r="B401" s="1774" t="s">
        <v>16</v>
      </c>
      <c r="C401" s="1774" t="s">
        <v>3564</v>
      </c>
      <c r="D401" s="1774" t="s">
        <v>3565</v>
      </c>
      <c r="E401" s="1774" t="s">
        <v>3566</v>
      </c>
      <c r="F401" s="1774" t="s">
        <v>2327</v>
      </c>
      <c r="G401" s="1774" t="s">
        <v>22</v>
      </c>
      <c r="H401" s="1774" t="s">
        <v>22</v>
      </c>
      <c r="I401" s="1774" t="s">
        <v>807</v>
      </c>
    </row>
    <row r="402" spans="1:9" ht="11.25" customHeight="1">
      <c r="A402" s="1774" t="s">
        <v>2245</v>
      </c>
      <c r="B402" s="1774" t="s">
        <v>16</v>
      </c>
      <c r="C402" s="1774" t="s">
        <v>3567</v>
      </c>
      <c r="D402" s="1774" t="s">
        <v>3568</v>
      </c>
      <c r="E402" s="1774" t="s">
        <v>3569</v>
      </c>
      <c r="F402" s="1774" t="s">
        <v>2306</v>
      </c>
      <c r="G402" s="1774" t="s">
        <v>22</v>
      </c>
      <c r="H402" s="1774" t="s">
        <v>22</v>
      </c>
      <c r="I402" s="1774" t="s">
        <v>807</v>
      </c>
    </row>
    <row r="403" spans="1:9" ht="11.25" customHeight="1">
      <c r="A403" s="1774" t="s">
        <v>2245</v>
      </c>
      <c r="B403" s="1774" t="s">
        <v>16</v>
      </c>
      <c r="C403" s="1774" t="s">
        <v>3570</v>
      </c>
      <c r="D403" s="1774" t="s">
        <v>3571</v>
      </c>
      <c r="E403" s="1774" t="s">
        <v>3572</v>
      </c>
      <c r="F403" s="1774" t="s">
        <v>2386</v>
      </c>
      <c r="G403" s="1774" t="s">
        <v>3573</v>
      </c>
      <c r="H403" s="1774" t="s">
        <v>22</v>
      </c>
      <c r="I403" s="1774" t="s">
        <v>807</v>
      </c>
    </row>
    <row r="404" spans="1:9" ht="11.25" customHeight="1">
      <c r="A404" s="1774" t="s">
        <v>2245</v>
      </c>
      <c r="B404" s="1774" t="s">
        <v>16</v>
      </c>
      <c r="C404" s="1774" t="s">
        <v>3574</v>
      </c>
      <c r="D404" s="1774" t="s">
        <v>3575</v>
      </c>
      <c r="E404" s="1774" t="s">
        <v>3576</v>
      </c>
      <c r="F404" s="1774" t="s">
        <v>2436</v>
      </c>
      <c r="G404" s="1774" t="s">
        <v>22</v>
      </c>
      <c r="H404" s="1774" t="s">
        <v>22</v>
      </c>
      <c r="I404" s="1774" t="s">
        <v>807</v>
      </c>
    </row>
    <row r="405" spans="1:9" ht="11.25" customHeight="1">
      <c r="A405" s="1774" t="s">
        <v>2245</v>
      </c>
      <c r="B405" s="1774" t="s">
        <v>16</v>
      </c>
      <c r="C405" s="1774" t="s">
        <v>3577</v>
      </c>
      <c r="D405" s="1774" t="s">
        <v>3578</v>
      </c>
      <c r="E405" s="1774" t="s">
        <v>3579</v>
      </c>
      <c r="F405" s="1774" t="s">
        <v>2306</v>
      </c>
      <c r="G405" s="1774" t="s">
        <v>22</v>
      </c>
      <c r="H405" s="1774" t="s">
        <v>22</v>
      </c>
      <c r="I405" s="1774" t="s">
        <v>807</v>
      </c>
    </row>
    <row r="406" spans="1:9" ht="11.25" customHeight="1">
      <c r="A406" s="1774" t="s">
        <v>2245</v>
      </c>
      <c r="B406" s="1774" t="s">
        <v>16</v>
      </c>
      <c r="C406" s="1774" t="s">
        <v>3580</v>
      </c>
      <c r="D406" s="1774" t="s">
        <v>3581</v>
      </c>
      <c r="E406" s="1774" t="s">
        <v>3582</v>
      </c>
      <c r="F406" s="1774" t="s">
        <v>2306</v>
      </c>
      <c r="G406" s="1774" t="s">
        <v>22</v>
      </c>
      <c r="H406" s="1774" t="s">
        <v>22</v>
      </c>
      <c r="I406" s="1774" t="s">
        <v>807</v>
      </c>
    </row>
    <row r="407" spans="1:9" ht="11.25" customHeight="1">
      <c r="A407" s="1774" t="s">
        <v>2245</v>
      </c>
      <c r="B407" s="1774" t="s">
        <v>16</v>
      </c>
      <c r="C407" s="1774" t="s">
        <v>3583</v>
      </c>
      <c r="D407" s="1774" t="s">
        <v>3584</v>
      </c>
      <c r="E407" s="1774" t="s">
        <v>3585</v>
      </c>
      <c r="F407" s="1774" t="s">
        <v>2630</v>
      </c>
      <c r="G407" s="1774" t="s">
        <v>22</v>
      </c>
      <c r="H407" s="1774" t="s">
        <v>22</v>
      </c>
      <c r="I407" s="1774" t="s">
        <v>807</v>
      </c>
    </row>
    <row r="408" spans="1:9" ht="11.25" customHeight="1">
      <c r="A408" s="1774" t="s">
        <v>2245</v>
      </c>
      <c r="B408" s="1774" t="s">
        <v>16</v>
      </c>
      <c r="C408" s="1774" t="s">
        <v>3586</v>
      </c>
      <c r="D408" s="1774" t="s">
        <v>3587</v>
      </c>
      <c r="E408" s="1774" t="s">
        <v>3588</v>
      </c>
      <c r="F408" s="1774" t="s">
        <v>2766</v>
      </c>
      <c r="G408" s="1774" t="s">
        <v>22</v>
      </c>
      <c r="H408" s="1774" t="s">
        <v>22</v>
      </c>
      <c r="I408" s="1774" t="s">
        <v>807</v>
      </c>
    </row>
    <row r="409" spans="1:9" ht="11.25" customHeight="1">
      <c r="A409" s="1774" t="s">
        <v>2245</v>
      </c>
      <c r="B409" s="1774" t="s">
        <v>16</v>
      </c>
      <c r="C409" s="1774" t="s">
        <v>3589</v>
      </c>
      <c r="D409" s="1774" t="s">
        <v>3590</v>
      </c>
      <c r="E409" s="1774" t="s">
        <v>3591</v>
      </c>
      <c r="F409" s="1774" t="s">
        <v>2638</v>
      </c>
      <c r="G409" s="1774" t="s">
        <v>22</v>
      </c>
      <c r="H409" s="1774" t="s">
        <v>22</v>
      </c>
      <c r="I409" s="1774" t="s">
        <v>807</v>
      </c>
    </row>
    <row r="410" spans="1:9" ht="11.25" customHeight="1">
      <c r="A410" s="1774" t="s">
        <v>2245</v>
      </c>
      <c r="B410" s="1774" t="s">
        <v>16</v>
      </c>
      <c r="C410" s="1774" t="s">
        <v>3592</v>
      </c>
      <c r="D410" s="1774" t="s">
        <v>3593</v>
      </c>
      <c r="E410" s="1774" t="s">
        <v>3594</v>
      </c>
      <c r="F410" s="1774" t="s">
        <v>2306</v>
      </c>
      <c r="G410" s="1774" t="s">
        <v>22</v>
      </c>
      <c r="H410" s="1774" t="s">
        <v>22</v>
      </c>
      <c r="I410" s="1774" t="s">
        <v>807</v>
      </c>
    </row>
    <row r="411" spans="1:9" ht="11.25" customHeight="1">
      <c r="A411" s="1774" t="s">
        <v>2245</v>
      </c>
      <c r="B411" s="1774" t="s">
        <v>16</v>
      </c>
      <c r="C411" s="1774" t="s">
        <v>3595</v>
      </c>
      <c r="D411" s="1774" t="s">
        <v>3596</v>
      </c>
      <c r="E411" s="1774" t="s">
        <v>3597</v>
      </c>
      <c r="F411" s="1774" t="s">
        <v>2450</v>
      </c>
      <c r="G411" s="1774" t="s">
        <v>22</v>
      </c>
      <c r="H411" s="1774" t="s">
        <v>22</v>
      </c>
      <c r="I411" s="1774" t="s">
        <v>807</v>
      </c>
    </row>
    <row r="412" spans="1:9" ht="11.25" customHeight="1">
      <c r="A412" s="1774" t="s">
        <v>2245</v>
      </c>
      <c r="B412" s="1774" t="s">
        <v>16</v>
      </c>
      <c r="C412" s="1774" t="s">
        <v>3598</v>
      </c>
      <c r="D412" s="1774" t="s">
        <v>3599</v>
      </c>
      <c r="E412" s="1774" t="s">
        <v>3600</v>
      </c>
      <c r="F412" s="1774" t="s">
        <v>2697</v>
      </c>
      <c r="G412" s="1774" t="s">
        <v>22</v>
      </c>
      <c r="H412" s="1774" t="s">
        <v>22</v>
      </c>
      <c r="I412" s="1774" t="s">
        <v>807</v>
      </c>
    </row>
    <row r="413" spans="1:9" ht="11.25" customHeight="1">
      <c r="A413" s="1774" t="s">
        <v>2245</v>
      </c>
      <c r="B413" s="1774" t="s">
        <v>16</v>
      </c>
      <c r="C413" s="1774" t="s">
        <v>22</v>
      </c>
      <c r="D413" s="1774" t="s">
        <v>3601</v>
      </c>
      <c r="E413" s="1774" t="s">
        <v>3602</v>
      </c>
      <c r="F413" s="1774" t="s">
        <v>2253</v>
      </c>
      <c r="G413" s="1774" t="s">
        <v>22</v>
      </c>
      <c r="H413" s="1774" t="s">
        <v>22</v>
      </c>
      <c r="I413" s="1774" t="s">
        <v>807</v>
      </c>
    </row>
    <row r="414" spans="1:9" ht="11.25" customHeight="1">
      <c r="A414" s="1774" t="s">
        <v>2245</v>
      </c>
      <c r="B414" s="1774" t="s">
        <v>16</v>
      </c>
      <c r="C414" s="1774" t="s">
        <v>3603</v>
      </c>
      <c r="D414" s="1774" t="s">
        <v>3604</v>
      </c>
      <c r="E414" s="1774" t="s">
        <v>3605</v>
      </c>
      <c r="F414" s="1774" t="s">
        <v>2932</v>
      </c>
      <c r="G414" s="1774" t="s">
        <v>22</v>
      </c>
      <c r="H414" s="1774" t="s">
        <v>22</v>
      </c>
      <c r="I414" s="1774" t="s">
        <v>807</v>
      </c>
    </row>
    <row r="415" spans="1:9" ht="11.25" customHeight="1">
      <c r="A415" s="1774" t="s">
        <v>2245</v>
      </c>
      <c r="B415" s="1774" t="s">
        <v>16</v>
      </c>
      <c r="C415" s="1774" t="s">
        <v>3606</v>
      </c>
      <c r="D415" s="1774" t="s">
        <v>3607</v>
      </c>
      <c r="E415" s="1774" t="s">
        <v>3608</v>
      </c>
      <c r="F415" s="1774" t="s">
        <v>2496</v>
      </c>
      <c r="G415" s="1774" t="s">
        <v>3609</v>
      </c>
      <c r="H415" s="1774" t="s">
        <v>22</v>
      </c>
      <c r="I415" s="1774" t="s">
        <v>807</v>
      </c>
    </row>
    <row r="416" spans="1:9" ht="11.25" customHeight="1">
      <c r="A416" s="1774" t="s">
        <v>2245</v>
      </c>
      <c r="B416" s="1774" t="s">
        <v>16</v>
      </c>
      <c r="C416" s="1774" t="s">
        <v>3610</v>
      </c>
      <c r="D416" s="1774" t="s">
        <v>3611</v>
      </c>
      <c r="E416" s="1774" t="s">
        <v>3612</v>
      </c>
      <c r="F416" s="1774" t="s">
        <v>2496</v>
      </c>
      <c r="G416" s="1774" t="s">
        <v>22</v>
      </c>
      <c r="H416" s="1774" t="s">
        <v>22</v>
      </c>
      <c r="I416" s="1774" t="s">
        <v>807</v>
      </c>
    </row>
    <row r="417" spans="1:9" ht="11.25" customHeight="1">
      <c r="A417" s="1774" t="s">
        <v>2245</v>
      </c>
      <c r="B417" s="1774" t="s">
        <v>16</v>
      </c>
      <c r="C417" s="1774" t="s">
        <v>3613</v>
      </c>
      <c r="D417" s="1774" t="s">
        <v>3614</v>
      </c>
      <c r="E417" s="1774" t="s">
        <v>3615</v>
      </c>
      <c r="F417" s="1774" t="s">
        <v>2253</v>
      </c>
      <c r="G417" s="1774" t="s">
        <v>22</v>
      </c>
      <c r="H417" s="1774" t="s">
        <v>22</v>
      </c>
      <c r="I417" s="1774" t="s">
        <v>807</v>
      </c>
    </row>
    <row r="418" spans="1:9" ht="11.25" customHeight="1">
      <c r="A418" s="1774" t="s">
        <v>2245</v>
      </c>
      <c r="B418" s="1774" t="s">
        <v>16</v>
      </c>
      <c r="C418" s="1774" t="s">
        <v>3616</v>
      </c>
      <c r="D418" s="1774" t="s">
        <v>3617</v>
      </c>
      <c r="E418" s="1774" t="s">
        <v>3618</v>
      </c>
      <c r="F418" s="1774" t="s">
        <v>2542</v>
      </c>
      <c r="G418" s="1774" t="s">
        <v>22</v>
      </c>
      <c r="H418" s="1774" t="s">
        <v>22</v>
      </c>
      <c r="I418" s="1774" t="s">
        <v>807</v>
      </c>
    </row>
    <row r="419" spans="1:9" ht="11.25" customHeight="1">
      <c r="A419" s="1774" t="s">
        <v>2245</v>
      </c>
      <c r="B419" s="1774" t="s">
        <v>16</v>
      </c>
      <c r="C419" s="1774" t="s">
        <v>3619</v>
      </c>
      <c r="D419" s="1774" t="s">
        <v>3620</v>
      </c>
      <c r="E419" s="1774" t="s">
        <v>3621</v>
      </c>
      <c r="F419" s="1774" t="s">
        <v>2253</v>
      </c>
      <c r="G419" s="1774" t="s">
        <v>22</v>
      </c>
      <c r="H419" s="1774" t="s">
        <v>22</v>
      </c>
      <c r="I419" s="1774" t="s">
        <v>807</v>
      </c>
    </row>
    <row r="420" spans="1:9" ht="11.25" customHeight="1">
      <c r="A420" s="1774" t="s">
        <v>2245</v>
      </c>
      <c r="B420" s="1774" t="s">
        <v>16</v>
      </c>
      <c r="C420" s="1774" t="s">
        <v>3622</v>
      </c>
      <c r="D420" s="1774" t="s">
        <v>3623</v>
      </c>
      <c r="E420" s="1774" t="s">
        <v>3624</v>
      </c>
      <c r="F420" s="1774" t="s">
        <v>3556</v>
      </c>
      <c r="G420" s="1774" t="s">
        <v>22</v>
      </c>
      <c r="H420" s="1774" t="s">
        <v>22</v>
      </c>
      <c r="I420" s="1774" t="s">
        <v>807</v>
      </c>
    </row>
    <row r="421" spans="1:9" ht="11.25" customHeight="1">
      <c r="A421" s="1774" t="s">
        <v>2245</v>
      </c>
      <c r="B421" s="1774" t="s">
        <v>16</v>
      </c>
      <c r="C421" s="1774" t="s">
        <v>3625</v>
      </c>
      <c r="D421" s="1774" t="s">
        <v>3623</v>
      </c>
      <c r="E421" s="1774" t="s">
        <v>3624</v>
      </c>
      <c r="F421" s="1774" t="s">
        <v>2432</v>
      </c>
      <c r="G421" s="1774" t="s">
        <v>22</v>
      </c>
      <c r="H421" s="1774" t="s">
        <v>22</v>
      </c>
      <c r="I421" s="1774" t="s">
        <v>807</v>
      </c>
    </row>
    <row r="422" spans="1:9" ht="11.25" customHeight="1">
      <c r="A422" s="1774" t="s">
        <v>2245</v>
      </c>
      <c r="B422" s="1774" t="s">
        <v>16</v>
      </c>
      <c r="C422" s="1774" t="s">
        <v>3626</v>
      </c>
      <c r="D422" s="1774" t="s">
        <v>3627</v>
      </c>
      <c r="E422" s="1774" t="s">
        <v>3628</v>
      </c>
      <c r="F422" s="1774" t="s">
        <v>2440</v>
      </c>
      <c r="G422" s="1774" t="s">
        <v>22</v>
      </c>
      <c r="H422" s="1774" t="s">
        <v>22</v>
      </c>
      <c r="I422" s="1774" t="s">
        <v>807</v>
      </c>
    </row>
    <row r="423" spans="1:9" ht="11.25" customHeight="1">
      <c r="A423" s="1774" t="s">
        <v>2245</v>
      </c>
      <c r="B423" s="1774" t="s">
        <v>16</v>
      </c>
      <c r="C423" s="1774" t="s">
        <v>3629</v>
      </c>
      <c r="D423" s="1774" t="s">
        <v>3630</v>
      </c>
      <c r="E423" s="1774" t="s">
        <v>3631</v>
      </c>
      <c r="F423" s="1774" t="s">
        <v>3632</v>
      </c>
      <c r="G423" s="1774" t="s">
        <v>22</v>
      </c>
      <c r="H423" s="1774" t="s">
        <v>22</v>
      </c>
      <c r="I423" s="1774" t="s">
        <v>807</v>
      </c>
    </row>
    <row r="424" spans="1:9" ht="11.25" customHeight="1">
      <c r="A424" s="1774" t="s">
        <v>2245</v>
      </c>
      <c r="B424" s="1774" t="s">
        <v>16</v>
      </c>
      <c r="C424" s="1774" t="s">
        <v>3633</v>
      </c>
      <c r="D424" s="1774" t="s">
        <v>3634</v>
      </c>
      <c r="E424" s="1774" t="s">
        <v>3635</v>
      </c>
      <c r="F424" s="1774" t="s">
        <v>2313</v>
      </c>
      <c r="G424" s="1774" t="s">
        <v>22</v>
      </c>
      <c r="H424" s="1774" t="s">
        <v>22</v>
      </c>
      <c r="I424" s="1774" t="s">
        <v>807</v>
      </c>
    </row>
    <row r="425" spans="1:9" ht="11.25" customHeight="1">
      <c r="A425" s="1774" t="s">
        <v>2245</v>
      </c>
      <c r="B425" s="1774" t="s">
        <v>16</v>
      </c>
      <c r="C425" s="1774" t="s">
        <v>3636</v>
      </c>
      <c r="D425" s="1774" t="s">
        <v>3637</v>
      </c>
      <c r="E425" s="1774" t="s">
        <v>3638</v>
      </c>
      <c r="F425" s="1774" t="s">
        <v>2450</v>
      </c>
      <c r="G425" s="1774" t="s">
        <v>3639</v>
      </c>
      <c r="H425" s="1774" t="s">
        <v>22</v>
      </c>
      <c r="I425" s="1774" t="s">
        <v>807</v>
      </c>
    </row>
    <row r="426" spans="1:9" ht="11.25" customHeight="1">
      <c r="A426" s="1774" t="s">
        <v>2245</v>
      </c>
      <c r="B426" s="1774" t="s">
        <v>16</v>
      </c>
      <c r="C426" s="1774" t="s">
        <v>3640</v>
      </c>
      <c r="D426" s="1774" t="s">
        <v>3641</v>
      </c>
      <c r="E426" s="1774" t="s">
        <v>3642</v>
      </c>
      <c r="F426" s="1774" t="s">
        <v>2638</v>
      </c>
      <c r="G426" s="1774" t="s">
        <v>3643</v>
      </c>
      <c r="H426" s="1774" t="s">
        <v>22</v>
      </c>
      <c r="I426" s="1774" t="s">
        <v>807</v>
      </c>
    </row>
    <row r="427" spans="1:9" ht="11.25" customHeight="1">
      <c r="A427" s="1774" t="s">
        <v>2245</v>
      </c>
      <c r="B427" s="1774" t="s">
        <v>16</v>
      </c>
      <c r="C427" s="1774" t="s">
        <v>3644</v>
      </c>
      <c r="D427" s="1774" t="s">
        <v>3645</v>
      </c>
      <c r="E427" s="1774" t="s">
        <v>3646</v>
      </c>
      <c r="F427" s="1774" t="s">
        <v>2515</v>
      </c>
      <c r="G427" s="1774" t="s">
        <v>22</v>
      </c>
      <c r="H427" s="1774" t="s">
        <v>22</v>
      </c>
      <c r="I427" s="1774" t="s">
        <v>807</v>
      </c>
    </row>
    <row r="428" spans="1:9" ht="11.25" customHeight="1">
      <c r="A428" s="1774" t="s">
        <v>2245</v>
      </c>
      <c r="B428" s="1774" t="s">
        <v>16</v>
      </c>
      <c r="C428" s="1774" t="s">
        <v>3647</v>
      </c>
      <c r="D428" s="1774" t="s">
        <v>3648</v>
      </c>
      <c r="E428" s="1774" t="s">
        <v>3649</v>
      </c>
      <c r="F428" s="1774" t="s">
        <v>2708</v>
      </c>
      <c r="G428" s="1774" t="s">
        <v>22</v>
      </c>
      <c r="H428" s="1774" t="s">
        <v>22</v>
      </c>
      <c r="I428" s="1774" t="s">
        <v>807</v>
      </c>
    </row>
    <row r="429" spans="1:9" ht="11.25" customHeight="1">
      <c r="A429" s="1774" t="s">
        <v>2245</v>
      </c>
      <c r="B429" s="1774" t="s">
        <v>16</v>
      </c>
      <c r="C429" s="1774" t="s">
        <v>3650</v>
      </c>
      <c r="D429" s="1774" t="s">
        <v>3651</v>
      </c>
      <c r="E429" s="1774" t="s">
        <v>3652</v>
      </c>
      <c r="F429" s="1774" t="s">
        <v>2527</v>
      </c>
      <c r="G429" s="1774" t="s">
        <v>3639</v>
      </c>
      <c r="H429" s="1774" t="s">
        <v>22</v>
      </c>
      <c r="I429" s="1774" t="s">
        <v>807</v>
      </c>
    </row>
    <row r="430" spans="1:9" ht="11.25" customHeight="1">
      <c r="A430" s="1774" t="s">
        <v>2245</v>
      </c>
      <c r="B430" s="1774" t="s">
        <v>16</v>
      </c>
      <c r="C430" s="1774" t="s">
        <v>3653</v>
      </c>
      <c r="D430" s="1774" t="s">
        <v>3654</v>
      </c>
      <c r="E430" s="1774" t="s">
        <v>3655</v>
      </c>
      <c r="F430" s="1774" t="s">
        <v>2527</v>
      </c>
      <c r="G430" s="1774" t="s">
        <v>22</v>
      </c>
      <c r="H430" s="1774" t="s">
        <v>22</v>
      </c>
      <c r="I430" s="1774" t="s">
        <v>807</v>
      </c>
    </row>
    <row r="431" spans="1:9" ht="11.25" customHeight="1">
      <c r="A431" s="1774" t="s">
        <v>2245</v>
      </c>
      <c r="B431" s="1774" t="s">
        <v>16</v>
      </c>
      <c r="C431" s="1774" t="s">
        <v>3656</v>
      </c>
      <c r="D431" s="1774" t="s">
        <v>3657</v>
      </c>
      <c r="E431" s="1774" t="s">
        <v>3658</v>
      </c>
      <c r="F431" s="1774" t="s">
        <v>2653</v>
      </c>
      <c r="G431" s="1774" t="s">
        <v>22</v>
      </c>
      <c r="H431" s="1774" t="s">
        <v>22</v>
      </c>
      <c r="I431" s="1774" t="s">
        <v>807</v>
      </c>
    </row>
    <row r="432" spans="1:9" ht="11.25" customHeight="1">
      <c r="A432" s="1774" t="s">
        <v>2245</v>
      </c>
      <c r="B432" s="1774" t="s">
        <v>16</v>
      </c>
      <c r="C432" s="1774" t="s">
        <v>3659</v>
      </c>
      <c r="D432" s="1774" t="s">
        <v>3660</v>
      </c>
      <c r="E432" s="1774" t="s">
        <v>3661</v>
      </c>
      <c r="F432" s="1774" t="s">
        <v>2638</v>
      </c>
      <c r="G432" s="1774" t="s">
        <v>3662</v>
      </c>
      <c r="H432" s="1774" t="s">
        <v>22</v>
      </c>
      <c r="I432" s="1774" t="s">
        <v>807</v>
      </c>
    </row>
    <row r="433" spans="1:9" ht="11.25" customHeight="1">
      <c r="A433" s="1774" t="s">
        <v>2245</v>
      </c>
      <c r="B433" s="1774" t="s">
        <v>16</v>
      </c>
      <c r="C433" s="1774" t="s">
        <v>3663</v>
      </c>
      <c r="D433" s="1774" t="s">
        <v>3664</v>
      </c>
      <c r="E433" s="1774" t="s">
        <v>3665</v>
      </c>
      <c r="F433" s="1774" t="s">
        <v>2306</v>
      </c>
      <c r="G433" s="1774" t="s">
        <v>22</v>
      </c>
      <c r="H433" s="1774" t="s">
        <v>22</v>
      </c>
      <c r="I433" s="1774" t="s">
        <v>807</v>
      </c>
    </row>
    <row r="434" spans="1:9" ht="11.25" customHeight="1">
      <c r="A434" s="1774" t="s">
        <v>2245</v>
      </c>
      <c r="B434" s="1774" t="s">
        <v>16</v>
      </c>
      <c r="C434" s="1774" t="s">
        <v>3666</v>
      </c>
      <c r="D434" s="1774" t="s">
        <v>3667</v>
      </c>
      <c r="E434" s="1774" t="s">
        <v>3668</v>
      </c>
      <c r="F434" s="1774" t="s">
        <v>3305</v>
      </c>
      <c r="G434" s="1774" t="s">
        <v>22</v>
      </c>
      <c r="H434" s="1774" t="s">
        <v>22</v>
      </c>
      <c r="I434" s="1774" t="s">
        <v>807</v>
      </c>
    </row>
    <row r="435" spans="1:9" ht="11.25" customHeight="1">
      <c r="A435" s="1774" t="s">
        <v>2245</v>
      </c>
      <c r="B435" s="1774" t="s">
        <v>16</v>
      </c>
      <c r="C435" s="1774" t="s">
        <v>3669</v>
      </c>
      <c r="D435" s="1774" t="s">
        <v>3670</v>
      </c>
      <c r="E435" s="1774" t="s">
        <v>3671</v>
      </c>
      <c r="F435" s="1774" t="s">
        <v>3672</v>
      </c>
      <c r="G435" s="1774" t="s">
        <v>22</v>
      </c>
      <c r="H435" s="1774" t="s">
        <v>22</v>
      </c>
      <c r="I435" s="1774" t="s">
        <v>807</v>
      </c>
    </row>
    <row r="436" spans="1:9" ht="11.25" customHeight="1">
      <c r="A436" s="1774" t="s">
        <v>2245</v>
      </c>
      <c r="B436" s="1774" t="s">
        <v>16</v>
      </c>
      <c r="C436" s="1774" t="s">
        <v>3673</v>
      </c>
      <c r="D436" s="1774" t="s">
        <v>3674</v>
      </c>
      <c r="E436" s="1774" t="s">
        <v>2248</v>
      </c>
      <c r="F436" s="1774" t="s">
        <v>3675</v>
      </c>
      <c r="G436" s="1774" t="s">
        <v>22</v>
      </c>
      <c r="H436" s="1774" t="s">
        <v>22</v>
      </c>
      <c r="I436" s="1774" t="s">
        <v>807</v>
      </c>
    </row>
    <row r="437" spans="1:9" ht="11.25" customHeight="1">
      <c r="A437" s="1774" t="s">
        <v>2245</v>
      </c>
      <c r="B437" s="1774" t="s">
        <v>16</v>
      </c>
      <c r="C437" s="1774" t="s">
        <v>3676</v>
      </c>
      <c r="D437" s="1774" t="s">
        <v>3677</v>
      </c>
      <c r="E437" s="1774" t="s">
        <v>2248</v>
      </c>
      <c r="F437" s="1774" t="s">
        <v>3678</v>
      </c>
      <c r="G437" s="1774" t="s">
        <v>22</v>
      </c>
      <c r="H437" s="1774" t="s">
        <v>22</v>
      </c>
      <c r="I437" s="1774" t="s">
        <v>807</v>
      </c>
    </row>
    <row r="438" spans="1:9" ht="11.25" customHeight="1">
      <c r="A438" s="1774" t="s">
        <v>2245</v>
      </c>
      <c r="B438" s="1774" t="s">
        <v>16</v>
      </c>
      <c r="C438" s="1774" t="s">
        <v>3679</v>
      </c>
      <c r="D438" s="1774" t="s">
        <v>3680</v>
      </c>
      <c r="E438" s="1774" t="s">
        <v>3681</v>
      </c>
      <c r="F438" s="1774" t="s">
        <v>3682</v>
      </c>
      <c r="G438" s="1774" t="s">
        <v>22</v>
      </c>
      <c r="H438" s="1774" t="s">
        <v>22</v>
      </c>
      <c r="I438" s="1774" t="s">
        <v>807</v>
      </c>
    </row>
    <row r="439" spans="1:9" ht="11.25" customHeight="1">
      <c r="A439" s="1774" t="s">
        <v>2245</v>
      </c>
      <c r="B439" s="1774" t="s">
        <v>16</v>
      </c>
      <c r="C439" s="1774" t="s">
        <v>3683</v>
      </c>
      <c r="D439" s="1774" t="s">
        <v>3684</v>
      </c>
      <c r="E439" s="1774" t="s">
        <v>3628</v>
      </c>
      <c r="F439" s="1774" t="s">
        <v>3685</v>
      </c>
      <c r="G439" s="1774" t="s">
        <v>22</v>
      </c>
      <c r="H439" s="1774" t="s">
        <v>22</v>
      </c>
      <c r="I439" s="1774" t="s">
        <v>807</v>
      </c>
    </row>
    <row r="440" spans="1:9" ht="11.25" customHeight="1">
      <c r="A440" s="1774" t="s">
        <v>2245</v>
      </c>
      <c r="B440" s="1774" t="s">
        <v>16</v>
      </c>
      <c r="C440" s="1774" t="s">
        <v>3686</v>
      </c>
      <c r="D440" s="1774" t="s">
        <v>3687</v>
      </c>
      <c r="E440" s="1774" t="s">
        <v>2248</v>
      </c>
      <c r="F440" s="1774" t="s">
        <v>3688</v>
      </c>
      <c r="G440" s="1774" t="s">
        <v>22</v>
      </c>
      <c r="H440" s="1774" t="s">
        <v>22</v>
      </c>
      <c r="I440" s="1774" t="s">
        <v>807</v>
      </c>
    </row>
    <row r="441" spans="1:9" ht="11.25" customHeight="1">
      <c r="A441" s="1774" t="s">
        <v>2245</v>
      </c>
      <c r="B441" s="1774" t="s">
        <v>16</v>
      </c>
      <c r="C441" s="1774" t="s">
        <v>2250</v>
      </c>
      <c r="D441" s="1774" t="s">
        <v>2251</v>
      </c>
      <c r="E441" s="1774" t="s">
        <v>2252</v>
      </c>
      <c r="F441" s="1774" t="s">
        <v>2253</v>
      </c>
      <c r="G441" s="1774" t="s">
        <v>2254</v>
      </c>
      <c r="H441" s="1774" t="s">
        <v>22</v>
      </c>
      <c r="I441" s="1774" t="s">
        <v>893</v>
      </c>
    </row>
    <row r="442" spans="1:9" ht="11.25" customHeight="1">
      <c r="A442" s="1774" t="s">
        <v>2245</v>
      </c>
      <c r="B442" s="1774" t="s">
        <v>16</v>
      </c>
      <c r="C442" s="1774" t="s">
        <v>2267</v>
      </c>
      <c r="D442" s="1774" t="s">
        <v>2268</v>
      </c>
      <c r="E442" s="1774" t="s">
        <v>2269</v>
      </c>
      <c r="F442" s="1774" t="s">
        <v>2270</v>
      </c>
      <c r="G442" s="1774" t="s">
        <v>22</v>
      </c>
      <c r="H442" s="1774" t="s">
        <v>22</v>
      </c>
      <c r="I442" s="1774" t="s">
        <v>893</v>
      </c>
    </row>
    <row r="443" spans="1:9" ht="11.25" customHeight="1">
      <c r="A443" s="1774" t="s">
        <v>2245</v>
      </c>
      <c r="B443" s="1774" t="s">
        <v>16</v>
      </c>
      <c r="C443" s="1774" t="s">
        <v>2281</v>
      </c>
      <c r="D443" s="1774" t="s">
        <v>2282</v>
      </c>
      <c r="E443" s="1774" t="s">
        <v>2283</v>
      </c>
      <c r="F443" s="1774" t="s">
        <v>2284</v>
      </c>
      <c r="G443" s="1774" t="s">
        <v>22</v>
      </c>
      <c r="H443" s="1774" t="s">
        <v>22</v>
      </c>
      <c r="I443" s="1774" t="s">
        <v>893</v>
      </c>
    </row>
    <row r="444" spans="1:9" ht="11.25" customHeight="1">
      <c r="A444" s="1774" t="s">
        <v>2245</v>
      </c>
      <c r="B444" s="1774" t="s">
        <v>16</v>
      </c>
      <c r="C444" s="1774" t="s">
        <v>2288</v>
      </c>
      <c r="D444" s="1774" t="s">
        <v>2289</v>
      </c>
      <c r="E444" s="1774" t="s">
        <v>2290</v>
      </c>
      <c r="F444" s="1774" t="s">
        <v>2291</v>
      </c>
      <c r="G444" s="1774" t="s">
        <v>22</v>
      </c>
      <c r="H444" s="1774" t="s">
        <v>22</v>
      </c>
      <c r="I444" s="1774" t="s">
        <v>893</v>
      </c>
    </row>
    <row r="445" spans="1:9" ht="11.25" customHeight="1">
      <c r="A445" s="1774" t="s">
        <v>2245</v>
      </c>
      <c r="B445" s="1774" t="s">
        <v>16</v>
      </c>
      <c r="C445" s="1774" t="s">
        <v>2292</v>
      </c>
      <c r="D445" s="1774" t="s">
        <v>2293</v>
      </c>
      <c r="E445" s="1774" t="s">
        <v>2294</v>
      </c>
      <c r="F445" s="1774" t="s">
        <v>2284</v>
      </c>
      <c r="G445" s="1774" t="s">
        <v>22</v>
      </c>
      <c r="H445" s="1774" t="s">
        <v>22</v>
      </c>
      <c r="I445" s="1774" t="s">
        <v>893</v>
      </c>
    </row>
    <row r="446" spans="1:9" ht="11.25" customHeight="1">
      <c r="A446" s="1774" t="s">
        <v>2245</v>
      </c>
      <c r="B446" s="1774" t="s">
        <v>16</v>
      </c>
      <c r="C446" s="1774" t="s">
        <v>2295</v>
      </c>
      <c r="D446" s="1774" t="s">
        <v>2296</v>
      </c>
      <c r="E446" s="1774" t="s">
        <v>2297</v>
      </c>
      <c r="F446" s="1774" t="s">
        <v>2298</v>
      </c>
      <c r="G446" s="1774" t="s">
        <v>22</v>
      </c>
      <c r="H446" s="1774" t="s">
        <v>22</v>
      </c>
      <c r="I446" s="1774" t="s">
        <v>893</v>
      </c>
    </row>
    <row r="447" spans="1:9" ht="11.25" customHeight="1">
      <c r="A447" s="1774" t="s">
        <v>2245</v>
      </c>
      <c r="B447" s="1774" t="s">
        <v>16</v>
      </c>
      <c r="C447" s="1774" t="s">
        <v>2299</v>
      </c>
      <c r="D447" s="1774" t="s">
        <v>2300</v>
      </c>
      <c r="E447" s="1774" t="s">
        <v>2301</v>
      </c>
      <c r="F447" s="1774" t="s">
        <v>2302</v>
      </c>
      <c r="G447" s="1774" t="s">
        <v>22</v>
      </c>
      <c r="H447" s="1774" t="s">
        <v>22</v>
      </c>
      <c r="I447" s="1774" t="s">
        <v>893</v>
      </c>
    </row>
    <row r="448" spans="1:9" ht="11.25" customHeight="1">
      <c r="A448" s="1774" t="s">
        <v>2245</v>
      </c>
      <c r="B448" s="1774" t="s">
        <v>16</v>
      </c>
      <c r="C448" s="1774" t="s">
        <v>2314</v>
      </c>
      <c r="D448" s="1774" t="s">
        <v>2315</v>
      </c>
      <c r="E448" s="1774" t="s">
        <v>2316</v>
      </c>
      <c r="F448" s="1774" t="s">
        <v>2317</v>
      </c>
      <c r="G448" s="1774" t="s">
        <v>22</v>
      </c>
      <c r="H448" s="1774" t="s">
        <v>22</v>
      </c>
      <c r="I448" s="1774" t="s">
        <v>893</v>
      </c>
    </row>
    <row r="449" spans="1:9" ht="11.25" customHeight="1">
      <c r="A449" s="1774" t="s">
        <v>2245</v>
      </c>
      <c r="B449" s="1774" t="s">
        <v>16</v>
      </c>
      <c r="C449" s="1774" t="s">
        <v>2321</v>
      </c>
      <c r="D449" s="1774" t="s">
        <v>2322</v>
      </c>
      <c r="E449" s="1774" t="s">
        <v>2323</v>
      </c>
      <c r="F449" s="1774" t="s">
        <v>2280</v>
      </c>
      <c r="G449" s="1774" t="s">
        <v>22</v>
      </c>
      <c r="H449" s="1774" t="s">
        <v>22</v>
      </c>
      <c r="I449" s="1774" t="s">
        <v>893</v>
      </c>
    </row>
    <row r="450" spans="1:9" ht="11.25" customHeight="1">
      <c r="A450" s="1774" t="s">
        <v>2245</v>
      </c>
      <c r="B450" s="1774" t="s">
        <v>16</v>
      </c>
      <c r="C450" s="1774" t="s">
        <v>2335</v>
      </c>
      <c r="D450" s="1774" t="s">
        <v>2336</v>
      </c>
      <c r="E450" s="1774" t="s">
        <v>2337</v>
      </c>
      <c r="F450" s="1774" t="s">
        <v>2270</v>
      </c>
      <c r="G450" s="1774" t="s">
        <v>22</v>
      </c>
      <c r="H450" s="1774" t="s">
        <v>22</v>
      </c>
      <c r="I450" s="1774" t="s">
        <v>893</v>
      </c>
    </row>
    <row r="451" spans="1:9" ht="11.25" customHeight="1">
      <c r="A451" s="1774" t="s">
        <v>2245</v>
      </c>
      <c r="B451" s="1774" t="s">
        <v>16</v>
      </c>
      <c r="C451" s="1774" t="s">
        <v>2345</v>
      </c>
      <c r="D451" s="1774" t="s">
        <v>2346</v>
      </c>
      <c r="E451" s="1774" t="s">
        <v>2347</v>
      </c>
      <c r="F451" s="1774" t="s">
        <v>2348</v>
      </c>
      <c r="G451" s="1774" t="s">
        <v>2349</v>
      </c>
      <c r="H451" s="1774" t="s">
        <v>22</v>
      </c>
      <c r="I451" s="1774" t="s">
        <v>893</v>
      </c>
    </row>
    <row r="452" spans="1:9" ht="11.25" customHeight="1">
      <c r="A452" s="1774" t="s">
        <v>2245</v>
      </c>
      <c r="B452" s="1774" t="s">
        <v>16</v>
      </c>
      <c r="C452" s="1774" t="s">
        <v>2356</v>
      </c>
      <c r="D452" s="1774" t="s">
        <v>2357</v>
      </c>
      <c r="E452" s="1774" t="s">
        <v>2358</v>
      </c>
      <c r="F452" s="1774" t="s">
        <v>2359</v>
      </c>
      <c r="G452" s="1774" t="s">
        <v>22</v>
      </c>
      <c r="H452" s="1774" t="s">
        <v>22</v>
      </c>
      <c r="I452" s="1774" t="s">
        <v>893</v>
      </c>
    </row>
    <row r="453" spans="1:9" ht="11.25" customHeight="1">
      <c r="A453" s="1774" t="s">
        <v>2245</v>
      </c>
      <c r="B453" s="1774" t="s">
        <v>16</v>
      </c>
      <c r="C453" s="1774" t="s">
        <v>2363</v>
      </c>
      <c r="D453" s="1774" t="s">
        <v>2364</v>
      </c>
      <c r="E453" s="1774" t="s">
        <v>2365</v>
      </c>
      <c r="F453" s="1774" t="s">
        <v>2317</v>
      </c>
      <c r="G453" s="1774" t="s">
        <v>22</v>
      </c>
      <c r="H453" s="1774" t="s">
        <v>22</v>
      </c>
      <c r="I453" s="1774" t="s">
        <v>893</v>
      </c>
    </row>
    <row r="454" spans="1:9" ht="11.25" customHeight="1">
      <c r="A454" s="1774" t="s">
        <v>2245</v>
      </c>
      <c r="B454" s="1774" t="s">
        <v>16</v>
      </c>
      <c r="C454" s="1774" t="s">
        <v>2369</v>
      </c>
      <c r="D454" s="1774" t="s">
        <v>2370</v>
      </c>
      <c r="E454" s="1774" t="s">
        <v>2371</v>
      </c>
      <c r="F454" s="1774" t="s">
        <v>2372</v>
      </c>
      <c r="G454" s="1774" t="s">
        <v>22</v>
      </c>
      <c r="H454" s="1774" t="s">
        <v>22</v>
      </c>
      <c r="I454" s="1774" t="s">
        <v>893</v>
      </c>
    </row>
    <row r="455" spans="1:9" ht="11.25" customHeight="1">
      <c r="A455" s="1774" t="s">
        <v>2245</v>
      </c>
      <c r="B455" s="1774" t="s">
        <v>16</v>
      </c>
      <c r="C455" s="1774" t="s">
        <v>2391</v>
      </c>
      <c r="D455" s="1774" t="s">
        <v>2392</v>
      </c>
      <c r="E455" s="1774" t="s">
        <v>2390</v>
      </c>
      <c r="F455" s="1774" t="s">
        <v>2393</v>
      </c>
      <c r="G455" s="1774" t="s">
        <v>22</v>
      </c>
      <c r="H455" s="1774" t="s">
        <v>22</v>
      </c>
      <c r="I455" s="1774" t="s">
        <v>893</v>
      </c>
    </row>
    <row r="456" spans="1:9" ht="11.25" customHeight="1">
      <c r="A456" s="1774" t="s">
        <v>2245</v>
      </c>
      <c r="B456" s="1774" t="s">
        <v>16</v>
      </c>
      <c r="C456" s="1774" t="s">
        <v>2394</v>
      </c>
      <c r="D456" s="1774" t="s">
        <v>2395</v>
      </c>
      <c r="E456" s="1774" t="s">
        <v>2390</v>
      </c>
      <c r="F456" s="1774" t="s">
        <v>2396</v>
      </c>
      <c r="G456" s="1774" t="s">
        <v>22</v>
      </c>
      <c r="H456" s="1774" t="s">
        <v>22</v>
      </c>
      <c r="I456" s="1774" t="s">
        <v>893</v>
      </c>
    </row>
    <row r="457" spans="1:9" ht="11.25" customHeight="1">
      <c r="A457" s="1774" t="s">
        <v>2245</v>
      </c>
      <c r="B457" s="1774" t="s">
        <v>16</v>
      </c>
      <c r="C457" s="1774" t="s">
        <v>2400</v>
      </c>
      <c r="D457" s="1774" t="s">
        <v>2401</v>
      </c>
      <c r="E457" s="1774" t="s">
        <v>2390</v>
      </c>
      <c r="F457" s="1774" t="s">
        <v>2402</v>
      </c>
      <c r="G457" s="1774" t="s">
        <v>22</v>
      </c>
      <c r="H457" s="1774" t="s">
        <v>22</v>
      </c>
      <c r="I457" s="1774" t="s">
        <v>893</v>
      </c>
    </row>
    <row r="458" spans="1:9" ht="11.25" customHeight="1">
      <c r="A458" s="1774" t="s">
        <v>2245</v>
      </c>
      <c r="B458" s="1774" t="s">
        <v>16</v>
      </c>
      <c r="C458" s="1774" t="s">
        <v>2403</v>
      </c>
      <c r="D458" s="1774" t="s">
        <v>2404</v>
      </c>
      <c r="E458" s="1774" t="s">
        <v>2390</v>
      </c>
      <c r="F458" s="1774" t="s">
        <v>2405</v>
      </c>
      <c r="G458" s="1774" t="s">
        <v>22</v>
      </c>
      <c r="H458" s="1774" t="s">
        <v>22</v>
      </c>
      <c r="I458" s="1774" t="s">
        <v>893</v>
      </c>
    </row>
    <row r="459" spans="1:9" ht="11.25" customHeight="1">
      <c r="A459" s="1774" t="s">
        <v>2245</v>
      </c>
      <c r="B459" s="1774" t="s">
        <v>16</v>
      </c>
      <c r="C459" s="1774" t="s">
        <v>2406</v>
      </c>
      <c r="D459" s="1774" t="s">
        <v>2407</v>
      </c>
      <c r="E459" s="1774" t="s">
        <v>2390</v>
      </c>
      <c r="F459" s="1774" t="s">
        <v>2408</v>
      </c>
      <c r="G459" s="1774" t="s">
        <v>22</v>
      </c>
      <c r="H459" s="1774" t="s">
        <v>22</v>
      </c>
      <c r="I459" s="1774" t="s">
        <v>893</v>
      </c>
    </row>
    <row r="460" spans="1:9" ht="11.25" customHeight="1">
      <c r="A460" s="1774" t="s">
        <v>2245</v>
      </c>
      <c r="B460" s="1774" t="s">
        <v>16</v>
      </c>
      <c r="C460" s="1774" t="s">
        <v>2409</v>
      </c>
      <c r="D460" s="1774" t="s">
        <v>2410</v>
      </c>
      <c r="E460" s="1774" t="s">
        <v>2390</v>
      </c>
      <c r="F460" s="1774" t="s">
        <v>2411</v>
      </c>
      <c r="G460" s="1774" t="s">
        <v>22</v>
      </c>
      <c r="H460" s="1774" t="s">
        <v>22</v>
      </c>
      <c r="I460" s="1774" t="s">
        <v>893</v>
      </c>
    </row>
    <row r="461" spans="1:9" ht="11.25" customHeight="1">
      <c r="A461" s="1774" t="s">
        <v>2245</v>
      </c>
      <c r="B461" s="1774" t="s">
        <v>16</v>
      </c>
      <c r="C461" s="1774" t="s">
        <v>2425</v>
      </c>
      <c r="D461" s="1774" t="s">
        <v>2426</v>
      </c>
      <c r="E461" s="1774" t="s">
        <v>2427</v>
      </c>
      <c r="F461" s="1774" t="s">
        <v>2428</v>
      </c>
      <c r="G461" s="1774" t="s">
        <v>22</v>
      </c>
      <c r="H461" s="1774" t="s">
        <v>22</v>
      </c>
      <c r="I461" s="1774" t="s">
        <v>893</v>
      </c>
    </row>
    <row r="462" spans="1:9" ht="11.25" customHeight="1">
      <c r="A462" s="1774" t="s">
        <v>2245</v>
      </c>
      <c r="B462" s="1774" t="s">
        <v>16</v>
      </c>
      <c r="C462" s="1774" t="s">
        <v>2441</v>
      </c>
      <c r="D462" s="1774" t="s">
        <v>2442</v>
      </c>
      <c r="E462" s="1774" t="s">
        <v>2443</v>
      </c>
      <c r="F462" s="1774" t="s">
        <v>2265</v>
      </c>
      <c r="G462" s="1774" t="s">
        <v>22</v>
      </c>
      <c r="H462" s="1774" t="s">
        <v>22</v>
      </c>
      <c r="I462" s="1774" t="s">
        <v>893</v>
      </c>
    </row>
    <row r="463" spans="1:9" ht="11.25" customHeight="1">
      <c r="A463" s="1774" t="s">
        <v>2245</v>
      </c>
      <c r="B463" s="1774" t="s">
        <v>16</v>
      </c>
      <c r="C463" s="1774" t="s">
        <v>2444</v>
      </c>
      <c r="D463" s="1774" t="s">
        <v>2445</v>
      </c>
      <c r="E463" s="1774" t="s">
        <v>2446</v>
      </c>
      <c r="F463" s="1774" t="s">
        <v>2440</v>
      </c>
      <c r="G463" s="1774" t="s">
        <v>22</v>
      </c>
      <c r="H463" s="1774" t="s">
        <v>22</v>
      </c>
      <c r="I463" s="1774" t="s">
        <v>893</v>
      </c>
    </row>
    <row r="464" spans="1:9" ht="11.25" customHeight="1">
      <c r="A464" s="1774" t="s">
        <v>2245</v>
      </c>
      <c r="B464" s="1774" t="s">
        <v>16</v>
      </c>
      <c r="C464" s="1774" t="s">
        <v>2456</v>
      </c>
      <c r="D464" s="1774" t="s">
        <v>2457</v>
      </c>
      <c r="E464" s="1774" t="s">
        <v>2458</v>
      </c>
      <c r="F464" s="1774" t="s">
        <v>2261</v>
      </c>
      <c r="G464" s="1774" t="s">
        <v>22</v>
      </c>
      <c r="H464" s="1774" t="s">
        <v>22</v>
      </c>
      <c r="I464" s="1774" t="s">
        <v>893</v>
      </c>
    </row>
    <row r="465" spans="1:9" ht="11.25" customHeight="1">
      <c r="A465" s="1774" t="s">
        <v>2245</v>
      </c>
      <c r="B465" s="1774" t="s">
        <v>16</v>
      </c>
      <c r="C465" s="1774" t="s">
        <v>2464</v>
      </c>
      <c r="D465" s="1774" t="s">
        <v>2465</v>
      </c>
      <c r="E465" s="1774" t="s">
        <v>2466</v>
      </c>
      <c r="F465" s="1774" t="s">
        <v>2291</v>
      </c>
      <c r="G465" s="1774" t="s">
        <v>2467</v>
      </c>
      <c r="H465" s="1774" t="s">
        <v>22</v>
      </c>
      <c r="I465" s="1774" t="s">
        <v>893</v>
      </c>
    </row>
    <row r="466" spans="1:9" ht="11.25" customHeight="1">
      <c r="A466" s="1774" t="s">
        <v>2245</v>
      </c>
      <c r="B466" s="1774" t="s">
        <v>16</v>
      </c>
      <c r="C466" s="1774" t="s">
        <v>2471</v>
      </c>
      <c r="D466" s="1774" t="s">
        <v>2472</v>
      </c>
      <c r="E466" s="1774" t="s">
        <v>2473</v>
      </c>
      <c r="F466" s="1774" t="s">
        <v>2270</v>
      </c>
      <c r="G466" s="1774" t="s">
        <v>2474</v>
      </c>
      <c r="H466" s="1774" t="s">
        <v>22</v>
      </c>
      <c r="I466" s="1774" t="s">
        <v>893</v>
      </c>
    </row>
    <row r="467" spans="1:9" ht="11.25" customHeight="1">
      <c r="A467" s="1774" t="s">
        <v>2245</v>
      </c>
      <c r="B467" s="1774" t="s">
        <v>16</v>
      </c>
      <c r="C467" s="1774" t="s">
        <v>2486</v>
      </c>
      <c r="D467" s="1774" t="s">
        <v>2487</v>
      </c>
      <c r="E467" s="1774" t="s">
        <v>2390</v>
      </c>
      <c r="F467" s="1774" t="s">
        <v>2488</v>
      </c>
      <c r="G467" s="1774" t="s">
        <v>22</v>
      </c>
      <c r="H467" s="1774" t="s">
        <v>22</v>
      </c>
      <c r="I467" s="1774" t="s">
        <v>893</v>
      </c>
    </row>
    <row r="468" spans="1:9" ht="11.25" customHeight="1">
      <c r="A468" s="1774" t="s">
        <v>2245</v>
      </c>
      <c r="B468" s="1774" t="s">
        <v>16</v>
      </c>
      <c r="C468" s="1774" t="s">
        <v>2505</v>
      </c>
      <c r="D468" s="1774" t="s">
        <v>2506</v>
      </c>
      <c r="E468" s="1774" t="s">
        <v>2507</v>
      </c>
      <c r="F468" s="1774" t="s">
        <v>2508</v>
      </c>
      <c r="G468" s="1774" t="s">
        <v>22</v>
      </c>
      <c r="H468" s="1774" t="s">
        <v>22</v>
      </c>
      <c r="I468" s="1774" t="s">
        <v>893</v>
      </c>
    </row>
    <row r="469" spans="1:9" ht="11.25" customHeight="1">
      <c r="A469" s="1774" t="s">
        <v>2245</v>
      </c>
      <c r="B469" s="1774" t="s">
        <v>16</v>
      </c>
      <c r="C469" s="1774" t="s">
        <v>2532</v>
      </c>
      <c r="D469" s="1774" t="s">
        <v>2533</v>
      </c>
      <c r="E469" s="1774" t="s">
        <v>2534</v>
      </c>
      <c r="F469" s="1774" t="s">
        <v>2535</v>
      </c>
      <c r="G469" s="1774" t="s">
        <v>22</v>
      </c>
      <c r="H469" s="1774" t="s">
        <v>22</v>
      </c>
      <c r="I469" s="1774" t="s">
        <v>893</v>
      </c>
    </row>
    <row r="470" spans="1:9" ht="11.25" customHeight="1">
      <c r="A470" s="1774" t="s">
        <v>2245</v>
      </c>
      <c r="B470" s="1774" t="s">
        <v>16</v>
      </c>
      <c r="C470" s="1774" t="s">
        <v>2539</v>
      </c>
      <c r="D470" s="1774" t="s">
        <v>2540</v>
      </c>
      <c r="E470" s="1774" t="s">
        <v>2541</v>
      </c>
      <c r="F470" s="1774" t="s">
        <v>2542</v>
      </c>
      <c r="G470" s="1774" t="s">
        <v>22</v>
      </c>
      <c r="H470" s="1774" t="s">
        <v>22</v>
      </c>
      <c r="I470" s="1774" t="s">
        <v>893</v>
      </c>
    </row>
    <row r="471" spans="1:9" ht="11.25" customHeight="1">
      <c r="A471" s="1774" t="s">
        <v>2245</v>
      </c>
      <c r="B471" s="1774" t="s">
        <v>16</v>
      </c>
      <c r="C471" s="1774" t="s">
        <v>2543</v>
      </c>
      <c r="D471" s="1774" t="s">
        <v>2544</v>
      </c>
      <c r="E471" s="1774" t="s">
        <v>2545</v>
      </c>
      <c r="F471" s="1774" t="s">
        <v>2291</v>
      </c>
      <c r="G471" s="1774" t="s">
        <v>22</v>
      </c>
      <c r="H471" s="1774" t="s">
        <v>22</v>
      </c>
      <c r="I471" s="1774" t="s">
        <v>893</v>
      </c>
    </row>
    <row r="472" spans="1:9" ht="11.25" customHeight="1">
      <c r="A472" s="1774" t="s">
        <v>2245</v>
      </c>
      <c r="B472" s="1774" t="s">
        <v>16</v>
      </c>
      <c r="C472" s="1774" t="s">
        <v>2552</v>
      </c>
      <c r="D472" s="1774" t="s">
        <v>2553</v>
      </c>
      <c r="E472" s="1774" t="s">
        <v>2554</v>
      </c>
      <c r="F472" s="1774" t="s">
        <v>2317</v>
      </c>
      <c r="G472" s="1774" t="s">
        <v>22</v>
      </c>
      <c r="H472" s="1774" t="s">
        <v>22</v>
      </c>
      <c r="I472" s="1774" t="s">
        <v>893</v>
      </c>
    </row>
    <row r="473" spans="1:9" ht="11.25" customHeight="1">
      <c r="A473" s="1774" t="s">
        <v>2245</v>
      </c>
      <c r="B473" s="1774" t="s">
        <v>16</v>
      </c>
      <c r="C473" s="1774" t="s">
        <v>2564</v>
      </c>
      <c r="D473" s="1774" t="s">
        <v>2565</v>
      </c>
      <c r="E473" s="1774" t="s">
        <v>2566</v>
      </c>
      <c r="F473" s="1774" t="s">
        <v>2567</v>
      </c>
      <c r="G473" s="1774" t="s">
        <v>22</v>
      </c>
      <c r="H473" s="1774" t="s">
        <v>22</v>
      </c>
      <c r="I473" s="1774" t="s">
        <v>893</v>
      </c>
    </row>
    <row r="474" spans="1:9" ht="11.25" customHeight="1">
      <c r="A474" s="1774" t="s">
        <v>2245</v>
      </c>
      <c r="B474" s="1774" t="s">
        <v>16</v>
      </c>
      <c r="C474" s="1774" t="s">
        <v>2657</v>
      </c>
      <c r="D474" s="1774" t="s">
        <v>2658</v>
      </c>
      <c r="E474" s="1774" t="s">
        <v>2659</v>
      </c>
      <c r="F474" s="1774" t="s">
        <v>2376</v>
      </c>
      <c r="G474" s="1774" t="s">
        <v>22</v>
      </c>
      <c r="H474" s="1774" t="s">
        <v>22</v>
      </c>
      <c r="I474" s="1774" t="s">
        <v>893</v>
      </c>
    </row>
    <row r="475" spans="1:9" ht="11.25" customHeight="1">
      <c r="A475" s="1774" t="s">
        <v>2245</v>
      </c>
      <c r="B475" s="1774" t="s">
        <v>16</v>
      </c>
      <c r="C475" s="1774" t="s">
        <v>2663</v>
      </c>
      <c r="D475" s="1774" t="s">
        <v>2664</v>
      </c>
      <c r="E475" s="1774" t="s">
        <v>2665</v>
      </c>
      <c r="F475" s="1774" t="s">
        <v>2666</v>
      </c>
      <c r="G475" s="1774" t="s">
        <v>22</v>
      </c>
      <c r="H475" s="1774" t="s">
        <v>22</v>
      </c>
      <c r="I475" s="1774" t="s">
        <v>893</v>
      </c>
    </row>
    <row r="476" spans="1:9" ht="11.25" customHeight="1">
      <c r="A476" s="1774" t="s">
        <v>2245</v>
      </c>
      <c r="B476" s="1774" t="s">
        <v>16</v>
      </c>
      <c r="C476" s="1774" t="s">
        <v>2667</v>
      </c>
      <c r="D476" s="1774" t="s">
        <v>2668</v>
      </c>
      <c r="E476" s="1774" t="s">
        <v>2669</v>
      </c>
      <c r="F476" s="1774" t="s">
        <v>2280</v>
      </c>
      <c r="G476" s="1774" t="s">
        <v>22</v>
      </c>
      <c r="H476" s="1774" t="s">
        <v>22</v>
      </c>
      <c r="I476" s="1774" t="s">
        <v>893</v>
      </c>
    </row>
    <row r="477" spans="1:9" ht="11.25" customHeight="1">
      <c r="A477" s="1774" t="s">
        <v>2245</v>
      </c>
      <c r="B477" s="1774" t="s">
        <v>16</v>
      </c>
      <c r="C477" s="1774" t="s">
        <v>2673</v>
      </c>
      <c r="D477" s="1774" t="s">
        <v>2674</v>
      </c>
      <c r="E477" s="1774" t="s">
        <v>2675</v>
      </c>
      <c r="F477" s="1774" t="s">
        <v>2666</v>
      </c>
      <c r="G477" s="1774" t="s">
        <v>22</v>
      </c>
      <c r="H477" s="1774" t="s">
        <v>22</v>
      </c>
      <c r="I477" s="1774" t="s">
        <v>893</v>
      </c>
    </row>
    <row r="478" spans="1:9" ht="11.25" customHeight="1">
      <c r="A478" s="1774" t="s">
        <v>2245</v>
      </c>
      <c r="B478" s="1774" t="s">
        <v>16</v>
      </c>
      <c r="C478" s="1774" t="s">
        <v>2676</v>
      </c>
      <c r="D478" s="1774" t="s">
        <v>2677</v>
      </c>
      <c r="E478" s="1774" t="s">
        <v>2678</v>
      </c>
      <c r="F478" s="1774" t="s">
        <v>2679</v>
      </c>
      <c r="G478" s="1774" t="s">
        <v>22</v>
      </c>
      <c r="H478" s="1774" t="s">
        <v>22</v>
      </c>
      <c r="I478" s="1774" t="s">
        <v>893</v>
      </c>
    </row>
    <row r="479" spans="1:9" ht="11.25" customHeight="1">
      <c r="A479" s="1774" t="s">
        <v>2245</v>
      </c>
      <c r="B479" s="1774" t="s">
        <v>16</v>
      </c>
      <c r="C479" s="1774" t="s">
        <v>2683</v>
      </c>
      <c r="D479" s="1774" t="s">
        <v>2684</v>
      </c>
      <c r="E479" s="1774" t="s">
        <v>2685</v>
      </c>
      <c r="F479" s="1774" t="s">
        <v>2686</v>
      </c>
      <c r="G479" s="1774" t="s">
        <v>2687</v>
      </c>
      <c r="H479" s="1774" t="s">
        <v>22</v>
      </c>
      <c r="I479" s="1774" t="s">
        <v>893</v>
      </c>
    </row>
    <row r="480" spans="1:9" ht="11.25" customHeight="1">
      <c r="A480" s="1774" t="s">
        <v>2245</v>
      </c>
      <c r="B480" s="1774" t="s">
        <v>16</v>
      </c>
      <c r="C480" s="1774" t="s">
        <v>2688</v>
      </c>
      <c r="D480" s="1774" t="s">
        <v>2689</v>
      </c>
      <c r="E480" s="1774" t="s">
        <v>2690</v>
      </c>
      <c r="F480" s="1774" t="s">
        <v>2249</v>
      </c>
      <c r="G480" s="1774" t="s">
        <v>22</v>
      </c>
      <c r="H480" s="1774" t="s">
        <v>22</v>
      </c>
      <c r="I480" s="1774" t="s">
        <v>893</v>
      </c>
    </row>
    <row r="481" spans="1:9" ht="11.25" customHeight="1">
      <c r="A481" s="1774" t="s">
        <v>2245</v>
      </c>
      <c r="B481" s="1774" t="s">
        <v>16</v>
      </c>
      <c r="C481" s="1774" t="s">
        <v>2698</v>
      </c>
      <c r="D481" s="1774" t="s">
        <v>2699</v>
      </c>
      <c r="E481" s="1774" t="s">
        <v>2700</v>
      </c>
      <c r="F481" s="1774" t="s">
        <v>2298</v>
      </c>
      <c r="G481" s="1774" t="s">
        <v>22</v>
      </c>
      <c r="H481" s="1774" t="s">
        <v>22</v>
      </c>
      <c r="I481" s="1774" t="s">
        <v>893</v>
      </c>
    </row>
    <row r="482" spans="1:9" ht="11.25" customHeight="1">
      <c r="A482" s="1774" t="s">
        <v>2245</v>
      </c>
      <c r="B482" s="1774" t="s">
        <v>16</v>
      </c>
      <c r="C482" s="1774" t="s">
        <v>2722</v>
      </c>
      <c r="D482" s="1774" t="s">
        <v>2723</v>
      </c>
      <c r="E482" s="1774" t="s">
        <v>2724</v>
      </c>
      <c r="F482" s="1774" t="s">
        <v>2313</v>
      </c>
      <c r="G482" s="1774" t="s">
        <v>22</v>
      </c>
      <c r="H482" s="1774" t="s">
        <v>22</v>
      </c>
      <c r="I482" s="1774" t="s">
        <v>893</v>
      </c>
    </row>
    <row r="483" spans="1:9" ht="11.25" customHeight="1">
      <c r="A483" s="1774" t="s">
        <v>2245</v>
      </c>
      <c r="B483" s="1774" t="s">
        <v>16</v>
      </c>
      <c r="C483" s="1774" t="s">
        <v>2728</v>
      </c>
      <c r="D483" s="1774" t="s">
        <v>2729</v>
      </c>
      <c r="E483" s="1774" t="s">
        <v>2730</v>
      </c>
      <c r="F483" s="1774" t="s">
        <v>2535</v>
      </c>
      <c r="G483" s="1774" t="s">
        <v>22</v>
      </c>
      <c r="H483" s="1774" t="s">
        <v>22</v>
      </c>
      <c r="I483" s="1774" t="s">
        <v>893</v>
      </c>
    </row>
    <row r="484" spans="1:9" ht="11.25" customHeight="1">
      <c r="A484" s="1774" t="s">
        <v>2245</v>
      </c>
      <c r="B484" s="1774" t="s">
        <v>16</v>
      </c>
      <c r="C484" s="1774" t="s">
        <v>2734</v>
      </c>
      <c r="D484" s="1774" t="s">
        <v>2735</v>
      </c>
      <c r="E484" s="1774" t="s">
        <v>2736</v>
      </c>
      <c r="F484" s="1774" t="s">
        <v>2686</v>
      </c>
      <c r="G484" s="1774" t="s">
        <v>22</v>
      </c>
      <c r="H484" s="1774" t="s">
        <v>22</v>
      </c>
      <c r="I484" s="1774" t="s">
        <v>893</v>
      </c>
    </row>
    <row r="485" spans="1:9" ht="11.25" customHeight="1">
      <c r="A485" s="1774" t="s">
        <v>2245</v>
      </c>
      <c r="B485" s="1774" t="s">
        <v>16</v>
      </c>
      <c r="C485" s="1774" t="s">
        <v>2750</v>
      </c>
      <c r="D485" s="1774" t="s">
        <v>2751</v>
      </c>
      <c r="E485" s="1774" t="s">
        <v>2752</v>
      </c>
      <c r="F485" s="1774" t="s">
        <v>2348</v>
      </c>
      <c r="G485" s="1774" t="s">
        <v>22</v>
      </c>
      <c r="H485" s="1774" t="s">
        <v>22</v>
      </c>
      <c r="I485" s="1774" t="s">
        <v>893</v>
      </c>
    </row>
    <row r="486" spans="1:9" ht="11.25" customHeight="1">
      <c r="A486" s="1774" t="s">
        <v>2245</v>
      </c>
      <c r="B486" s="1774" t="s">
        <v>16</v>
      </c>
      <c r="C486" s="1774" t="s">
        <v>2756</v>
      </c>
      <c r="D486" s="1774" t="s">
        <v>2757</v>
      </c>
      <c r="E486" s="1774" t="s">
        <v>2758</v>
      </c>
      <c r="F486" s="1774" t="s">
        <v>2759</v>
      </c>
      <c r="G486" s="1774" t="s">
        <v>22</v>
      </c>
      <c r="H486" s="1774" t="s">
        <v>22</v>
      </c>
      <c r="I486" s="1774" t="s">
        <v>893</v>
      </c>
    </row>
    <row r="487" spans="1:9" ht="11.25" customHeight="1">
      <c r="A487" s="1774" t="s">
        <v>2245</v>
      </c>
      <c r="B487" s="1774" t="s">
        <v>16</v>
      </c>
      <c r="C487" s="1774" t="s">
        <v>2763</v>
      </c>
      <c r="D487" s="1774" t="s">
        <v>2764</v>
      </c>
      <c r="E487" s="1774" t="s">
        <v>2765</v>
      </c>
      <c r="F487" s="1774" t="s">
        <v>2766</v>
      </c>
      <c r="G487" s="1774" t="s">
        <v>22</v>
      </c>
      <c r="H487" s="1774" t="s">
        <v>22</v>
      </c>
      <c r="I487" s="1774" t="s">
        <v>893</v>
      </c>
    </row>
    <row r="488" spans="1:9" ht="11.25" customHeight="1">
      <c r="A488" s="1774" t="s">
        <v>2245</v>
      </c>
      <c r="B488" s="1774" t="s">
        <v>16</v>
      </c>
      <c r="C488" s="1774" t="s">
        <v>2767</v>
      </c>
      <c r="D488" s="1774" t="s">
        <v>2768</v>
      </c>
      <c r="E488" s="1774" t="s">
        <v>2769</v>
      </c>
      <c r="F488" s="1774" t="s">
        <v>2508</v>
      </c>
      <c r="G488" s="1774" t="s">
        <v>22</v>
      </c>
      <c r="H488" s="1774" t="s">
        <v>22</v>
      </c>
      <c r="I488" s="1774" t="s">
        <v>893</v>
      </c>
    </row>
    <row r="489" spans="1:9" ht="11.25" customHeight="1">
      <c r="A489" s="1774" t="s">
        <v>2245</v>
      </c>
      <c r="B489" s="1774" t="s">
        <v>16</v>
      </c>
      <c r="C489" s="1774" t="s">
        <v>2780</v>
      </c>
      <c r="D489" s="1774" t="s">
        <v>2781</v>
      </c>
      <c r="E489" s="1774" t="s">
        <v>2782</v>
      </c>
      <c r="F489" s="1774" t="s">
        <v>2535</v>
      </c>
      <c r="G489" s="1774" t="s">
        <v>22</v>
      </c>
      <c r="H489" s="1774" t="s">
        <v>22</v>
      </c>
      <c r="I489" s="1774" t="s">
        <v>893</v>
      </c>
    </row>
    <row r="490" spans="1:9" ht="11.25" customHeight="1">
      <c r="A490" s="1774" t="s">
        <v>2245</v>
      </c>
      <c r="B490" s="1774" t="s">
        <v>16</v>
      </c>
      <c r="C490" s="1774" t="s">
        <v>2783</v>
      </c>
      <c r="D490" s="1774" t="s">
        <v>2784</v>
      </c>
      <c r="E490" s="1774" t="s">
        <v>2785</v>
      </c>
      <c r="F490" s="1774" t="s">
        <v>2270</v>
      </c>
      <c r="G490" s="1774" t="s">
        <v>22</v>
      </c>
      <c r="H490" s="1774" t="s">
        <v>22</v>
      </c>
      <c r="I490" s="1774" t="s">
        <v>893</v>
      </c>
    </row>
    <row r="491" spans="1:9" ht="11.25" customHeight="1">
      <c r="A491" s="1774" t="s">
        <v>2245</v>
      </c>
      <c r="B491" s="1774" t="s">
        <v>16</v>
      </c>
      <c r="C491" s="1774" t="s">
        <v>2789</v>
      </c>
      <c r="D491" s="1774" t="s">
        <v>2790</v>
      </c>
      <c r="E491" s="1774" t="s">
        <v>2791</v>
      </c>
      <c r="F491" s="1774" t="s">
        <v>2348</v>
      </c>
      <c r="G491" s="1774" t="s">
        <v>22</v>
      </c>
      <c r="H491" s="1774" t="s">
        <v>22</v>
      </c>
      <c r="I491" s="1774" t="s">
        <v>893</v>
      </c>
    </row>
    <row r="492" spans="1:9" ht="11.25" customHeight="1">
      <c r="A492" s="1774" t="s">
        <v>2245</v>
      </c>
      <c r="B492" s="1774" t="s">
        <v>16</v>
      </c>
      <c r="C492" s="1774" t="s">
        <v>2810</v>
      </c>
      <c r="D492" s="1774" t="s">
        <v>2811</v>
      </c>
      <c r="E492" s="1774" t="s">
        <v>2812</v>
      </c>
      <c r="F492" s="1774" t="s">
        <v>2686</v>
      </c>
      <c r="G492" s="1774" t="s">
        <v>22</v>
      </c>
      <c r="H492" s="1774" t="s">
        <v>22</v>
      </c>
      <c r="I492" s="1774" t="s">
        <v>893</v>
      </c>
    </row>
    <row r="493" spans="1:9" ht="11.25" customHeight="1">
      <c r="A493" s="1774" t="s">
        <v>2245</v>
      </c>
      <c r="B493" s="1774" t="s">
        <v>16</v>
      </c>
      <c r="C493" s="1774" t="s">
        <v>2813</v>
      </c>
      <c r="D493" s="1774" t="s">
        <v>2814</v>
      </c>
      <c r="E493" s="1774" t="s">
        <v>2815</v>
      </c>
      <c r="F493" s="1774" t="s">
        <v>2816</v>
      </c>
      <c r="G493" s="1774" t="s">
        <v>22</v>
      </c>
      <c r="H493" s="1774" t="s">
        <v>22</v>
      </c>
      <c r="I493" s="1774" t="s">
        <v>893</v>
      </c>
    </row>
    <row r="494" spans="1:9" ht="11.25" customHeight="1">
      <c r="A494" s="1774" t="s">
        <v>2245</v>
      </c>
      <c r="B494" s="1774" t="s">
        <v>16</v>
      </c>
      <c r="C494" s="1774" t="s">
        <v>2817</v>
      </c>
      <c r="D494" s="1774" t="s">
        <v>2818</v>
      </c>
      <c r="E494" s="1774" t="s">
        <v>2819</v>
      </c>
      <c r="F494" s="1774" t="s">
        <v>2306</v>
      </c>
      <c r="G494" s="1774" t="s">
        <v>22</v>
      </c>
      <c r="H494" s="1774" t="s">
        <v>22</v>
      </c>
      <c r="I494" s="1774" t="s">
        <v>893</v>
      </c>
    </row>
    <row r="495" spans="1:9" ht="11.25" customHeight="1">
      <c r="A495" s="1774" t="s">
        <v>2245</v>
      </c>
      <c r="B495" s="1774" t="s">
        <v>16</v>
      </c>
      <c r="C495" s="1774" t="s">
        <v>2824</v>
      </c>
      <c r="D495" s="1774" t="s">
        <v>2825</v>
      </c>
      <c r="E495" s="1774" t="s">
        <v>2826</v>
      </c>
      <c r="F495" s="1774" t="s">
        <v>2686</v>
      </c>
      <c r="G495" s="1774" t="s">
        <v>22</v>
      </c>
      <c r="H495" s="1774" t="s">
        <v>22</v>
      </c>
      <c r="I495" s="1774" t="s">
        <v>893</v>
      </c>
    </row>
    <row r="496" spans="1:9" ht="11.25" customHeight="1">
      <c r="A496" s="1774" t="s">
        <v>2245</v>
      </c>
      <c r="B496" s="1774" t="s">
        <v>16</v>
      </c>
      <c r="C496" s="1774" t="s">
        <v>2827</v>
      </c>
      <c r="D496" s="1774" t="s">
        <v>2828</v>
      </c>
      <c r="E496" s="1774" t="s">
        <v>2829</v>
      </c>
      <c r="F496" s="1774" t="s">
        <v>2542</v>
      </c>
      <c r="G496" s="1774" t="s">
        <v>22</v>
      </c>
      <c r="H496" s="1774" t="s">
        <v>22</v>
      </c>
      <c r="I496" s="1774" t="s">
        <v>893</v>
      </c>
    </row>
    <row r="497" spans="1:9" ht="11.25" customHeight="1">
      <c r="A497" s="1774" t="s">
        <v>2245</v>
      </c>
      <c r="B497" s="1774" t="s">
        <v>16</v>
      </c>
      <c r="C497" s="1774" t="s">
        <v>2830</v>
      </c>
      <c r="D497" s="1774" t="s">
        <v>2831</v>
      </c>
      <c r="E497" s="1774" t="s">
        <v>2832</v>
      </c>
      <c r="F497" s="1774" t="s">
        <v>2704</v>
      </c>
      <c r="G497" s="1774" t="s">
        <v>22</v>
      </c>
      <c r="H497" s="1774" t="s">
        <v>22</v>
      </c>
      <c r="I497" s="1774" t="s">
        <v>893</v>
      </c>
    </row>
    <row r="498" spans="1:9" ht="11.25" customHeight="1">
      <c r="A498" s="1774" t="s">
        <v>2245</v>
      </c>
      <c r="B498" s="1774" t="s">
        <v>16</v>
      </c>
      <c r="C498" s="1774" t="s">
        <v>2840</v>
      </c>
      <c r="D498" s="1774" t="s">
        <v>2841</v>
      </c>
      <c r="E498" s="1774" t="s">
        <v>2842</v>
      </c>
      <c r="F498" s="1774" t="s">
        <v>2843</v>
      </c>
      <c r="G498" s="1774" t="s">
        <v>22</v>
      </c>
      <c r="H498" s="1774" t="s">
        <v>22</v>
      </c>
      <c r="I498" s="1774" t="s">
        <v>893</v>
      </c>
    </row>
    <row r="499" spans="1:9" ht="11.25" customHeight="1">
      <c r="A499" s="1774" t="s">
        <v>2245</v>
      </c>
      <c r="B499" s="1774" t="s">
        <v>16</v>
      </c>
      <c r="C499" s="1774" t="s">
        <v>2844</v>
      </c>
      <c r="D499" s="1774" t="s">
        <v>2845</v>
      </c>
      <c r="E499" s="1774" t="s">
        <v>2846</v>
      </c>
      <c r="F499" s="1774" t="s">
        <v>2317</v>
      </c>
      <c r="G499" s="1774" t="s">
        <v>22</v>
      </c>
      <c r="H499" s="1774" t="s">
        <v>22</v>
      </c>
      <c r="I499" s="1774" t="s">
        <v>893</v>
      </c>
    </row>
    <row r="500" spans="1:9" ht="11.25" customHeight="1">
      <c r="A500" s="1774" t="s">
        <v>2245</v>
      </c>
      <c r="B500" s="1774" t="s">
        <v>16</v>
      </c>
      <c r="C500" s="1774" t="s">
        <v>2847</v>
      </c>
      <c r="D500" s="1774" t="s">
        <v>2848</v>
      </c>
      <c r="E500" s="1774" t="s">
        <v>2849</v>
      </c>
      <c r="F500" s="1774" t="s">
        <v>2519</v>
      </c>
      <c r="G500" s="1774" t="s">
        <v>22</v>
      </c>
      <c r="H500" s="1774" t="s">
        <v>22</v>
      </c>
      <c r="I500" s="1774" t="s">
        <v>893</v>
      </c>
    </row>
    <row r="501" spans="1:9" ht="11.25" customHeight="1">
      <c r="A501" s="1774" t="s">
        <v>2245</v>
      </c>
      <c r="B501" s="1774" t="s">
        <v>16</v>
      </c>
      <c r="C501" s="1774" t="s">
        <v>2850</v>
      </c>
      <c r="D501" s="1774" t="s">
        <v>2851</v>
      </c>
      <c r="E501" s="1774" t="s">
        <v>2852</v>
      </c>
      <c r="F501" s="1774" t="s">
        <v>2638</v>
      </c>
      <c r="G501" s="1774" t="s">
        <v>2853</v>
      </c>
      <c r="H501" s="1774" t="s">
        <v>22</v>
      </c>
      <c r="I501" s="1774" t="s">
        <v>893</v>
      </c>
    </row>
    <row r="502" spans="1:9" ht="11.25" customHeight="1">
      <c r="A502" s="1774" t="s">
        <v>2245</v>
      </c>
      <c r="B502" s="1774" t="s">
        <v>16</v>
      </c>
      <c r="C502" s="1774" t="s">
        <v>2854</v>
      </c>
      <c r="D502" s="1774" t="s">
        <v>2855</v>
      </c>
      <c r="E502" s="1774" t="s">
        <v>2856</v>
      </c>
      <c r="F502" s="1774" t="s">
        <v>2697</v>
      </c>
      <c r="G502" s="1774" t="s">
        <v>22</v>
      </c>
      <c r="H502" s="1774" t="s">
        <v>22</v>
      </c>
      <c r="I502" s="1774" t="s">
        <v>893</v>
      </c>
    </row>
    <row r="503" spans="1:9" ht="11.25" customHeight="1">
      <c r="A503" s="1774" t="s">
        <v>2245</v>
      </c>
      <c r="B503" s="1774" t="s">
        <v>16</v>
      </c>
      <c r="C503" s="1774" t="s">
        <v>2868</v>
      </c>
      <c r="D503" s="1774" t="s">
        <v>2869</v>
      </c>
      <c r="E503" s="1774" t="s">
        <v>2870</v>
      </c>
      <c r="F503" s="1774" t="s">
        <v>2535</v>
      </c>
      <c r="G503" s="1774" t="s">
        <v>2871</v>
      </c>
      <c r="H503" s="1774" t="s">
        <v>22</v>
      </c>
      <c r="I503" s="1774" t="s">
        <v>893</v>
      </c>
    </row>
    <row r="504" spans="1:9" ht="11.25" customHeight="1">
      <c r="A504" s="1774" t="s">
        <v>2245</v>
      </c>
      <c r="B504" s="1774" t="s">
        <v>16</v>
      </c>
      <c r="C504" s="1774" t="s">
        <v>2872</v>
      </c>
      <c r="D504" s="1774" t="s">
        <v>2873</v>
      </c>
      <c r="E504" s="1774" t="s">
        <v>2874</v>
      </c>
      <c r="F504" s="1774" t="s">
        <v>2535</v>
      </c>
      <c r="G504" s="1774" t="s">
        <v>22</v>
      </c>
      <c r="H504" s="1774" t="s">
        <v>22</v>
      </c>
      <c r="I504" s="1774" t="s">
        <v>893</v>
      </c>
    </row>
    <row r="505" spans="1:9" ht="11.25" customHeight="1">
      <c r="A505" s="1774" t="s">
        <v>2245</v>
      </c>
      <c r="B505" s="1774" t="s">
        <v>16</v>
      </c>
      <c r="C505" s="1774" t="s">
        <v>2911</v>
      </c>
      <c r="D505" s="1774" t="s">
        <v>2912</v>
      </c>
      <c r="E505" s="1774" t="s">
        <v>2491</v>
      </c>
      <c r="F505" s="1774" t="s">
        <v>51</v>
      </c>
      <c r="G505" s="1774" t="s">
        <v>22</v>
      </c>
      <c r="H505" s="1774" t="s">
        <v>22</v>
      </c>
      <c r="I505" s="1774" t="s">
        <v>893</v>
      </c>
    </row>
    <row r="506" spans="1:9" ht="11.25" customHeight="1">
      <c r="A506" s="1774" t="s">
        <v>2245</v>
      </c>
      <c r="B506" s="1774" t="s">
        <v>16</v>
      </c>
      <c r="C506" s="1774" t="s">
        <v>2954</v>
      </c>
      <c r="D506" s="1774" t="s">
        <v>2955</v>
      </c>
      <c r="E506" s="1774" t="s">
        <v>2956</v>
      </c>
      <c r="F506" s="1774" t="s">
        <v>2372</v>
      </c>
      <c r="G506" s="1774" t="s">
        <v>22</v>
      </c>
      <c r="H506" s="1774" t="s">
        <v>22</v>
      </c>
      <c r="I506" s="1774" t="s">
        <v>893</v>
      </c>
    </row>
    <row r="507" spans="1:9" ht="11.25" customHeight="1">
      <c r="A507" s="1774" t="s">
        <v>2245</v>
      </c>
      <c r="B507" s="1774" t="s">
        <v>16</v>
      </c>
      <c r="C507" s="1774" t="s">
        <v>2986</v>
      </c>
      <c r="D507" s="1774" t="s">
        <v>2987</v>
      </c>
      <c r="E507" s="1774" t="s">
        <v>2988</v>
      </c>
      <c r="F507" s="1774" t="s">
        <v>2666</v>
      </c>
      <c r="G507" s="1774" t="s">
        <v>22</v>
      </c>
      <c r="H507" s="1774" t="s">
        <v>22</v>
      </c>
      <c r="I507" s="1774" t="s">
        <v>893</v>
      </c>
    </row>
    <row r="508" spans="1:9" ht="11.25" customHeight="1">
      <c r="A508" s="1774" t="s">
        <v>2245</v>
      </c>
      <c r="B508" s="1774" t="s">
        <v>16</v>
      </c>
      <c r="C508" s="1774" t="s">
        <v>2989</v>
      </c>
      <c r="D508" s="1774" t="s">
        <v>2990</v>
      </c>
      <c r="E508" s="1774" t="s">
        <v>2566</v>
      </c>
      <c r="F508" s="1774" t="s">
        <v>2991</v>
      </c>
      <c r="G508" s="1774" t="s">
        <v>22</v>
      </c>
      <c r="H508" s="1774" t="s">
        <v>22</v>
      </c>
      <c r="I508" s="1774" t="s">
        <v>893</v>
      </c>
    </row>
    <row r="509" spans="1:9" ht="11.25" customHeight="1">
      <c r="A509" s="1774" t="s">
        <v>2245</v>
      </c>
      <c r="B509" s="1774" t="s">
        <v>16</v>
      </c>
      <c r="C509" s="1774" t="s">
        <v>2995</v>
      </c>
      <c r="D509" s="1774" t="s">
        <v>2996</v>
      </c>
      <c r="E509" s="1774" t="s">
        <v>2997</v>
      </c>
      <c r="F509" s="1774" t="s">
        <v>2270</v>
      </c>
      <c r="G509" s="1774" t="s">
        <v>22</v>
      </c>
      <c r="H509" s="1774" t="s">
        <v>22</v>
      </c>
      <c r="I509" s="1774" t="s">
        <v>893</v>
      </c>
    </row>
    <row r="510" spans="1:9" ht="11.25" customHeight="1">
      <c r="A510" s="1774" t="s">
        <v>2245</v>
      </c>
      <c r="B510" s="1774" t="s">
        <v>16</v>
      </c>
      <c r="C510" s="1774" t="s">
        <v>3001</v>
      </c>
      <c r="D510" s="1774" t="s">
        <v>3002</v>
      </c>
      <c r="E510" s="1774" t="s">
        <v>3003</v>
      </c>
      <c r="F510" s="1774" t="s">
        <v>2253</v>
      </c>
      <c r="G510" s="1774" t="s">
        <v>22</v>
      </c>
      <c r="H510" s="1774" t="s">
        <v>22</v>
      </c>
      <c r="I510" s="1774" t="s">
        <v>893</v>
      </c>
    </row>
    <row r="511" spans="1:9" ht="11.25" customHeight="1">
      <c r="A511" s="1774" t="s">
        <v>2245</v>
      </c>
      <c r="B511" s="1774" t="s">
        <v>16</v>
      </c>
      <c r="C511" s="1774" t="s">
        <v>3004</v>
      </c>
      <c r="D511" s="1774" t="s">
        <v>3005</v>
      </c>
      <c r="E511" s="1774" t="s">
        <v>3006</v>
      </c>
      <c r="F511" s="1774" t="s">
        <v>2519</v>
      </c>
      <c r="G511" s="1774" t="s">
        <v>22</v>
      </c>
      <c r="H511" s="1774" t="s">
        <v>22</v>
      </c>
      <c r="I511" s="1774" t="s">
        <v>893</v>
      </c>
    </row>
    <row r="512" spans="1:9" ht="11.25" customHeight="1">
      <c r="A512" s="1774" t="s">
        <v>2245</v>
      </c>
      <c r="B512" s="1774" t="s">
        <v>16</v>
      </c>
      <c r="C512" s="1774" t="s">
        <v>3020</v>
      </c>
      <c r="D512" s="1774" t="s">
        <v>3021</v>
      </c>
      <c r="E512" s="1774" t="s">
        <v>3022</v>
      </c>
      <c r="F512" s="1774" t="s">
        <v>2291</v>
      </c>
      <c r="G512" s="1774" t="s">
        <v>22</v>
      </c>
      <c r="H512" s="1774" t="s">
        <v>22</v>
      </c>
      <c r="I512" s="1774" t="s">
        <v>893</v>
      </c>
    </row>
    <row r="513" spans="1:9" ht="11.25" customHeight="1">
      <c r="A513" s="1774" t="s">
        <v>2245</v>
      </c>
      <c r="B513" s="1774" t="s">
        <v>16</v>
      </c>
      <c r="C513" s="1774" t="s">
        <v>3030</v>
      </c>
      <c r="D513" s="1774" t="s">
        <v>3031</v>
      </c>
      <c r="E513" s="1774" t="s">
        <v>3032</v>
      </c>
      <c r="F513" s="1774" t="s">
        <v>2253</v>
      </c>
      <c r="G513" s="1774" t="s">
        <v>22</v>
      </c>
      <c r="H513" s="1774" t="s">
        <v>22</v>
      </c>
      <c r="I513" s="1774" t="s">
        <v>893</v>
      </c>
    </row>
    <row r="514" spans="1:9" ht="11.25" customHeight="1">
      <c r="A514" s="1774" t="s">
        <v>2245</v>
      </c>
      <c r="B514" s="1774" t="s">
        <v>16</v>
      </c>
      <c r="C514" s="1774" t="s">
        <v>3035</v>
      </c>
      <c r="D514" s="1774" t="s">
        <v>3036</v>
      </c>
      <c r="E514" s="1774" t="s">
        <v>3037</v>
      </c>
      <c r="F514" s="1774" t="s">
        <v>2372</v>
      </c>
      <c r="G514" s="1774" t="s">
        <v>22</v>
      </c>
      <c r="H514" s="1774" t="s">
        <v>22</v>
      </c>
      <c r="I514" s="1774" t="s">
        <v>893</v>
      </c>
    </row>
    <row r="515" spans="1:9" ht="11.25" customHeight="1">
      <c r="A515" s="1774" t="s">
        <v>2245</v>
      </c>
      <c r="B515" s="1774" t="s">
        <v>16</v>
      </c>
      <c r="C515" s="1774" t="s">
        <v>3041</v>
      </c>
      <c r="D515" s="1774" t="s">
        <v>3042</v>
      </c>
      <c r="E515" s="1774" t="s">
        <v>3043</v>
      </c>
      <c r="F515" s="1774" t="s">
        <v>2280</v>
      </c>
      <c r="G515" s="1774" t="s">
        <v>22</v>
      </c>
      <c r="H515" s="1774" t="s">
        <v>22</v>
      </c>
      <c r="I515" s="1774" t="s">
        <v>893</v>
      </c>
    </row>
    <row r="516" spans="1:9" ht="11.25" customHeight="1">
      <c r="A516" s="1774" t="s">
        <v>2245</v>
      </c>
      <c r="B516" s="1774" t="s">
        <v>16</v>
      </c>
      <c r="C516" s="1774" t="s">
        <v>3044</v>
      </c>
      <c r="D516" s="1774" t="s">
        <v>3045</v>
      </c>
      <c r="E516" s="1774" t="s">
        <v>3046</v>
      </c>
      <c r="F516" s="1774" t="s">
        <v>2280</v>
      </c>
      <c r="G516" s="1774" t="s">
        <v>22</v>
      </c>
      <c r="H516" s="1774" t="s">
        <v>22</v>
      </c>
      <c r="I516" s="1774" t="s">
        <v>893</v>
      </c>
    </row>
    <row r="517" spans="1:9" ht="11.25" customHeight="1">
      <c r="A517" s="1774" t="s">
        <v>2245</v>
      </c>
      <c r="B517" s="1774" t="s">
        <v>16</v>
      </c>
      <c r="C517" s="1774" t="s">
        <v>3056</v>
      </c>
      <c r="D517" s="1774" t="s">
        <v>3057</v>
      </c>
      <c r="E517" s="1774" t="s">
        <v>3058</v>
      </c>
      <c r="F517" s="1774" t="s">
        <v>2280</v>
      </c>
      <c r="G517" s="1774" t="s">
        <v>22</v>
      </c>
      <c r="H517" s="1774" t="s">
        <v>22</v>
      </c>
      <c r="I517" s="1774" t="s">
        <v>893</v>
      </c>
    </row>
    <row r="518" spans="1:9" ht="11.25" customHeight="1">
      <c r="A518" s="1774" t="s">
        <v>2245</v>
      </c>
      <c r="B518" s="1774" t="s">
        <v>16</v>
      </c>
      <c r="C518" s="1774" t="s">
        <v>3059</v>
      </c>
      <c r="D518" s="1774" t="s">
        <v>3060</v>
      </c>
      <c r="E518" s="1774" t="s">
        <v>3061</v>
      </c>
      <c r="F518" s="1774" t="s">
        <v>2280</v>
      </c>
      <c r="G518" s="1774" t="s">
        <v>22</v>
      </c>
      <c r="H518" s="1774" t="s">
        <v>22</v>
      </c>
      <c r="I518" s="1774" t="s">
        <v>893</v>
      </c>
    </row>
    <row r="519" spans="1:9" ht="11.25" customHeight="1">
      <c r="A519" s="1774" t="s">
        <v>2245</v>
      </c>
      <c r="B519" s="1774" t="s">
        <v>16</v>
      </c>
      <c r="C519" s="1774" t="s">
        <v>3062</v>
      </c>
      <c r="D519" s="1774" t="s">
        <v>3063</v>
      </c>
      <c r="E519" s="1774" t="s">
        <v>3064</v>
      </c>
      <c r="F519" s="1774" t="s">
        <v>2280</v>
      </c>
      <c r="G519" s="1774" t="s">
        <v>22</v>
      </c>
      <c r="H519" s="1774" t="s">
        <v>22</v>
      </c>
      <c r="I519" s="1774" t="s">
        <v>893</v>
      </c>
    </row>
    <row r="520" spans="1:9" ht="11.25" customHeight="1">
      <c r="A520" s="1774" t="s">
        <v>2245</v>
      </c>
      <c r="B520" s="1774" t="s">
        <v>16</v>
      </c>
      <c r="C520" s="1774" t="s">
        <v>3070</v>
      </c>
      <c r="D520" s="1774" t="s">
        <v>3071</v>
      </c>
      <c r="E520" s="1774" t="s">
        <v>3072</v>
      </c>
      <c r="F520" s="1774" t="s">
        <v>3073</v>
      </c>
      <c r="G520" s="1774" t="s">
        <v>22</v>
      </c>
      <c r="H520" s="1774" t="s">
        <v>22</v>
      </c>
      <c r="I520" s="1774" t="s">
        <v>893</v>
      </c>
    </row>
    <row r="521" spans="1:9" ht="11.25" customHeight="1">
      <c r="A521" s="1774" t="s">
        <v>2245</v>
      </c>
      <c r="B521" s="1774" t="s">
        <v>16</v>
      </c>
      <c r="C521" s="1774" t="s">
        <v>3081</v>
      </c>
      <c r="D521" s="1774" t="s">
        <v>3082</v>
      </c>
      <c r="E521" s="1774" t="s">
        <v>3083</v>
      </c>
      <c r="F521" s="1774" t="s">
        <v>2298</v>
      </c>
      <c r="G521" s="1774" t="s">
        <v>22</v>
      </c>
      <c r="H521" s="1774" t="s">
        <v>22</v>
      </c>
      <c r="I521" s="1774" t="s">
        <v>893</v>
      </c>
    </row>
    <row r="522" spans="1:9" ht="11.25" customHeight="1">
      <c r="A522" s="1774" t="s">
        <v>2245</v>
      </c>
      <c r="B522" s="1774" t="s">
        <v>16</v>
      </c>
      <c r="C522" s="1774" t="s">
        <v>3087</v>
      </c>
      <c r="D522" s="1774" t="s">
        <v>3088</v>
      </c>
      <c r="E522" s="1774" t="s">
        <v>3089</v>
      </c>
      <c r="F522" s="1774" t="s">
        <v>2261</v>
      </c>
      <c r="G522" s="1774" t="s">
        <v>3090</v>
      </c>
      <c r="H522" s="1774" t="s">
        <v>22</v>
      </c>
      <c r="I522" s="1774" t="s">
        <v>893</v>
      </c>
    </row>
    <row r="523" spans="1:9" ht="11.25" customHeight="1">
      <c r="A523" s="1774" t="s">
        <v>2245</v>
      </c>
      <c r="B523" s="1774" t="s">
        <v>16</v>
      </c>
      <c r="C523" s="1774" t="s">
        <v>3112</v>
      </c>
      <c r="D523" s="1774" t="s">
        <v>3113</v>
      </c>
      <c r="E523" s="1774" t="s">
        <v>3114</v>
      </c>
      <c r="F523" s="1774" t="s">
        <v>2478</v>
      </c>
      <c r="G523" s="1774" t="s">
        <v>22</v>
      </c>
      <c r="H523" s="1774" t="s">
        <v>22</v>
      </c>
      <c r="I523" s="1774" t="s">
        <v>893</v>
      </c>
    </row>
    <row r="524" spans="1:9" ht="11.25" customHeight="1">
      <c r="A524" s="1774" t="s">
        <v>2245</v>
      </c>
      <c r="B524" s="1774" t="s">
        <v>16</v>
      </c>
      <c r="C524" s="1774" t="s">
        <v>3115</v>
      </c>
      <c r="D524" s="1774" t="s">
        <v>3116</v>
      </c>
      <c r="E524" s="1774" t="s">
        <v>3117</v>
      </c>
      <c r="F524" s="1774" t="s">
        <v>2317</v>
      </c>
      <c r="G524" s="1774" t="s">
        <v>22</v>
      </c>
      <c r="H524" s="1774" t="s">
        <v>22</v>
      </c>
      <c r="I524" s="1774" t="s">
        <v>893</v>
      </c>
    </row>
    <row r="525" spans="1:9" ht="11.25" customHeight="1">
      <c r="A525" s="1774" t="s">
        <v>2245</v>
      </c>
      <c r="B525" s="1774" t="s">
        <v>16</v>
      </c>
      <c r="C525" s="1774" t="s">
        <v>3121</v>
      </c>
      <c r="D525" s="1774" t="s">
        <v>3122</v>
      </c>
      <c r="E525" s="1774" t="s">
        <v>3123</v>
      </c>
      <c r="F525" s="1774" t="s">
        <v>2253</v>
      </c>
      <c r="G525" s="1774" t="s">
        <v>22</v>
      </c>
      <c r="H525" s="1774" t="s">
        <v>22</v>
      </c>
      <c r="I525" s="1774" t="s">
        <v>893</v>
      </c>
    </row>
    <row r="526" spans="1:9" ht="11.25" customHeight="1">
      <c r="A526" s="1774" t="s">
        <v>2245</v>
      </c>
      <c r="B526" s="1774" t="s">
        <v>16</v>
      </c>
      <c r="C526" s="1774" t="s">
        <v>3124</v>
      </c>
      <c r="D526" s="1774" t="s">
        <v>3125</v>
      </c>
      <c r="E526" s="1774" t="s">
        <v>3126</v>
      </c>
      <c r="F526" s="1774" t="s">
        <v>2253</v>
      </c>
      <c r="G526" s="1774" t="s">
        <v>22</v>
      </c>
      <c r="H526" s="1774" t="s">
        <v>22</v>
      </c>
      <c r="I526" s="1774" t="s">
        <v>893</v>
      </c>
    </row>
    <row r="527" spans="1:9" ht="11.25" customHeight="1">
      <c r="A527" s="1774" t="s">
        <v>2245</v>
      </c>
      <c r="B527" s="1774" t="s">
        <v>16</v>
      </c>
      <c r="C527" s="1774" t="s">
        <v>3130</v>
      </c>
      <c r="D527" s="1774" t="s">
        <v>3131</v>
      </c>
      <c r="E527" s="1774" t="s">
        <v>3132</v>
      </c>
      <c r="F527" s="1774" t="s">
        <v>2313</v>
      </c>
      <c r="G527" s="1774" t="s">
        <v>22</v>
      </c>
      <c r="H527" s="1774" t="s">
        <v>22</v>
      </c>
      <c r="I527" s="1774" t="s">
        <v>893</v>
      </c>
    </row>
    <row r="528" spans="1:9" ht="11.25" customHeight="1">
      <c r="A528" s="1774" t="s">
        <v>2245</v>
      </c>
      <c r="B528" s="1774" t="s">
        <v>16</v>
      </c>
      <c r="C528" s="1774" t="s">
        <v>3143</v>
      </c>
      <c r="D528" s="1774" t="s">
        <v>3144</v>
      </c>
      <c r="E528" s="1774" t="s">
        <v>3145</v>
      </c>
      <c r="F528" s="1774" t="s">
        <v>2265</v>
      </c>
      <c r="G528" s="1774" t="s">
        <v>22</v>
      </c>
      <c r="H528" s="1774" t="s">
        <v>22</v>
      </c>
      <c r="I528" s="1774" t="s">
        <v>893</v>
      </c>
    </row>
    <row r="529" spans="1:9" ht="11.25" customHeight="1">
      <c r="A529" s="1774" t="s">
        <v>2245</v>
      </c>
      <c r="B529" s="1774" t="s">
        <v>16</v>
      </c>
      <c r="C529" s="1774" t="s">
        <v>3149</v>
      </c>
      <c r="D529" s="1774" t="s">
        <v>3150</v>
      </c>
      <c r="E529" s="1774" t="s">
        <v>3151</v>
      </c>
      <c r="F529" s="1774" t="s">
        <v>2280</v>
      </c>
      <c r="G529" s="1774" t="s">
        <v>3152</v>
      </c>
      <c r="H529" s="1774" t="s">
        <v>22</v>
      </c>
      <c r="I529" s="1774" t="s">
        <v>893</v>
      </c>
    </row>
    <row r="530" spans="1:9" ht="11.25" customHeight="1">
      <c r="A530" s="1774" t="s">
        <v>2245</v>
      </c>
      <c r="B530" s="1774" t="s">
        <v>16</v>
      </c>
      <c r="C530" s="1774" t="s">
        <v>3153</v>
      </c>
      <c r="D530" s="1774" t="s">
        <v>3154</v>
      </c>
      <c r="E530" s="1774" t="s">
        <v>3155</v>
      </c>
      <c r="F530" s="1774" t="s">
        <v>2280</v>
      </c>
      <c r="G530" s="1774" t="s">
        <v>22</v>
      </c>
      <c r="H530" s="1774" t="s">
        <v>22</v>
      </c>
      <c r="I530" s="1774" t="s">
        <v>893</v>
      </c>
    </row>
    <row r="531" spans="1:9" ht="11.25" customHeight="1">
      <c r="A531" s="1774" t="s">
        <v>2245</v>
      </c>
      <c r="B531" s="1774" t="s">
        <v>16</v>
      </c>
      <c r="C531" s="1774" t="s">
        <v>3156</v>
      </c>
      <c r="D531" s="1774" t="s">
        <v>3157</v>
      </c>
      <c r="E531" s="1774" t="s">
        <v>3158</v>
      </c>
      <c r="F531" s="1774" t="s">
        <v>2964</v>
      </c>
      <c r="G531" s="1774" t="s">
        <v>22</v>
      </c>
      <c r="H531" s="1774" t="s">
        <v>22</v>
      </c>
      <c r="I531" s="1774" t="s">
        <v>893</v>
      </c>
    </row>
    <row r="532" spans="1:9" ht="11.25" customHeight="1">
      <c r="A532" s="1774" t="s">
        <v>2245</v>
      </c>
      <c r="B532" s="1774" t="s">
        <v>16</v>
      </c>
      <c r="C532" s="1774" t="s">
        <v>3165</v>
      </c>
      <c r="D532" s="1774" t="s">
        <v>3166</v>
      </c>
      <c r="E532" s="1774" t="s">
        <v>3167</v>
      </c>
      <c r="F532" s="1774" t="s">
        <v>2386</v>
      </c>
      <c r="G532" s="1774" t="s">
        <v>3168</v>
      </c>
      <c r="H532" s="1774" t="s">
        <v>22</v>
      </c>
      <c r="I532" s="1774" t="s">
        <v>893</v>
      </c>
    </row>
    <row r="533" spans="1:9" ht="11.25" customHeight="1">
      <c r="A533" s="1774" t="s">
        <v>2245</v>
      </c>
      <c r="B533" s="1774" t="s">
        <v>16</v>
      </c>
      <c r="C533" s="1774" t="s">
        <v>3178</v>
      </c>
      <c r="D533" s="1774" t="s">
        <v>3179</v>
      </c>
      <c r="E533" s="1774" t="s">
        <v>3180</v>
      </c>
      <c r="F533" s="1774" t="s">
        <v>2766</v>
      </c>
      <c r="G533" s="1774" t="s">
        <v>22</v>
      </c>
      <c r="H533" s="1774" t="s">
        <v>22</v>
      </c>
      <c r="I533" s="1774" t="s">
        <v>893</v>
      </c>
    </row>
    <row r="534" spans="1:9" ht="11.25" customHeight="1">
      <c r="A534" s="1774" t="s">
        <v>2245</v>
      </c>
      <c r="B534" s="1774" t="s">
        <v>16</v>
      </c>
      <c r="C534" s="1774" t="s">
        <v>3189</v>
      </c>
      <c r="D534" s="1774" t="s">
        <v>3190</v>
      </c>
      <c r="E534" s="1774" t="s">
        <v>3191</v>
      </c>
      <c r="F534" s="1774" t="s">
        <v>2386</v>
      </c>
      <c r="G534" s="1774" t="s">
        <v>22</v>
      </c>
      <c r="H534" s="1774" t="s">
        <v>22</v>
      </c>
      <c r="I534" s="1774" t="s">
        <v>893</v>
      </c>
    </row>
    <row r="535" spans="1:9" ht="11.25" customHeight="1">
      <c r="A535" s="1774" t="s">
        <v>2245</v>
      </c>
      <c r="B535" s="1774" t="s">
        <v>16</v>
      </c>
      <c r="C535" s="1774" t="s">
        <v>3208</v>
      </c>
      <c r="D535" s="1774" t="s">
        <v>3209</v>
      </c>
      <c r="E535" s="1774" t="s">
        <v>3210</v>
      </c>
      <c r="F535" s="1774" t="s">
        <v>2816</v>
      </c>
      <c r="G535" s="1774" t="s">
        <v>3211</v>
      </c>
      <c r="H535" s="1774" t="s">
        <v>22</v>
      </c>
      <c r="I535" s="1774" t="s">
        <v>893</v>
      </c>
    </row>
    <row r="536" spans="1:9" ht="11.25" customHeight="1">
      <c r="A536" s="1774" t="s">
        <v>2245</v>
      </c>
      <c r="B536" s="1774" t="s">
        <v>16</v>
      </c>
      <c r="C536" s="1774" t="s">
        <v>3212</v>
      </c>
      <c r="D536" s="1774" t="s">
        <v>3213</v>
      </c>
      <c r="E536" s="1774" t="s">
        <v>3214</v>
      </c>
      <c r="F536" s="1774" t="s">
        <v>51</v>
      </c>
      <c r="G536" s="1774" t="s">
        <v>3215</v>
      </c>
      <c r="H536" s="1774" t="s">
        <v>22</v>
      </c>
      <c r="I536" s="1774" t="s">
        <v>893</v>
      </c>
    </row>
    <row r="537" spans="1:9" ht="11.25" customHeight="1">
      <c r="A537" s="1774" t="s">
        <v>2245</v>
      </c>
      <c r="B537" s="1774" t="s">
        <v>16</v>
      </c>
      <c r="C537" s="1774" t="s">
        <v>3223</v>
      </c>
      <c r="D537" s="1774" t="s">
        <v>3224</v>
      </c>
      <c r="E537" s="1774" t="s">
        <v>3225</v>
      </c>
      <c r="F537" s="1774" t="s">
        <v>2253</v>
      </c>
      <c r="G537" s="1774" t="s">
        <v>22</v>
      </c>
      <c r="H537" s="1774" t="s">
        <v>22</v>
      </c>
      <c r="I537" s="1774" t="s">
        <v>893</v>
      </c>
    </row>
    <row r="538" spans="1:9" ht="11.25" customHeight="1">
      <c r="A538" s="1774" t="s">
        <v>2245</v>
      </c>
      <c r="B538" s="1774" t="s">
        <v>16</v>
      </c>
      <c r="C538" s="1774" t="s">
        <v>3230</v>
      </c>
      <c r="D538" s="1774" t="s">
        <v>3231</v>
      </c>
      <c r="E538" s="1774" t="s">
        <v>3232</v>
      </c>
      <c r="F538" s="1774" t="s">
        <v>2376</v>
      </c>
      <c r="G538" s="1774" t="s">
        <v>3233</v>
      </c>
      <c r="H538" s="1774" t="s">
        <v>22</v>
      </c>
      <c r="I538" s="1774" t="s">
        <v>893</v>
      </c>
    </row>
    <row r="539" spans="1:9" ht="11.25" customHeight="1">
      <c r="A539" s="1774" t="s">
        <v>2245</v>
      </c>
      <c r="B539" s="1774" t="s">
        <v>16</v>
      </c>
      <c r="C539" s="1774" t="s">
        <v>3237</v>
      </c>
      <c r="D539" s="1774" t="s">
        <v>3238</v>
      </c>
      <c r="E539" s="1774" t="s">
        <v>3239</v>
      </c>
      <c r="F539" s="1774" t="s">
        <v>51</v>
      </c>
      <c r="G539" s="1774" t="s">
        <v>22</v>
      </c>
      <c r="H539" s="1774" t="s">
        <v>22</v>
      </c>
      <c r="I539" s="1774" t="s">
        <v>893</v>
      </c>
    </row>
    <row r="540" spans="1:9" ht="11.25" customHeight="1">
      <c r="A540" s="1774" t="s">
        <v>2245</v>
      </c>
      <c r="B540" s="1774" t="s">
        <v>16</v>
      </c>
      <c r="C540" s="1774" t="s">
        <v>3240</v>
      </c>
      <c r="D540" s="1774" t="s">
        <v>3241</v>
      </c>
      <c r="E540" s="1774" t="s">
        <v>3242</v>
      </c>
      <c r="F540" s="1774" t="s">
        <v>2253</v>
      </c>
      <c r="G540" s="1774" t="s">
        <v>22</v>
      </c>
      <c r="H540" s="1774" t="s">
        <v>22</v>
      </c>
      <c r="I540" s="1774" t="s">
        <v>893</v>
      </c>
    </row>
    <row r="541" spans="1:9" ht="11.25" customHeight="1">
      <c r="A541" s="1774" t="s">
        <v>2245</v>
      </c>
      <c r="B541" s="1774" t="s">
        <v>16</v>
      </c>
      <c r="C541" s="1774" t="s">
        <v>3250</v>
      </c>
      <c r="D541" s="1774" t="s">
        <v>3251</v>
      </c>
      <c r="E541" s="1774" t="s">
        <v>3252</v>
      </c>
      <c r="F541" s="1774" t="s">
        <v>2535</v>
      </c>
      <c r="G541" s="1774" t="s">
        <v>22</v>
      </c>
      <c r="H541" s="1774" t="s">
        <v>22</v>
      </c>
      <c r="I541" s="1774" t="s">
        <v>893</v>
      </c>
    </row>
    <row r="542" spans="1:9" ht="11.25" customHeight="1">
      <c r="A542" s="1774" t="s">
        <v>2245</v>
      </c>
      <c r="B542" s="1774" t="s">
        <v>16</v>
      </c>
      <c r="C542" s="1774" t="s">
        <v>3253</v>
      </c>
      <c r="D542" s="1774" t="s">
        <v>3254</v>
      </c>
      <c r="E542" s="1774" t="s">
        <v>3255</v>
      </c>
      <c r="F542" s="1774" t="s">
        <v>2372</v>
      </c>
      <c r="G542" s="1774" t="s">
        <v>22</v>
      </c>
      <c r="H542" s="1774" t="s">
        <v>22</v>
      </c>
      <c r="I542" s="1774" t="s">
        <v>893</v>
      </c>
    </row>
    <row r="543" spans="1:9" ht="11.25" customHeight="1">
      <c r="A543" s="1774" t="s">
        <v>2245</v>
      </c>
      <c r="B543" s="1774" t="s">
        <v>16</v>
      </c>
      <c r="C543" s="1774" t="s">
        <v>3269</v>
      </c>
      <c r="D543" s="1774" t="s">
        <v>3270</v>
      </c>
      <c r="E543" s="1774" t="s">
        <v>3271</v>
      </c>
      <c r="F543" s="1774" t="s">
        <v>2270</v>
      </c>
      <c r="G543" s="1774" t="s">
        <v>22</v>
      </c>
      <c r="H543" s="1774" t="s">
        <v>22</v>
      </c>
      <c r="I543" s="1774" t="s">
        <v>893</v>
      </c>
    </row>
    <row r="544" spans="1:9" ht="11.25" customHeight="1">
      <c r="A544" s="1774" t="s">
        <v>2245</v>
      </c>
      <c r="B544" s="1774" t="s">
        <v>16</v>
      </c>
      <c r="C544" s="1774" t="s">
        <v>3272</v>
      </c>
      <c r="D544" s="1774" t="s">
        <v>3273</v>
      </c>
      <c r="E544" s="1774" t="s">
        <v>3274</v>
      </c>
      <c r="F544" s="1774" t="s">
        <v>2327</v>
      </c>
      <c r="G544" s="1774" t="s">
        <v>22</v>
      </c>
      <c r="H544" s="1774" t="s">
        <v>22</v>
      </c>
      <c r="I544" s="1774" t="s">
        <v>893</v>
      </c>
    </row>
    <row r="545" spans="1:9" ht="11.25" customHeight="1">
      <c r="A545" s="1774" t="s">
        <v>2245</v>
      </c>
      <c r="B545" s="1774" t="s">
        <v>16</v>
      </c>
      <c r="C545" s="1774" t="s">
        <v>3275</v>
      </c>
      <c r="D545" s="1774" t="s">
        <v>3276</v>
      </c>
      <c r="E545" s="1774" t="s">
        <v>3277</v>
      </c>
      <c r="F545" s="1774" t="s">
        <v>2298</v>
      </c>
      <c r="G545" s="1774" t="s">
        <v>22</v>
      </c>
      <c r="H545" s="1774" t="s">
        <v>22</v>
      </c>
      <c r="I545" s="1774" t="s">
        <v>893</v>
      </c>
    </row>
    <row r="546" spans="1:9" ht="11.25" customHeight="1">
      <c r="A546" s="1774" t="s">
        <v>2245</v>
      </c>
      <c r="B546" s="1774" t="s">
        <v>16</v>
      </c>
      <c r="C546" s="1774" t="s">
        <v>3278</v>
      </c>
      <c r="D546" s="1774" t="s">
        <v>3279</v>
      </c>
      <c r="E546" s="1774" t="s">
        <v>3280</v>
      </c>
      <c r="F546" s="1774" t="s">
        <v>2386</v>
      </c>
      <c r="G546" s="1774" t="s">
        <v>22</v>
      </c>
      <c r="H546" s="1774" t="s">
        <v>22</v>
      </c>
      <c r="I546" s="1774" t="s">
        <v>893</v>
      </c>
    </row>
    <row r="547" spans="1:9" ht="11.25" customHeight="1">
      <c r="A547" s="1774" t="s">
        <v>2245</v>
      </c>
      <c r="B547" s="1774" t="s">
        <v>16</v>
      </c>
      <c r="C547" s="1774" t="s">
        <v>3288</v>
      </c>
      <c r="D547" s="1774" t="s">
        <v>3289</v>
      </c>
      <c r="E547" s="1774" t="s">
        <v>3290</v>
      </c>
      <c r="F547" s="1774" t="s">
        <v>2697</v>
      </c>
      <c r="G547" s="1774" t="s">
        <v>22</v>
      </c>
      <c r="H547" s="1774" t="s">
        <v>3291</v>
      </c>
      <c r="I547" s="1774" t="s">
        <v>893</v>
      </c>
    </row>
    <row r="548" spans="1:9" ht="11.25" customHeight="1">
      <c r="A548" s="1774" t="s">
        <v>2245</v>
      </c>
      <c r="B548" s="1774" t="s">
        <v>16</v>
      </c>
      <c r="C548" s="1774" t="s">
        <v>3295</v>
      </c>
      <c r="D548" s="1774" t="s">
        <v>3296</v>
      </c>
      <c r="E548" s="1774" t="s">
        <v>3297</v>
      </c>
      <c r="F548" s="1774" t="s">
        <v>2630</v>
      </c>
      <c r="G548" s="1774" t="s">
        <v>22</v>
      </c>
      <c r="H548" s="1774" t="s">
        <v>22</v>
      </c>
      <c r="I548" s="1774" t="s">
        <v>893</v>
      </c>
    </row>
    <row r="549" spans="1:9" ht="11.25" customHeight="1">
      <c r="A549" s="1774" t="s">
        <v>2245</v>
      </c>
      <c r="B549" s="1774" t="s">
        <v>16</v>
      </c>
      <c r="C549" s="1774" t="s">
        <v>3306</v>
      </c>
      <c r="D549" s="1774" t="s">
        <v>3307</v>
      </c>
      <c r="E549" s="1774" t="s">
        <v>3308</v>
      </c>
      <c r="F549" s="1774" t="s">
        <v>3309</v>
      </c>
      <c r="G549" s="1774" t="s">
        <v>22</v>
      </c>
      <c r="H549" s="1774" t="s">
        <v>22</v>
      </c>
      <c r="I549" s="1774" t="s">
        <v>893</v>
      </c>
    </row>
    <row r="550" spans="1:9" ht="11.25" customHeight="1">
      <c r="A550" s="1774" t="s">
        <v>2245</v>
      </c>
      <c r="B550" s="1774" t="s">
        <v>16</v>
      </c>
      <c r="C550" s="1774" t="s">
        <v>3316</v>
      </c>
      <c r="D550" s="1774" t="s">
        <v>3317</v>
      </c>
      <c r="E550" s="1774" t="s">
        <v>3318</v>
      </c>
      <c r="F550" s="1774" t="s">
        <v>3319</v>
      </c>
      <c r="G550" s="1774" t="s">
        <v>22</v>
      </c>
      <c r="H550" s="1774" t="s">
        <v>22</v>
      </c>
      <c r="I550" s="1774" t="s">
        <v>893</v>
      </c>
    </row>
    <row r="551" spans="1:9" ht="11.25" customHeight="1">
      <c r="A551" s="1774" t="s">
        <v>2245</v>
      </c>
      <c r="B551" s="1774" t="s">
        <v>16</v>
      </c>
      <c r="C551" s="1774" t="s">
        <v>3320</v>
      </c>
      <c r="D551" s="1774" t="s">
        <v>3321</v>
      </c>
      <c r="E551" s="1774" t="s">
        <v>3322</v>
      </c>
      <c r="F551" s="1774" t="s">
        <v>2327</v>
      </c>
      <c r="G551" s="1774" t="s">
        <v>22</v>
      </c>
      <c r="H551" s="1774" t="s">
        <v>22</v>
      </c>
      <c r="I551" s="1774" t="s">
        <v>893</v>
      </c>
    </row>
    <row r="552" spans="1:9" ht="11.25" customHeight="1">
      <c r="A552" s="1774" t="s">
        <v>2245</v>
      </c>
      <c r="B552" s="1774" t="s">
        <v>16</v>
      </c>
      <c r="C552" s="1774" t="s">
        <v>3330</v>
      </c>
      <c r="D552" s="1774" t="s">
        <v>3331</v>
      </c>
      <c r="E552" s="1774" t="s">
        <v>3332</v>
      </c>
      <c r="F552" s="1774" t="s">
        <v>2508</v>
      </c>
      <c r="G552" s="1774" t="s">
        <v>22</v>
      </c>
      <c r="H552" s="1774" t="s">
        <v>22</v>
      </c>
      <c r="I552" s="1774" t="s">
        <v>893</v>
      </c>
    </row>
    <row r="553" spans="1:9" ht="11.25" customHeight="1">
      <c r="A553" s="1774" t="s">
        <v>2245</v>
      </c>
      <c r="B553" s="1774" t="s">
        <v>16</v>
      </c>
      <c r="C553" s="1774" t="s">
        <v>3336</v>
      </c>
      <c r="D553" s="1774" t="s">
        <v>3337</v>
      </c>
      <c r="E553" s="1774" t="s">
        <v>3338</v>
      </c>
      <c r="F553" s="1774" t="s">
        <v>2666</v>
      </c>
      <c r="G553" s="1774" t="s">
        <v>22</v>
      </c>
      <c r="H553" s="1774" t="s">
        <v>22</v>
      </c>
      <c r="I553" s="1774" t="s">
        <v>893</v>
      </c>
    </row>
    <row r="554" spans="1:9" ht="11.25" customHeight="1">
      <c r="A554" s="1774" t="s">
        <v>2245</v>
      </c>
      <c r="B554" s="1774" t="s">
        <v>16</v>
      </c>
      <c r="C554" s="1774" t="s">
        <v>3339</v>
      </c>
      <c r="D554" s="1774" t="s">
        <v>3340</v>
      </c>
      <c r="E554" s="1774" t="s">
        <v>3341</v>
      </c>
      <c r="F554" s="1774" t="s">
        <v>2261</v>
      </c>
      <c r="G554" s="1774" t="s">
        <v>22</v>
      </c>
      <c r="H554" s="1774" t="s">
        <v>22</v>
      </c>
      <c r="I554" s="1774" t="s">
        <v>893</v>
      </c>
    </row>
    <row r="555" spans="1:9" ht="11.25" customHeight="1">
      <c r="A555" s="1774" t="s">
        <v>2245</v>
      </c>
      <c r="B555" s="1774" t="s">
        <v>16</v>
      </c>
      <c r="C555" s="1774" t="s">
        <v>3348</v>
      </c>
      <c r="D555" s="1774" t="s">
        <v>3349</v>
      </c>
      <c r="E555" s="1774" t="s">
        <v>3350</v>
      </c>
      <c r="F555" s="1774" t="s">
        <v>3351</v>
      </c>
      <c r="G555" s="1774" t="s">
        <v>3352</v>
      </c>
      <c r="H555" s="1774" t="s">
        <v>22</v>
      </c>
      <c r="I555" s="1774" t="s">
        <v>893</v>
      </c>
    </row>
    <row r="556" spans="1:9" ht="11.25" customHeight="1">
      <c r="A556" s="1774" t="s">
        <v>2245</v>
      </c>
      <c r="B556" s="1774" t="s">
        <v>16</v>
      </c>
      <c r="C556" s="1774" t="s">
        <v>3353</v>
      </c>
      <c r="D556" s="1774" t="s">
        <v>3354</v>
      </c>
      <c r="E556" s="1774" t="s">
        <v>3355</v>
      </c>
      <c r="F556" s="1774" t="s">
        <v>2686</v>
      </c>
      <c r="G556" s="1774" t="s">
        <v>3356</v>
      </c>
      <c r="H556" s="1774" t="s">
        <v>22</v>
      </c>
      <c r="I556" s="1774" t="s">
        <v>893</v>
      </c>
    </row>
    <row r="557" spans="1:9" ht="11.25" customHeight="1">
      <c r="A557" s="1774" t="s">
        <v>2245</v>
      </c>
      <c r="B557" s="1774" t="s">
        <v>16</v>
      </c>
      <c r="C557" s="1774" t="s">
        <v>3375</v>
      </c>
      <c r="D557" s="1774" t="s">
        <v>3376</v>
      </c>
      <c r="E557" s="1774" t="s">
        <v>3377</v>
      </c>
      <c r="F557" s="1774" t="s">
        <v>51</v>
      </c>
      <c r="G557" s="1774" t="s">
        <v>22</v>
      </c>
      <c r="H557" s="1774" t="s">
        <v>22</v>
      </c>
      <c r="I557" s="1774" t="s">
        <v>893</v>
      </c>
    </row>
    <row r="558" spans="1:9" ht="11.25" customHeight="1">
      <c r="A558" s="1774" t="s">
        <v>2245</v>
      </c>
      <c r="B558" s="1774" t="s">
        <v>16</v>
      </c>
      <c r="C558" s="1774" t="s">
        <v>3381</v>
      </c>
      <c r="D558" s="1774" t="s">
        <v>3382</v>
      </c>
      <c r="E558" s="1774" t="s">
        <v>3383</v>
      </c>
      <c r="F558" s="1774" t="s">
        <v>2686</v>
      </c>
      <c r="G558" s="1774" t="s">
        <v>22</v>
      </c>
      <c r="H558" s="1774" t="s">
        <v>22</v>
      </c>
      <c r="I558" s="1774" t="s">
        <v>893</v>
      </c>
    </row>
    <row r="559" spans="1:9" ht="11.25" customHeight="1">
      <c r="A559" s="1774" t="s">
        <v>2245</v>
      </c>
      <c r="B559" s="1774" t="s">
        <v>16</v>
      </c>
      <c r="C559" s="1774" t="s">
        <v>3387</v>
      </c>
      <c r="D559" s="1774" t="s">
        <v>3388</v>
      </c>
      <c r="E559" s="1774" t="s">
        <v>3389</v>
      </c>
      <c r="F559" s="1774" t="s">
        <v>2253</v>
      </c>
      <c r="G559" s="1774" t="s">
        <v>22</v>
      </c>
      <c r="H559" s="1774" t="s">
        <v>22</v>
      </c>
      <c r="I559" s="1774" t="s">
        <v>893</v>
      </c>
    </row>
    <row r="560" spans="1:9" ht="11.25" customHeight="1">
      <c r="A560" s="1774" t="s">
        <v>2245</v>
      </c>
      <c r="B560" s="1774" t="s">
        <v>16</v>
      </c>
      <c r="C560" s="1774" t="s">
        <v>3390</v>
      </c>
      <c r="D560" s="1774" t="s">
        <v>3391</v>
      </c>
      <c r="E560" s="1774" t="s">
        <v>3392</v>
      </c>
      <c r="F560" s="1774" t="s">
        <v>2313</v>
      </c>
      <c r="G560" s="1774" t="s">
        <v>22</v>
      </c>
      <c r="H560" s="1774" t="s">
        <v>22</v>
      </c>
      <c r="I560" s="1774" t="s">
        <v>893</v>
      </c>
    </row>
    <row r="561" spans="1:9" ht="11.25" customHeight="1">
      <c r="A561" s="1774" t="s">
        <v>2245</v>
      </c>
      <c r="B561" s="1774" t="s">
        <v>16</v>
      </c>
      <c r="C561" s="1774" t="s">
        <v>3402</v>
      </c>
      <c r="D561" s="1774" t="s">
        <v>3403</v>
      </c>
      <c r="E561" s="1774" t="s">
        <v>3404</v>
      </c>
      <c r="F561" s="1774" t="s">
        <v>2892</v>
      </c>
      <c r="G561" s="1774" t="s">
        <v>22</v>
      </c>
      <c r="H561" s="1774" t="s">
        <v>22</v>
      </c>
      <c r="I561" s="1774" t="s">
        <v>893</v>
      </c>
    </row>
    <row r="562" spans="1:9" ht="11.25" customHeight="1">
      <c r="A562" s="1774" t="s">
        <v>2245</v>
      </c>
      <c r="B562" s="1774" t="s">
        <v>16</v>
      </c>
      <c r="C562" s="1774" t="s">
        <v>3405</v>
      </c>
      <c r="D562" s="1774" t="s">
        <v>3406</v>
      </c>
      <c r="E562" s="1774" t="s">
        <v>3407</v>
      </c>
      <c r="F562" s="1774" t="s">
        <v>51</v>
      </c>
      <c r="G562" s="1774" t="s">
        <v>22</v>
      </c>
      <c r="H562" s="1774" t="s">
        <v>22</v>
      </c>
      <c r="I562" s="1774" t="s">
        <v>893</v>
      </c>
    </row>
    <row r="563" spans="1:9" ht="11.25" customHeight="1">
      <c r="A563" s="1774" t="s">
        <v>2245</v>
      </c>
      <c r="B563" s="1774" t="s">
        <v>16</v>
      </c>
      <c r="C563" s="1774" t="s">
        <v>3411</v>
      </c>
      <c r="D563" s="1774" t="s">
        <v>3412</v>
      </c>
      <c r="E563" s="1774" t="s">
        <v>3413</v>
      </c>
      <c r="F563" s="1774" t="s">
        <v>2280</v>
      </c>
      <c r="G563" s="1774" t="s">
        <v>22</v>
      </c>
      <c r="H563" s="1774" t="s">
        <v>22</v>
      </c>
      <c r="I563" s="1774" t="s">
        <v>893</v>
      </c>
    </row>
    <row r="564" spans="1:9" ht="11.25" customHeight="1">
      <c r="A564" s="1774" t="s">
        <v>2245</v>
      </c>
      <c r="B564" s="1774" t="s">
        <v>16</v>
      </c>
      <c r="C564" s="1774" t="s">
        <v>3414</v>
      </c>
      <c r="D564" s="1774" t="s">
        <v>3415</v>
      </c>
      <c r="E564" s="1774" t="s">
        <v>3416</v>
      </c>
      <c r="F564" s="1774" t="s">
        <v>3301</v>
      </c>
      <c r="G564" s="1774" t="s">
        <v>22</v>
      </c>
      <c r="H564" s="1774" t="s">
        <v>22</v>
      </c>
      <c r="I564" s="1774" t="s">
        <v>893</v>
      </c>
    </row>
    <row r="565" spans="1:9" ht="11.25" customHeight="1">
      <c r="A565" s="1774" t="s">
        <v>2245</v>
      </c>
      <c r="B565" s="1774" t="s">
        <v>16</v>
      </c>
      <c r="C565" s="1774" t="s">
        <v>3417</v>
      </c>
      <c r="D565" s="1774" t="s">
        <v>3418</v>
      </c>
      <c r="E565" s="1774" t="s">
        <v>3419</v>
      </c>
      <c r="F565" s="1774" t="s">
        <v>2816</v>
      </c>
      <c r="G565" s="1774" t="s">
        <v>22</v>
      </c>
      <c r="H565" s="1774" t="s">
        <v>22</v>
      </c>
      <c r="I565" s="1774" t="s">
        <v>893</v>
      </c>
    </row>
    <row r="566" spans="1:9" ht="11.25" customHeight="1">
      <c r="A566" s="1774" t="s">
        <v>2245</v>
      </c>
      <c r="B566" s="1774" t="s">
        <v>16</v>
      </c>
      <c r="C566" s="1774" t="s">
        <v>3420</v>
      </c>
      <c r="D566" s="1774" t="s">
        <v>3421</v>
      </c>
      <c r="E566" s="1774" t="s">
        <v>3422</v>
      </c>
      <c r="F566" s="1774" t="s">
        <v>2291</v>
      </c>
      <c r="G566" s="1774" t="s">
        <v>22</v>
      </c>
      <c r="H566" s="1774" t="s">
        <v>22</v>
      </c>
      <c r="I566" s="1774" t="s">
        <v>893</v>
      </c>
    </row>
    <row r="567" spans="1:9" ht="11.25" customHeight="1">
      <c r="A567" s="1774" t="s">
        <v>2245</v>
      </c>
      <c r="B567" s="1774" t="s">
        <v>16</v>
      </c>
      <c r="C567" s="1774" t="s">
        <v>3423</v>
      </c>
      <c r="D567" s="1774" t="s">
        <v>3424</v>
      </c>
      <c r="E567" s="1774" t="s">
        <v>3425</v>
      </c>
      <c r="F567" s="1774" t="s">
        <v>2867</v>
      </c>
      <c r="G567" s="1774" t="s">
        <v>22</v>
      </c>
      <c r="H567" s="1774" t="s">
        <v>22</v>
      </c>
      <c r="I567" s="1774" t="s">
        <v>893</v>
      </c>
    </row>
    <row r="568" spans="1:9" ht="11.25" customHeight="1">
      <c r="A568" s="1774" t="s">
        <v>2245</v>
      </c>
      <c r="B568" s="1774" t="s">
        <v>16</v>
      </c>
      <c r="C568" s="1774" t="s">
        <v>3426</v>
      </c>
      <c r="D568" s="1774" t="s">
        <v>3427</v>
      </c>
      <c r="E568" s="1774" t="s">
        <v>3428</v>
      </c>
      <c r="F568" s="1774" t="s">
        <v>2964</v>
      </c>
      <c r="G568" s="1774" t="s">
        <v>22</v>
      </c>
      <c r="H568" s="1774" t="s">
        <v>22</v>
      </c>
      <c r="I568" s="1774" t="s">
        <v>893</v>
      </c>
    </row>
    <row r="569" spans="1:9" ht="11.25" customHeight="1">
      <c r="A569" s="1774" t="s">
        <v>2245</v>
      </c>
      <c r="B569" s="1774" t="s">
        <v>16</v>
      </c>
      <c r="C569" s="1774" t="s">
        <v>3429</v>
      </c>
      <c r="D569" s="1774" t="s">
        <v>3430</v>
      </c>
      <c r="E569" s="1774" t="s">
        <v>3431</v>
      </c>
      <c r="F569" s="1774" t="s">
        <v>3432</v>
      </c>
      <c r="G569" s="1774" t="s">
        <v>3433</v>
      </c>
      <c r="H569" s="1774" t="s">
        <v>22</v>
      </c>
      <c r="I569" s="1774" t="s">
        <v>893</v>
      </c>
    </row>
    <row r="570" spans="1:9" ht="11.25" customHeight="1">
      <c r="A570" s="1774" t="s">
        <v>2245</v>
      </c>
      <c r="B570" s="1774" t="s">
        <v>16</v>
      </c>
      <c r="C570" s="1774" t="s">
        <v>3434</v>
      </c>
      <c r="D570" s="1774" t="s">
        <v>3435</v>
      </c>
      <c r="E570" s="1774" t="s">
        <v>3436</v>
      </c>
      <c r="F570" s="1774" t="s">
        <v>2280</v>
      </c>
      <c r="G570" s="1774" t="s">
        <v>22</v>
      </c>
      <c r="H570" s="1774" t="s">
        <v>22</v>
      </c>
      <c r="I570" s="1774" t="s">
        <v>893</v>
      </c>
    </row>
    <row r="571" spans="1:9" ht="11.25" customHeight="1">
      <c r="A571" s="1774" t="s">
        <v>2245</v>
      </c>
      <c r="B571" s="1774" t="s">
        <v>16</v>
      </c>
      <c r="C571" s="1774" t="s">
        <v>3440</v>
      </c>
      <c r="D571" s="1774" t="s">
        <v>3441</v>
      </c>
      <c r="E571" s="1774" t="s">
        <v>3442</v>
      </c>
      <c r="F571" s="1774" t="s">
        <v>3443</v>
      </c>
      <c r="G571" s="1774" t="s">
        <v>22</v>
      </c>
      <c r="H571" s="1774" t="s">
        <v>22</v>
      </c>
      <c r="I571" s="1774" t="s">
        <v>893</v>
      </c>
    </row>
    <row r="572" spans="1:9" ht="11.25" customHeight="1">
      <c r="A572" s="1774" t="s">
        <v>2245</v>
      </c>
      <c r="B572" s="1774" t="s">
        <v>16</v>
      </c>
      <c r="C572" s="1774" t="s">
        <v>3444</v>
      </c>
      <c r="D572" s="1774" t="s">
        <v>3445</v>
      </c>
      <c r="E572" s="1774" t="s">
        <v>3446</v>
      </c>
      <c r="F572" s="1774" t="s">
        <v>2535</v>
      </c>
      <c r="G572" s="1774" t="s">
        <v>22</v>
      </c>
      <c r="H572" s="1774" t="s">
        <v>3447</v>
      </c>
      <c r="I572" s="1774" t="s">
        <v>893</v>
      </c>
    </row>
    <row r="573" spans="1:9" ht="11.25" customHeight="1">
      <c r="A573" s="1774" t="s">
        <v>2245</v>
      </c>
      <c r="B573" s="1774" t="s">
        <v>16</v>
      </c>
      <c r="C573" s="1774" t="s">
        <v>3457</v>
      </c>
      <c r="D573" s="1774" t="s">
        <v>3458</v>
      </c>
      <c r="E573" s="1774" t="s">
        <v>3459</v>
      </c>
      <c r="F573" s="1774" t="s">
        <v>2306</v>
      </c>
      <c r="G573" s="1774" t="s">
        <v>22</v>
      </c>
      <c r="H573" s="1774" t="s">
        <v>22</v>
      </c>
      <c r="I573" s="1774" t="s">
        <v>893</v>
      </c>
    </row>
    <row r="574" spans="1:9" ht="11.25" customHeight="1">
      <c r="A574" s="1774" t="s">
        <v>2245</v>
      </c>
      <c r="B574" s="1774" t="s">
        <v>16</v>
      </c>
      <c r="C574" s="1774" t="s">
        <v>3463</v>
      </c>
      <c r="D574" s="1774" t="s">
        <v>3464</v>
      </c>
      <c r="E574" s="1774" t="s">
        <v>3465</v>
      </c>
      <c r="F574" s="1774" t="s">
        <v>2327</v>
      </c>
      <c r="G574" s="1774" t="s">
        <v>22</v>
      </c>
      <c r="H574" s="1774" t="s">
        <v>22</v>
      </c>
      <c r="I574" s="1774" t="s">
        <v>893</v>
      </c>
    </row>
    <row r="575" spans="1:9" ht="11.25" customHeight="1">
      <c r="A575" s="1774" t="s">
        <v>2245</v>
      </c>
      <c r="B575" s="1774" t="s">
        <v>16</v>
      </c>
      <c r="C575" s="1774" t="s">
        <v>3466</v>
      </c>
      <c r="D575" s="1774" t="s">
        <v>3467</v>
      </c>
      <c r="E575" s="1774" t="s">
        <v>3468</v>
      </c>
      <c r="F575" s="1774" t="s">
        <v>2327</v>
      </c>
      <c r="G575" s="1774" t="s">
        <v>22</v>
      </c>
      <c r="H575" s="1774" t="s">
        <v>22</v>
      </c>
      <c r="I575" s="1774" t="s">
        <v>893</v>
      </c>
    </row>
    <row r="576" spans="1:9" ht="11.25" customHeight="1">
      <c r="A576" s="1774" t="s">
        <v>2245</v>
      </c>
      <c r="B576" s="1774" t="s">
        <v>16</v>
      </c>
      <c r="C576" s="1774" t="s">
        <v>3472</v>
      </c>
      <c r="D576" s="1774" t="s">
        <v>3473</v>
      </c>
      <c r="E576" s="1774" t="s">
        <v>3474</v>
      </c>
      <c r="F576" s="1774" t="s">
        <v>2253</v>
      </c>
      <c r="G576" s="1774" t="s">
        <v>22</v>
      </c>
      <c r="H576" s="1774" t="s">
        <v>22</v>
      </c>
      <c r="I576" s="1774" t="s">
        <v>893</v>
      </c>
    </row>
    <row r="577" spans="1:9" ht="11.25" customHeight="1">
      <c r="A577" s="1774" t="s">
        <v>2245</v>
      </c>
      <c r="B577" s="1774" t="s">
        <v>16</v>
      </c>
      <c r="C577" s="1774" t="s">
        <v>3486</v>
      </c>
      <c r="D577" s="1774" t="s">
        <v>3487</v>
      </c>
      <c r="E577" s="1774" t="s">
        <v>3488</v>
      </c>
      <c r="F577" s="1774" t="s">
        <v>2253</v>
      </c>
      <c r="G577" s="1774" t="s">
        <v>22</v>
      </c>
      <c r="H577" s="1774" t="s">
        <v>22</v>
      </c>
      <c r="I577" s="1774" t="s">
        <v>893</v>
      </c>
    </row>
    <row r="578" spans="1:9" ht="11.25" customHeight="1">
      <c r="A578" s="1774" t="s">
        <v>2245</v>
      </c>
      <c r="B578" s="1774" t="s">
        <v>16</v>
      </c>
      <c r="C578" s="1774" t="s">
        <v>3492</v>
      </c>
      <c r="D578" s="1774" t="s">
        <v>3493</v>
      </c>
      <c r="E578" s="1774" t="s">
        <v>3494</v>
      </c>
      <c r="F578" s="1774" t="s">
        <v>2317</v>
      </c>
      <c r="G578" s="1774" t="s">
        <v>22</v>
      </c>
      <c r="H578" s="1774" t="s">
        <v>22</v>
      </c>
      <c r="I578" s="1774" t="s">
        <v>893</v>
      </c>
    </row>
    <row r="579" spans="1:9" ht="11.25" customHeight="1">
      <c r="A579" s="1774" t="s">
        <v>2245</v>
      </c>
      <c r="B579" s="1774" t="s">
        <v>16</v>
      </c>
      <c r="C579" s="1774" t="s">
        <v>3501</v>
      </c>
      <c r="D579" s="1774" t="s">
        <v>3502</v>
      </c>
      <c r="E579" s="1774" t="s">
        <v>3503</v>
      </c>
      <c r="F579" s="1774" t="s">
        <v>2253</v>
      </c>
      <c r="G579" s="1774" t="s">
        <v>22</v>
      </c>
      <c r="H579" s="1774" t="s">
        <v>22</v>
      </c>
      <c r="I579" s="1774" t="s">
        <v>893</v>
      </c>
    </row>
    <row r="580" spans="1:9" ht="11.25" customHeight="1">
      <c r="A580" s="1774" t="s">
        <v>2245</v>
      </c>
      <c r="B580" s="1774" t="s">
        <v>16</v>
      </c>
      <c r="C580" s="1774" t="s">
        <v>3507</v>
      </c>
      <c r="D580" s="1774" t="s">
        <v>3508</v>
      </c>
      <c r="E580" s="1774" t="s">
        <v>3509</v>
      </c>
      <c r="F580" s="1774" t="s">
        <v>2253</v>
      </c>
      <c r="G580" s="1774" t="s">
        <v>3510</v>
      </c>
      <c r="H580" s="1774" t="s">
        <v>22</v>
      </c>
      <c r="I580" s="1774" t="s">
        <v>893</v>
      </c>
    </row>
    <row r="581" spans="1:9" ht="11.25" customHeight="1">
      <c r="A581" s="1774" t="s">
        <v>2245</v>
      </c>
      <c r="B581" s="1774" t="s">
        <v>16</v>
      </c>
      <c r="C581" s="1774" t="s">
        <v>3511</v>
      </c>
      <c r="D581" s="1774" t="s">
        <v>3512</v>
      </c>
      <c r="E581" s="1774" t="s">
        <v>3513</v>
      </c>
      <c r="F581" s="1774" t="s">
        <v>2298</v>
      </c>
      <c r="G581" s="1774" t="s">
        <v>22</v>
      </c>
      <c r="H581" s="1774" t="s">
        <v>22</v>
      </c>
      <c r="I581" s="1774" t="s">
        <v>893</v>
      </c>
    </row>
    <row r="582" spans="1:9" ht="11.25" customHeight="1">
      <c r="A582" s="1774" t="s">
        <v>2245</v>
      </c>
      <c r="B582" s="1774" t="s">
        <v>16</v>
      </c>
      <c r="C582" s="1774" t="s">
        <v>3523</v>
      </c>
      <c r="D582" s="1774" t="s">
        <v>3524</v>
      </c>
      <c r="E582" s="1774" t="s">
        <v>3525</v>
      </c>
      <c r="F582" s="1774" t="s">
        <v>2478</v>
      </c>
      <c r="G582" s="1774" t="s">
        <v>22</v>
      </c>
      <c r="H582" s="1774" t="s">
        <v>22</v>
      </c>
      <c r="I582" s="1774" t="s">
        <v>893</v>
      </c>
    </row>
    <row r="583" spans="1:9" ht="11.25" customHeight="1">
      <c r="A583" s="1774" t="s">
        <v>2245</v>
      </c>
      <c r="B583" s="1774" t="s">
        <v>16</v>
      </c>
      <c r="C583" s="1774" t="s">
        <v>3529</v>
      </c>
      <c r="D583" s="1774" t="s">
        <v>3530</v>
      </c>
      <c r="E583" s="1774" t="s">
        <v>3531</v>
      </c>
      <c r="F583" s="1774" t="s">
        <v>2386</v>
      </c>
      <c r="G583" s="1774" t="s">
        <v>22</v>
      </c>
      <c r="H583" s="1774" t="s">
        <v>22</v>
      </c>
      <c r="I583" s="1774" t="s">
        <v>893</v>
      </c>
    </row>
    <row r="584" spans="1:9" ht="11.25" customHeight="1">
      <c r="A584" s="1774" t="s">
        <v>2245</v>
      </c>
      <c r="B584" s="1774" t="s">
        <v>16</v>
      </c>
      <c r="C584" s="1774" t="s">
        <v>3532</v>
      </c>
      <c r="D584" s="1774" t="s">
        <v>3533</v>
      </c>
      <c r="E584" s="1774" t="s">
        <v>3534</v>
      </c>
      <c r="F584" s="1774" t="s">
        <v>2478</v>
      </c>
      <c r="G584" s="1774" t="s">
        <v>22</v>
      </c>
      <c r="H584" s="1774" t="s">
        <v>22</v>
      </c>
      <c r="I584" s="1774" t="s">
        <v>893</v>
      </c>
    </row>
    <row r="585" spans="1:9" ht="11.25" customHeight="1">
      <c r="A585" s="1774" t="s">
        <v>2245</v>
      </c>
      <c r="B585" s="1774" t="s">
        <v>16</v>
      </c>
      <c r="C585" s="1774" t="s">
        <v>3538</v>
      </c>
      <c r="D585" s="1774" t="s">
        <v>3539</v>
      </c>
      <c r="E585" s="1774" t="s">
        <v>3540</v>
      </c>
      <c r="F585" s="1774" t="s">
        <v>2816</v>
      </c>
      <c r="G585" s="1774" t="s">
        <v>22</v>
      </c>
      <c r="H585" s="1774" t="s">
        <v>22</v>
      </c>
      <c r="I585" s="1774" t="s">
        <v>893</v>
      </c>
    </row>
    <row r="586" spans="1:9" ht="11.25" customHeight="1">
      <c r="A586" s="1774" t="s">
        <v>2245</v>
      </c>
      <c r="B586" s="1774" t="s">
        <v>16</v>
      </c>
      <c r="C586" s="1774" t="s">
        <v>3541</v>
      </c>
      <c r="D586" s="1774" t="s">
        <v>3542</v>
      </c>
      <c r="E586" s="1774" t="s">
        <v>3543</v>
      </c>
      <c r="F586" s="1774" t="s">
        <v>2253</v>
      </c>
      <c r="G586" s="1774" t="s">
        <v>3544</v>
      </c>
      <c r="H586" s="1774" t="s">
        <v>22</v>
      </c>
      <c r="I586" s="1774" t="s">
        <v>893</v>
      </c>
    </row>
    <row r="587" spans="1:9" ht="11.25" customHeight="1">
      <c r="A587" s="1774" t="s">
        <v>2245</v>
      </c>
      <c r="B587" s="1774" t="s">
        <v>16</v>
      </c>
      <c r="C587" s="1774" t="s">
        <v>3554</v>
      </c>
      <c r="D587" s="1774" t="s">
        <v>3555</v>
      </c>
      <c r="E587" s="1774" t="s">
        <v>2301</v>
      </c>
      <c r="F587" s="1774" t="s">
        <v>3556</v>
      </c>
      <c r="G587" s="1774" t="s">
        <v>22</v>
      </c>
      <c r="H587" s="1774" t="s">
        <v>22</v>
      </c>
      <c r="I587" s="1774" t="s">
        <v>893</v>
      </c>
    </row>
    <row r="588" spans="1:9" ht="11.25" customHeight="1">
      <c r="A588" s="1774" t="s">
        <v>2245</v>
      </c>
      <c r="B588" s="1774" t="s">
        <v>16</v>
      </c>
      <c r="C588" s="1774" t="s">
        <v>3580</v>
      </c>
      <c r="D588" s="1774" t="s">
        <v>3581</v>
      </c>
      <c r="E588" s="1774" t="s">
        <v>3582</v>
      </c>
      <c r="F588" s="1774" t="s">
        <v>2306</v>
      </c>
      <c r="G588" s="1774" t="s">
        <v>22</v>
      </c>
      <c r="H588" s="1774" t="s">
        <v>22</v>
      </c>
      <c r="I588" s="1774" t="s">
        <v>893</v>
      </c>
    </row>
    <row r="589" spans="1:9" ht="11.25" customHeight="1">
      <c r="A589" s="1774" t="s">
        <v>2245</v>
      </c>
      <c r="B589" s="1774" t="s">
        <v>16</v>
      </c>
      <c r="C589" s="1774" t="s">
        <v>3595</v>
      </c>
      <c r="D589" s="1774" t="s">
        <v>3596</v>
      </c>
      <c r="E589" s="1774" t="s">
        <v>3597</v>
      </c>
      <c r="F589" s="1774" t="s">
        <v>2450</v>
      </c>
      <c r="G589" s="1774" t="s">
        <v>22</v>
      </c>
      <c r="H589" s="1774" t="s">
        <v>22</v>
      </c>
      <c r="I589" s="1774" t="s">
        <v>893</v>
      </c>
    </row>
    <row r="590" spans="1:9" ht="11.25" customHeight="1">
      <c r="A590" s="1774" t="s">
        <v>2245</v>
      </c>
      <c r="B590" s="1774" t="s">
        <v>16</v>
      </c>
      <c r="C590" s="1774" t="s">
        <v>22</v>
      </c>
      <c r="D590" s="1774" t="s">
        <v>3601</v>
      </c>
      <c r="E590" s="1774" t="s">
        <v>3602</v>
      </c>
      <c r="F590" s="1774" t="s">
        <v>2253</v>
      </c>
      <c r="G590" s="1774" t="s">
        <v>22</v>
      </c>
      <c r="H590" s="1774" t="s">
        <v>22</v>
      </c>
      <c r="I590" s="1774" t="s">
        <v>893</v>
      </c>
    </row>
    <row r="591" spans="1:9" ht="11.25" customHeight="1">
      <c r="A591" s="1774" t="s">
        <v>2245</v>
      </c>
      <c r="B591" s="1774" t="s">
        <v>16</v>
      </c>
      <c r="C591" s="1774" t="s">
        <v>3613</v>
      </c>
      <c r="D591" s="1774" t="s">
        <v>3614</v>
      </c>
      <c r="E591" s="1774" t="s">
        <v>3615</v>
      </c>
      <c r="F591" s="1774" t="s">
        <v>2253</v>
      </c>
      <c r="G591" s="1774" t="s">
        <v>22</v>
      </c>
      <c r="H591" s="1774" t="s">
        <v>22</v>
      </c>
      <c r="I591" s="1774" t="s">
        <v>893</v>
      </c>
    </row>
    <row r="592" spans="1:9" ht="11.25" customHeight="1">
      <c r="A592" s="1774" t="s">
        <v>2245</v>
      </c>
      <c r="B592" s="1774" t="s">
        <v>16</v>
      </c>
      <c r="C592" s="1774" t="s">
        <v>3622</v>
      </c>
      <c r="D592" s="1774" t="s">
        <v>3623</v>
      </c>
      <c r="E592" s="1774" t="s">
        <v>3624</v>
      </c>
      <c r="F592" s="1774" t="s">
        <v>3556</v>
      </c>
      <c r="G592" s="1774" t="s">
        <v>22</v>
      </c>
      <c r="H592" s="1774" t="s">
        <v>22</v>
      </c>
      <c r="I592" s="1774" t="s">
        <v>893</v>
      </c>
    </row>
    <row r="593" spans="1:9" ht="11.25" customHeight="1">
      <c r="A593" s="1774" t="s">
        <v>2245</v>
      </c>
      <c r="B593" s="1774" t="s">
        <v>16</v>
      </c>
      <c r="C593" s="1774" t="s">
        <v>3625</v>
      </c>
      <c r="D593" s="1774" t="s">
        <v>3623</v>
      </c>
      <c r="E593" s="1774" t="s">
        <v>3624</v>
      </c>
      <c r="F593" s="1774" t="s">
        <v>2432</v>
      </c>
      <c r="G593" s="1774" t="s">
        <v>22</v>
      </c>
      <c r="H593" s="1774" t="s">
        <v>22</v>
      </c>
      <c r="I593" s="1774" t="s">
        <v>893</v>
      </c>
    </row>
    <row r="594" spans="1:9" ht="11.25" customHeight="1">
      <c r="A594" s="1774" t="s">
        <v>2245</v>
      </c>
      <c r="B594" s="1774" t="s">
        <v>16</v>
      </c>
      <c r="C594" s="1774" t="s">
        <v>3633</v>
      </c>
      <c r="D594" s="1774" t="s">
        <v>3634</v>
      </c>
      <c r="E594" s="1774" t="s">
        <v>3635</v>
      </c>
      <c r="F594" s="1774" t="s">
        <v>2313</v>
      </c>
      <c r="G594" s="1774" t="s">
        <v>22</v>
      </c>
      <c r="H594" s="1774" t="s">
        <v>22</v>
      </c>
      <c r="I594" s="1774" t="s">
        <v>893</v>
      </c>
    </row>
    <row r="595" spans="1:9" ht="11.25" customHeight="1">
      <c r="A595" s="1774" t="s">
        <v>2245</v>
      </c>
      <c r="B595" s="1774" t="s">
        <v>16</v>
      </c>
      <c r="C595" s="1774" t="s">
        <v>3656</v>
      </c>
      <c r="D595" s="1774" t="s">
        <v>3657</v>
      </c>
      <c r="E595" s="1774" t="s">
        <v>3658</v>
      </c>
      <c r="F595" s="1774" t="s">
        <v>2653</v>
      </c>
      <c r="G595" s="1774" t="s">
        <v>22</v>
      </c>
      <c r="H595" s="1774" t="s">
        <v>22</v>
      </c>
      <c r="I595" s="1774" t="s">
        <v>893</v>
      </c>
    </row>
    <row r="596" spans="1:9" ht="11.25" customHeight="1">
      <c r="A596" s="1774" t="s">
        <v>2245</v>
      </c>
      <c r="B596" s="1774" t="s">
        <v>16</v>
      </c>
      <c r="C596" s="1774" t="s">
        <v>3659</v>
      </c>
      <c r="D596" s="1774" t="s">
        <v>3660</v>
      </c>
      <c r="E596" s="1774" t="s">
        <v>3661</v>
      </c>
      <c r="F596" s="1774" t="s">
        <v>2638</v>
      </c>
      <c r="G596" s="1774" t="s">
        <v>3662</v>
      </c>
      <c r="H596" s="1774" t="s">
        <v>22</v>
      </c>
      <c r="I596" s="1774" t="s">
        <v>893</v>
      </c>
    </row>
    <row r="597" spans="1:9" ht="11.25" customHeight="1">
      <c r="A597" s="1774" t="s">
        <v>2245</v>
      </c>
      <c r="B597" s="1774" t="s">
        <v>16</v>
      </c>
      <c r="C597" s="1774" t="s">
        <v>3666</v>
      </c>
      <c r="D597" s="1774" t="s">
        <v>3667</v>
      </c>
      <c r="E597" s="1774" t="s">
        <v>3668</v>
      </c>
      <c r="F597" s="1774" t="s">
        <v>3305</v>
      </c>
      <c r="G597" s="1774" t="s">
        <v>22</v>
      </c>
      <c r="H597" s="1774" t="s">
        <v>22</v>
      </c>
      <c r="I597" s="1774" t="s">
        <v>893</v>
      </c>
    </row>
    <row r="598" spans="1:9" ht="11.25" customHeight="1">
      <c r="A598" s="1774" t="s">
        <v>2245</v>
      </c>
      <c r="B598" s="1774" t="s">
        <v>16</v>
      </c>
      <c r="C598" s="1774" t="s">
        <v>3669</v>
      </c>
      <c r="D598" s="1774" t="s">
        <v>3670</v>
      </c>
      <c r="E598" s="1774" t="s">
        <v>3671</v>
      </c>
      <c r="F598" s="1774" t="s">
        <v>3672</v>
      </c>
      <c r="G598" s="1774" t="s">
        <v>22</v>
      </c>
      <c r="H598" s="1774" t="s">
        <v>22</v>
      </c>
      <c r="I598" s="1774" t="s">
        <v>893</v>
      </c>
    </row>
    <row r="599" spans="1:9" ht="11.25" customHeight="1">
      <c r="A599" s="1774" t="s">
        <v>2245</v>
      </c>
      <c r="B599" s="1774" t="s">
        <v>16</v>
      </c>
      <c r="C599" s="1774" t="s">
        <v>3673</v>
      </c>
      <c r="D599" s="1774" t="s">
        <v>3674</v>
      </c>
      <c r="E599" s="1774" t="s">
        <v>2248</v>
      </c>
      <c r="F599" s="1774" t="s">
        <v>3675</v>
      </c>
      <c r="G599" s="1774" t="s">
        <v>22</v>
      </c>
      <c r="H599" s="1774" t="s">
        <v>22</v>
      </c>
      <c r="I599" s="1774" t="s">
        <v>893</v>
      </c>
    </row>
    <row r="600" spans="1:9" ht="11.25" customHeight="1">
      <c r="A600" s="1774" t="s">
        <v>2245</v>
      </c>
      <c r="B600" s="1774" t="s">
        <v>16</v>
      </c>
      <c r="C600" s="1774" t="s">
        <v>3689</v>
      </c>
      <c r="D600" s="1774" t="s">
        <v>3690</v>
      </c>
      <c r="E600" s="1774" t="s">
        <v>3691</v>
      </c>
      <c r="F600" s="1774" t="s">
        <v>3692</v>
      </c>
      <c r="G600" s="1774" t="s">
        <v>22</v>
      </c>
      <c r="H600" s="1774" t="s">
        <v>22</v>
      </c>
      <c r="I600" s="1774" t="s">
        <v>853</v>
      </c>
    </row>
    <row r="601" spans="1:9" ht="11.25" customHeight="1">
      <c r="A601" s="1774" t="s">
        <v>2245</v>
      </c>
      <c r="B601" s="1774" t="s">
        <v>16</v>
      </c>
      <c r="C601" s="1774" t="s">
        <v>2277</v>
      </c>
      <c r="D601" s="1774" t="s">
        <v>2278</v>
      </c>
      <c r="E601" s="1774" t="s">
        <v>2279</v>
      </c>
      <c r="F601" s="1774" t="s">
        <v>2280</v>
      </c>
      <c r="G601" s="1774" t="s">
        <v>22</v>
      </c>
      <c r="H601" s="1774" t="s">
        <v>22</v>
      </c>
      <c r="I601" s="1774" t="s">
        <v>853</v>
      </c>
    </row>
    <row r="602" spans="1:9" ht="11.25" customHeight="1">
      <c r="A602" s="1774" t="s">
        <v>2245</v>
      </c>
      <c r="B602" s="1774" t="s">
        <v>16</v>
      </c>
      <c r="C602" s="1774" t="s">
        <v>3693</v>
      </c>
      <c r="D602" s="1774" t="s">
        <v>3694</v>
      </c>
      <c r="E602" s="1774" t="s">
        <v>3695</v>
      </c>
      <c r="F602" s="1774" t="s">
        <v>2280</v>
      </c>
      <c r="G602" s="1774" t="s">
        <v>22</v>
      </c>
      <c r="H602" s="1774" t="s">
        <v>22</v>
      </c>
      <c r="I602" s="1774" t="s">
        <v>853</v>
      </c>
    </row>
    <row r="603" spans="1:9" ht="11.25" customHeight="1">
      <c r="A603" s="1774" t="s">
        <v>2245</v>
      </c>
      <c r="B603" s="1774" t="s">
        <v>16</v>
      </c>
      <c r="C603" s="1774" t="s">
        <v>2281</v>
      </c>
      <c r="D603" s="1774" t="s">
        <v>2282</v>
      </c>
      <c r="E603" s="1774" t="s">
        <v>2283</v>
      </c>
      <c r="F603" s="1774" t="s">
        <v>2284</v>
      </c>
      <c r="G603" s="1774" t="s">
        <v>22</v>
      </c>
      <c r="H603" s="1774" t="s">
        <v>22</v>
      </c>
      <c r="I603" s="1774" t="s">
        <v>853</v>
      </c>
    </row>
    <row r="604" spans="1:9" ht="11.25" customHeight="1">
      <c r="A604" s="1774" t="s">
        <v>2245</v>
      </c>
      <c r="B604" s="1774" t="s">
        <v>16</v>
      </c>
      <c r="C604" s="1774" t="s">
        <v>3696</v>
      </c>
      <c r="D604" s="1774" t="s">
        <v>3697</v>
      </c>
      <c r="E604" s="1774" t="s">
        <v>3698</v>
      </c>
      <c r="F604" s="1774" t="s">
        <v>2284</v>
      </c>
      <c r="G604" s="1774" t="s">
        <v>22</v>
      </c>
      <c r="H604" s="1774" t="s">
        <v>22</v>
      </c>
      <c r="I604" s="1774" t="s">
        <v>853</v>
      </c>
    </row>
    <row r="605" spans="1:9" ht="11.25" customHeight="1">
      <c r="A605" s="1774" t="s">
        <v>2245</v>
      </c>
      <c r="B605" s="1774" t="s">
        <v>16</v>
      </c>
      <c r="C605" s="1774" t="s">
        <v>2295</v>
      </c>
      <c r="D605" s="1774" t="s">
        <v>2296</v>
      </c>
      <c r="E605" s="1774" t="s">
        <v>2297</v>
      </c>
      <c r="F605" s="1774" t="s">
        <v>2298</v>
      </c>
      <c r="G605" s="1774" t="s">
        <v>22</v>
      </c>
      <c r="H605" s="1774" t="s">
        <v>22</v>
      </c>
      <c r="I605" s="1774" t="s">
        <v>853</v>
      </c>
    </row>
    <row r="606" spans="1:9" ht="11.25" customHeight="1">
      <c r="A606" s="1774" t="s">
        <v>2245</v>
      </c>
      <c r="B606" s="1774" t="s">
        <v>16</v>
      </c>
      <c r="C606" s="1774" t="s">
        <v>3699</v>
      </c>
      <c r="D606" s="1774" t="s">
        <v>2300</v>
      </c>
      <c r="E606" s="1774" t="s">
        <v>2301</v>
      </c>
      <c r="F606" s="1774" t="s">
        <v>3700</v>
      </c>
      <c r="G606" s="1774" t="s">
        <v>3701</v>
      </c>
      <c r="H606" s="1774" t="s">
        <v>22</v>
      </c>
      <c r="I606" s="1774" t="s">
        <v>853</v>
      </c>
    </row>
    <row r="607" spans="1:9" ht="11.25" customHeight="1">
      <c r="A607" s="1774" t="s">
        <v>2245</v>
      </c>
      <c r="B607" s="1774" t="s">
        <v>16</v>
      </c>
      <c r="C607" s="1774" t="s">
        <v>3702</v>
      </c>
      <c r="D607" s="1774" t="s">
        <v>3703</v>
      </c>
      <c r="E607" s="1774" t="s">
        <v>3704</v>
      </c>
      <c r="F607" s="1774" t="s">
        <v>2313</v>
      </c>
      <c r="G607" s="1774" t="s">
        <v>22</v>
      </c>
      <c r="H607" s="1774" t="s">
        <v>22</v>
      </c>
      <c r="I607" s="1774" t="s">
        <v>853</v>
      </c>
    </row>
    <row r="608" spans="1:9" ht="11.25" customHeight="1">
      <c r="A608" s="1774" t="s">
        <v>2245</v>
      </c>
      <c r="B608" s="1774" t="s">
        <v>16</v>
      </c>
      <c r="C608" s="1774" t="s">
        <v>2307</v>
      </c>
      <c r="D608" s="1774" t="s">
        <v>2308</v>
      </c>
      <c r="E608" s="1774" t="s">
        <v>2309</v>
      </c>
      <c r="F608" s="1774" t="s">
        <v>2284</v>
      </c>
      <c r="G608" s="1774" t="s">
        <v>22</v>
      </c>
      <c r="H608" s="1774" t="s">
        <v>22</v>
      </c>
      <c r="I608" s="1774" t="s">
        <v>853</v>
      </c>
    </row>
    <row r="609" spans="1:9" ht="11.25" customHeight="1">
      <c r="A609" s="1774" t="s">
        <v>2245</v>
      </c>
      <c r="B609" s="1774" t="s">
        <v>16</v>
      </c>
      <c r="C609" s="1774" t="s">
        <v>2310</v>
      </c>
      <c r="D609" s="1774" t="s">
        <v>2311</v>
      </c>
      <c r="E609" s="1774" t="s">
        <v>2312</v>
      </c>
      <c r="F609" s="1774" t="s">
        <v>2313</v>
      </c>
      <c r="G609" s="1774" t="s">
        <v>22</v>
      </c>
      <c r="H609" s="1774" t="s">
        <v>22</v>
      </c>
      <c r="I609" s="1774" t="s">
        <v>853</v>
      </c>
    </row>
    <row r="610" spans="1:9" ht="11.25" customHeight="1">
      <c r="A610" s="1774" t="s">
        <v>2245</v>
      </c>
      <c r="B610" s="1774" t="s">
        <v>16</v>
      </c>
      <c r="C610" s="1774" t="s">
        <v>2318</v>
      </c>
      <c r="D610" s="1774" t="s">
        <v>2319</v>
      </c>
      <c r="E610" s="1774" t="s">
        <v>2320</v>
      </c>
      <c r="F610" s="1774" t="s">
        <v>2313</v>
      </c>
      <c r="G610" s="1774" t="s">
        <v>22</v>
      </c>
      <c r="H610" s="1774" t="s">
        <v>22</v>
      </c>
      <c r="I610" s="1774" t="s">
        <v>853</v>
      </c>
    </row>
    <row r="611" spans="1:9" ht="11.25" customHeight="1">
      <c r="A611" s="1774" t="s">
        <v>2245</v>
      </c>
      <c r="B611" s="1774" t="s">
        <v>16</v>
      </c>
      <c r="C611" s="1774" t="s">
        <v>2321</v>
      </c>
      <c r="D611" s="1774" t="s">
        <v>2322</v>
      </c>
      <c r="E611" s="1774" t="s">
        <v>2323</v>
      </c>
      <c r="F611" s="1774" t="s">
        <v>2280</v>
      </c>
      <c r="G611" s="1774" t="s">
        <v>22</v>
      </c>
      <c r="H611" s="1774" t="s">
        <v>22</v>
      </c>
      <c r="I611" s="1774" t="s">
        <v>853</v>
      </c>
    </row>
    <row r="612" spans="1:9" ht="11.25" customHeight="1">
      <c r="A612" s="1774" t="s">
        <v>2245</v>
      </c>
      <c r="B612" s="1774" t="s">
        <v>16</v>
      </c>
      <c r="C612" s="1774" t="s">
        <v>3705</v>
      </c>
      <c r="D612" s="1774" t="s">
        <v>3706</v>
      </c>
      <c r="E612" s="1774" t="s">
        <v>3707</v>
      </c>
      <c r="F612" s="1774" t="s">
        <v>2478</v>
      </c>
      <c r="G612" s="1774" t="s">
        <v>22</v>
      </c>
      <c r="H612" s="1774" t="s">
        <v>22</v>
      </c>
      <c r="I612" s="1774" t="s">
        <v>853</v>
      </c>
    </row>
    <row r="613" spans="1:9" ht="11.25" customHeight="1">
      <c r="A613" s="1774" t="s">
        <v>2245</v>
      </c>
      <c r="B613" s="1774" t="s">
        <v>16</v>
      </c>
      <c r="C613" s="1774" t="s">
        <v>3708</v>
      </c>
      <c r="D613" s="1774" t="s">
        <v>3709</v>
      </c>
      <c r="E613" s="1774" t="s">
        <v>3710</v>
      </c>
      <c r="F613" s="1774" t="s">
        <v>2372</v>
      </c>
      <c r="G613" s="1774" t="s">
        <v>22</v>
      </c>
      <c r="H613" s="1774" t="s">
        <v>22</v>
      </c>
      <c r="I613" s="1774" t="s">
        <v>853</v>
      </c>
    </row>
    <row r="614" spans="1:9" ht="11.25" customHeight="1">
      <c r="A614" s="1774" t="s">
        <v>2245</v>
      </c>
      <c r="B614" s="1774" t="s">
        <v>16</v>
      </c>
      <c r="C614" s="1774" t="s">
        <v>2332</v>
      </c>
      <c r="D614" s="1774" t="s">
        <v>2333</v>
      </c>
      <c r="E614" s="1774" t="s">
        <v>2334</v>
      </c>
      <c r="F614" s="1774" t="s">
        <v>2313</v>
      </c>
      <c r="G614" s="1774" t="s">
        <v>22</v>
      </c>
      <c r="H614" s="1774" t="s">
        <v>22</v>
      </c>
      <c r="I614" s="1774" t="s">
        <v>853</v>
      </c>
    </row>
    <row r="615" spans="1:9" ht="11.25" customHeight="1">
      <c r="A615" s="1774" t="s">
        <v>2245</v>
      </c>
      <c r="B615" s="1774" t="s">
        <v>16</v>
      </c>
      <c r="C615" s="1774" t="s">
        <v>2342</v>
      </c>
      <c r="D615" s="1774" t="s">
        <v>2343</v>
      </c>
      <c r="E615" s="1774" t="s">
        <v>2344</v>
      </c>
      <c r="F615" s="1774" t="s">
        <v>2280</v>
      </c>
      <c r="G615" s="1774" t="s">
        <v>22</v>
      </c>
      <c r="H615" s="1774" t="s">
        <v>22</v>
      </c>
      <c r="I615" s="1774" t="s">
        <v>853</v>
      </c>
    </row>
    <row r="616" spans="1:9" ht="11.25" customHeight="1">
      <c r="A616" s="1774" t="s">
        <v>2245</v>
      </c>
      <c r="B616" s="1774" t="s">
        <v>16</v>
      </c>
      <c r="C616" s="1774" t="s">
        <v>2345</v>
      </c>
      <c r="D616" s="1774" t="s">
        <v>2346</v>
      </c>
      <c r="E616" s="1774" t="s">
        <v>2347</v>
      </c>
      <c r="F616" s="1774" t="s">
        <v>2348</v>
      </c>
      <c r="G616" s="1774" t="s">
        <v>2349</v>
      </c>
      <c r="H616" s="1774" t="s">
        <v>22</v>
      </c>
      <c r="I616" s="1774" t="s">
        <v>853</v>
      </c>
    </row>
    <row r="617" spans="1:9" ht="11.25" customHeight="1">
      <c r="A617" s="1774" t="s">
        <v>2245</v>
      </c>
      <c r="B617" s="1774" t="s">
        <v>16</v>
      </c>
      <c r="C617" s="1774" t="s">
        <v>2360</v>
      </c>
      <c r="D617" s="1774" t="s">
        <v>2361</v>
      </c>
      <c r="E617" s="1774" t="s">
        <v>2362</v>
      </c>
      <c r="F617" s="1774" t="s">
        <v>2291</v>
      </c>
      <c r="G617" s="1774" t="s">
        <v>22</v>
      </c>
      <c r="H617" s="1774" t="s">
        <v>22</v>
      </c>
      <c r="I617" s="1774" t="s">
        <v>853</v>
      </c>
    </row>
    <row r="618" spans="1:9" ht="11.25" customHeight="1">
      <c r="A618" s="1774" t="s">
        <v>2245</v>
      </c>
      <c r="B618" s="1774" t="s">
        <v>16</v>
      </c>
      <c r="C618" s="1774" t="s">
        <v>2363</v>
      </c>
      <c r="D618" s="1774" t="s">
        <v>2364</v>
      </c>
      <c r="E618" s="1774" t="s">
        <v>2365</v>
      </c>
      <c r="F618" s="1774" t="s">
        <v>2317</v>
      </c>
      <c r="G618" s="1774" t="s">
        <v>22</v>
      </c>
      <c r="H618" s="1774" t="s">
        <v>22</v>
      </c>
      <c r="I618" s="1774" t="s">
        <v>853</v>
      </c>
    </row>
    <row r="619" spans="1:9" ht="11.25" customHeight="1">
      <c r="A619" s="1774" t="s">
        <v>2245</v>
      </c>
      <c r="B619" s="1774" t="s">
        <v>16</v>
      </c>
      <c r="C619" s="1774" t="s">
        <v>2369</v>
      </c>
      <c r="D619" s="1774" t="s">
        <v>2370</v>
      </c>
      <c r="E619" s="1774" t="s">
        <v>2371</v>
      </c>
      <c r="F619" s="1774" t="s">
        <v>2372</v>
      </c>
      <c r="G619" s="1774" t="s">
        <v>22</v>
      </c>
      <c r="H619" s="1774" t="s">
        <v>22</v>
      </c>
      <c r="I619" s="1774" t="s">
        <v>853</v>
      </c>
    </row>
    <row r="620" spans="1:9" ht="11.25" customHeight="1">
      <c r="A620" s="1774" t="s">
        <v>2245</v>
      </c>
      <c r="B620" s="1774" t="s">
        <v>16</v>
      </c>
      <c r="C620" s="1774" t="s">
        <v>3711</v>
      </c>
      <c r="D620" s="1774" t="s">
        <v>3712</v>
      </c>
      <c r="E620" s="1774" t="s">
        <v>3713</v>
      </c>
      <c r="F620" s="1774" t="s">
        <v>2261</v>
      </c>
      <c r="G620" s="1774" t="s">
        <v>22</v>
      </c>
      <c r="H620" s="1774" t="s">
        <v>22</v>
      </c>
      <c r="I620" s="1774" t="s">
        <v>853</v>
      </c>
    </row>
    <row r="621" spans="1:9" ht="11.25" customHeight="1">
      <c r="A621" s="1774" t="s">
        <v>2245</v>
      </c>
      <c r="B621" s="1774" t="s">
        <v>16</v>
      </c>
      <c r="C621" s="1774" t="s">
        <v>2391</v>
      </c>
      <c r="D621" s="1774" t="s">
        <v>2392</v>
      </c>
      <c r="E621" s="1774" t="s">
        <v>2390</v>
      </c>
      <c r="F621" s="1774" t="s">
        <v>2393</v>
      </c>
      <c r="G621" s="1774" t="s">
        <v>22</v>
      </c>
      <c r="H621" s="1774" t="s">
        <v>22</v>
      </c>
      <c r="I621" s="1774" t="s">
        <v>853</v>
      </c>
    </row>
    <row r="622" spans="1:9" ht="11.25" customHeight="1">
      <c r="A622" s="1774" t="s">
        <v>2245</v>
      </c>
      <c r="B622" s="1774" t="s">
        <v>16</v>
      </c>
      <c r="C622" s="1774" t="s">
        <v>2400</v>
      </c>
      <c r="D622" s="1774" t="s">
        <v>2401</v>
      </c>
      <c r="E622" s="1774" t="s">
        <v>2390</v>
      </c>
      <c r="F622" s="1774" t="s">
        <v>2402</v>
      </c>
      <c r="G622" s="1774" t="s">
        <v>22</v>
      </c>
      <c r="H622" s="1774" t="s">
        <v>22</v>
      </c>
      <c r="I622" s="1774" t="s">
        <v>853</v>
      </c>
    </row>
    <row r="623" spans="1:9" ht="11.25" customHeight="1">
      <c r="A623" s="1774" t="s">
        <v>2245</v>
      </c>
      <c r="B623" s="1774" t="s">
        <v>16</v>
      </c>
      <c r="C623" s="1774" t="s">
        <v>2406</v>
      </c>
      <c r="D623" s="1774" t="s">
        <v>2407</v>
      </c>
      <c r="E623" s="1774" t="s">
        <v>2390</v>
      </c>
      <c r="F623" s="1774" t="s">
        <v>2408</v>
      </c>
      <c r="G623" s="1774" t="s">
        <v>22</v>
      </c>
      <c r="H623" s="1774" t="s">
        <v>22</v>
      </c>
      <c r="I623" s="1774" t="s">
        <v>853</v>
      </c>
    </row>
    <row r="624" spans="1:9" ht="11.25" customHeight="1">
      <c r="A624" s="1774" t="s">
        <v>2245</v>
      </c>
      <c r="B624" s="1774" t="s">
        <v>16</v>
      </c>
      <c r="C624" s="1774" t="s">
        <v>3714</v>
      </c>
      <c r="D624" s="1774" t="s">
        <v>3715</v>
      </c>
      <c r="E624" s="1774" t="s">
        <v>3716</v>
      </c>
      <c r="F624" s="1774" t="s">
        <v>2298</v>
      </c>
      <c r="G624" s="1774" t="s">
        <v>22</v>
      </c>
      <c r="H624" s="1774" t="s">
        <v>22</v>
      </c>
      <c r="I624" s="1774" t="s">
        <v>853</v>
      </c>
    </row>
    <row r="625" spans="1:9" ht="11.25" customHeight="1">
      <c r="A625" s="1774" t="s">
        <v>2245</v>
      </c>
      <c r="B625" s="1774" t="s">
        <v>16</v>
      </c>
      <c r="C625" s="1774" t="s">
        <v>3717</v>
      </c>
      <c r="D625" s="1774" t="s">
        <v>3718</v>
      </c>
      <c r="E625" s="1774" t="s">
        <v>3719</v>
      </c>
      <c r="F625" s="1774" t="s">
        <v>3720</v>
      </c>
      <c r="G625" s="1774" t="s">
        <v>3721</v>
      </c>
      <c r="H625" s="1774" t="s">
        <v>22</v>
      </c>
      <c r="I625" s="1774" t="s">
        <v>853</v>
      </c>
    </row>
    <row r="626" spans="1:9" ht="11.25" customHeight="1">
      <c r="A626" s="1774" t="s">
        <v>2245</v>
      </c>
      <c r="B626" s="1774" t="s">
        <v>16</v>
      </c>
      <c r="C626" s="1774" t="s">
        <v>2437</v>
      </c>
      <c r="D626" s="1774" t="s">
        <v>2438</v>
      </c>
      <c r="E626" s="1774" t="s">
        <v>2439</v>
      </c>
      <c r="F626" s="1774" t="s">
        <v>2440</v>
      </c>
      <c r="G626" s="1774" t="s">
        <v>22</v>
      </c>
      <c r="H626" s="1774" t="s">
        <v>22</v>
      </c>
      <c r="I626" s="1774" t="s">
        <v>853</v>
      </c>
    </row>
    <row r="627" spans="1:9" ht="11.25" customHeight="1">
      <c r="A627" s="1774" t="s">
        <v>2245</v>
      </c>
      <c r="B627" s="1774" t="s">
        <v>16</v>
      </c>
      <c r="C627" s="1774" t="s">
        <v>2441</v>
      </c>
      <c r="D627" s="1774" t="s">
        <v>2442</v>
      </c>
      <c r="E627" s="1774" t="s">
        <v>2443</v>
      </c>
      <c r="F627" s="1774" t="s">
        <v>2265</v>
      </c>
      <c r="G627" s="1774" t="s">
        <v>22</v>
      </c>
      <c r="H627" s="1774" t="s">
        <v>22</v>
      </c>
      <c r="I627" s="1774" t="s">
        <v>853</v>
      </c>
    </row>
    <row r="628" spans="1:9" ht="11.25" customHeight="1">
      <c r="A628" s="1774" t="s">
        <v>2245</v>
      </c>
      <c r="B628" s="1774" t="s">
        <v>16</v>
      </c>
      <c r="C628" s="1774" t="s">
        <v>2452</v>
      </c>
      <c r="D628" s="1774" t="s">
        <v>2453</v>
      </c>
      <c r="E628" s="1774" t="s">
        <v>2454</v>
      </c>
      <c r="F628" s="1774" t="s">
        <v>2327</v>
      </c>
      <c r="G628" s="1774" t="s">
        <v>2455</v>
      </c>
      <c r="H628" s="1774" t="s">
        <v>22</v>
      </c>
      <c r="I628" s="1774" t="s">
        <v>853</v>
      </c>
    </row>
    <row r="629" spans="1:9" ht="11.25" customHeight="1">
      <c r="A629" s="1774" t="s">
        <v>2245</v>
      </c>
      <c r="B629" s="1774" t="s">
        <v>16</v>
      </c>
      <c r="C629" s="1774" t="s">
        <v>3722</v>
      </c>
      <c r="D629" s="1774" t="s">
        <v>3723</v>
      </c>
      <c r="E629" s="1774" t="s">
        <v>2570</v>
      </c>
      <c r="F629" s="1774" t="s">
        <v>2253</v>
      </c>
      <c r="G629" s="1774" t="s">
        <v>22</v>
      </c>
      <c r="H629" s="1774" t="s">
        <v>22</v>
      </c>
      <c r="I629" s="1774" t="s">
        <v>853</v>
      </c>
    </row>
    <row r="630" spans="1:9" ht="11.25" customHeight="1">
      <c r="A630" s="1774" t="s">
        <v>2245</v>
      </c>
      <c r="B630" s="1774" t="s">
        <v>16</v>
      </c>
      <c r="C630" s="1774" t="s">
        <v>3724</v>
      </c>
      <c r="D630" s="1774" t="s">
        <v>3725</v>
      </c>
      <c r="E630" s="1774" t="s">
        <v>3726</v>
      </c>
      <c r="F630" s="1774" t="s">
        <v>2284</v>
      </c>
      <c r="G630" s="1774" t="s">
        <v>22</v>
      </c>
      <c r="H630" s="1774" t="s">
        <v>22</v>
      </c>
      <c r="I630" s="1774" t="s">
        <v>853</v>
      </c>
    </row>
    <row r="631" spans="1:9" ht="11.25" customHeight="1">
      <c r="A631" s="1774" t="s">
        <v>2245</v>
      </c>
      <c r="B631" s="1774" t="s">
        <v>16</v>
      </c>
      <c r="C631" s="1774" t="s">
        <v>3727</v>
      </c>
      <c r="D631" s="1774" t="s">
        <v>3728</v>
      </c>
      <c r="E631" s="1774" t="s">
        <v>3729</v>
      </c>
      <c r="F631" s="1774" t="s">
        <v>2265</v>
      </c>
      <c r="G631" s="1774" t="s">
        <v>22</v>
      </c>
      <c r="H631" s="1774" t="s">
        <v>22</v>
      </c>
      <c r="I631" s="1774" t="s">
        <v>853</v>
      </c>
    </row>
    <row r="632" spans="1:9" ht="11.25" customHeight="1">
      <c r="A632" s="1774" t="s">
        <v>2245</v>
      </c>
      <c r="B632" s="1774" t="s">
        <v>16</v>
      </c>
      <c r="C632" s="1774" t="s">
        <v>2468</v>
      </c>
      <c r="D632" s="1774" t="s">
        <v>2469</v>
      </c>
      <c r="E632" s="1774" t="s">
        <v>2470</v>
      </c>
      <c r="F632" s="1774" t="s">
        <v>2450</v>
      </c>
      <c r="G632" s="1774" t="s">
        <v>22</v>
      </c>
      <c r="H632" s="1774" t="s">
        <v>22</v>
      </c>
      <c r="I632" s="1774" t="s">
        <v>853</v>
      </c>
    </row>
    <row r="633" spans="1:9" ht="11.25" customHeight="1">
      <c r="A633" s="1774" t="s">
        <v>2245</v>
      </c>
      <c r="B633" s="1774" t="s">
        <v>16</v>
      </c>
      <c r="C633" s="1774" t="s">
        <v>2475</v>
      </c>
      <c r="D633" s="1774" t="s">
        <v>2476</v>
      </c>
      <c r="E633" s="1774" t="s">
        <v>2477</v>
      </c>
      <c r="F633" s="1774" t="s">
        <v>2478</v>
      </c>
      <c r="G633" s="1774" t="s">
        <v>2479</v>
      </c>
      <c r="H633" s="1774" t="s">
        <v>22</v>
      </c>
      <c r="I633" s="1774" t="s">
        <v>853</v>
      </c>
    </row>
    <row r="634" spans="1:9" ht="11.25" customHeight="1">
      <c r="A634" s="1774" t="s">
        <v>2245</v>
      </c>
      <c r="B634" s="1774" t="s">
        <v>16</v>
      </c>
      <c r="C634" s="1774" t="s">
        <v>3730</v>
      </c>
      <c r="D634" s="1774" t="s">
        <v>3731</v>
      </c>
      <c r="E634" s="1774" t="s">
        <v>3732</v>
      </c>
      <c r="F634" s="1774" t="s">
        <v>3733</v>
      </c>
      <c r="G634" s="1774" t="s">
        <v>22</v>
      </c>
      <c r="H634" s="1774" t="s">
        <v>22</v>
      </c>
      <c r="I634" s="1774" t="s">
        <v>853</v>
      </c>
    </row>
    <row r="635" spans="1:9" ht="11.25" customHeight="1">
      <c r="A635" s="1774" t="s">
        <v>2245</v>
      </c>
      <c r="B635" s="1774" t="s">
        <v>16</v>
      </c>
      <c r="C635" s="1774" t="s">
        <v>3734</v>
      </c>
      <c r="D635" s="1774" t="s">
        <v>3735</v>
      </c>
      <c r="E635" s="1774" t="s">
        <v>3736</v>
      </c>
      <c r="F635" s="1774" t="s">
        <v>2515</v>
      </c>
      <c r="G635" s="1774" t="s">
        <v>22</v>
      </c>
      <c r="H635" s="1774" t="s">
        <v>22</v>
      </c>
      <c r="I635" s="1774" t="s">
        <v>853</v>
      </c>
    </row>
    <row r="636" spans="1:9" ht="11.25" customHeight="1">
      <c r="A636" s="1774" t="s">
        <v>2245</v>
      </c>
      <c r="B636" s="1774" t="s">
        <v>16</v>
      </c>
      <c r="C636" s="1774" t="s">
        <v>2493</v>
      </c>
      <c r="D636" s="1774" t="s">
        <v>2494</v>
      </c>
      <c r="E636" s="1774" t="s">
        <v>2495</v>
      </c>
      <c r="F636" s="1774" t="s">
        <v>2496</v>
      </c>
      <c r="G636" s="1774" t="s">
        <v>22</v>
      </c>
      <c r="H636" s="1774" t="s">
        <v>22</v>
      </c>
      <c r="I636" s="1774" t="s">
        <v>853</v>
      </c>
    </row>
    <row r="637" spans="1:9" ht="11.25" customHeight="1">
      <c r="A637" s="1774" t="s">
        <v>2245</v>
      </c>
      <c r="B637" s="1774" t="s">
        <v>16</v>
      </c>
      <c r="C637" s="1774" t="s">
        <v>3737</v>
      </c>
      <c r="D637" s="1774" t="s">
        <v>3738</v>
      </c>
      <c r="E637" s="1774" t="s">
        <v>3739</v>
      </c>
      <c r="F637" s="1774" t="s">
        <v>2697</v>
      </c>
      <c r="G637" s="1774" t="s">
        <v>22</v>
      </c>
      <c r="H637" s="1774" t="s">
        <v>22</v>
      </c>
      <c r="I637" s="1774" t="s">
        <v>853</v>
      </c>
    </row>
    <row r="638" spans="1:9" ht="11.25" customHeight="1">
      <c r="A638" s="1774" t="s">
        <v>2245</v>
      </c>
      <c r="B638" s="1774" t="s">
        <v>16</v>
      </c>
      <c r="C638" s="1774" t="s">
        <v>2497</v>
      </c>
      <c r="D638" s="1774" t="s">
        <v>2498</v>
      </c>
      <c r="E638" s="1774" t="s">
        <v>2499</v>
      </c>
      <c r="F638" s="1774" t="s">
        <v>2496</v>
      </c>
      <c r="G638" s="1774" t="s">
        <v>2500</v>
      </c>
      <c r="H638" s="1774" t="s">
        <v>2451</v>
      </c>
      <c r="I638" s="1774" t="s">
        <v>853</v>
      </c>
    </row>
    <row r="639" spans="1:9" ht="11.25" customHeight="1">
      <c r="A639" s="1774" t="s">
        <v>2245</v>
      </c>
      <c r="B639" s="1774" t="s">
        <v>16</v>
      </c>
      <c r="C639" s="1774" t="s">
        <v>2524</v>
      </c>
      <c r="D639" s="1774" t="s">
        <v>2525</v>
      </c>
      <c r="E639" s="1774" t="s">
        <v>2526</v>
      </c>
      <c r="F639" s="1774" t="s">
        <v>2527</v>
      </c>
      <c r="G639" s="1774" t="s">
        <v>22</v>
      </c>
      <c r="H639" s="1774" t="s">
        <v>22</v>
      </c>
      <c r="I639" s="1774" t="s">
        <v>853</v>
      </c>
    </row>
    <row r="640" spans="1:9" ht="11.25" customHeight="1">
      <c r="A640" s="1774" t="s">
        <v>2245</v>
      </c>
      <c r="B640" s="1774" t="s">
        <v>16</v>
      </c>
      <c r="C640" s="1774" t="s">
        <v>2528</v>
      </c>
      <c r="D640" s="1774" t="s">
        <v>2529</v>
      </c>
      <c r="E640" s="1774" t="s">
        <v>2530</v>
      </c>
      <c r="F640" s="1774" t="s">
        <v>2531</v>
      </c>
      <c r="G640" s="1774" t="s">
        <v>22</v>
      </c>
      <c r="H640" s="1774" t="s">
        <v>22</v>
      </c>
      <c r="I640" s="1774" t="s">
        <v>853</v>
      </c>
    </row>
    <row r="641" spans="1:9" ht="11.25" customHeight="1">
      <c r="A641" s="1774" t="s">
        <v>2245</v>
      </c>
      <c r="B641" s="1774" t="s">
        <v>16</v>
      </c>
      <c r="C641" s="1774" t="s">
        <v>2539</v>
      </c>
      <c r="D641" s="1774" t="s">
        <v>2540</v>
      </c>
      <c r="E641" s="1774" t="s">
        <v>2541</v>
      </c>
      <c r="F641" s="1774" t="s">
        <v>2542</v>
      </c>
      <c r="G641" s="1774" t="s">
        <v>22</v>
      </c>
      <c r="H641" s="1774" t="s">
        <v>22</v>
      </c>
      <c r="I641" s="1774" t="s">
        <v>853</v>
      </c>
    </row>
    <row r="642" spans="1:9" ht="11.25" customHeight="1">
      <c r="A642" s="1774" t="s">
        <v>2245</v>
      </c>
      <c r="B642" s="1774" t="s">
        <v>16</v>
      </c>
      <c r="C642" s="1774" t="s">
        <v>2546</v>
      </c>
      <c r="D642" s="1774" t="s">
        <v>2547</v>
      </c>
      <c r="E642" s="1774" t="s">
        <v>2548</v>
      </c>
      <c r="F642" s="1774" t="s">
        <v>2280</v>
      </c>
      <c r="G642" s="1774" t="s">
        <v>22</v>
      </c>
      <c r="H642" s="1774" t="s">
        <v>22</v>
      </c>
      <c r="I642" s="1774" t="s">
        <v>853</v>
      </c>
    </row>
    <row r="643" spans="1:9" ht="11.25" customHeight="1">
      <c r="A643" s="1774" t="s">
        <v>2245</v>
      </c>
      <c r="B643" s="1774" t="s">
        <v>16</v>
      </c>
      <c r="C643" s="1774" t="s">
        <v>2558</v>
      </c>
      <c r="D643" s="1774" t="s">
        <v>2559</v>
      </c>
      <c r="E643" s="1774" t="s">
        <v>2560</v>
      </c>
      <c r="F643" s="1774" t="s">
        <v>2386</v>
      </c>
      <c r="G643" s="1774" t="s">
        <v>22</v>
      </c>
      <c r="H643" s="1774" t="s">
        <v>22</v>
      </c>
      <c r="I643" s="1774" t="s">
        <v>853</v>
      </c>
    </row>
    <row r="644" spans="1:9" ht="11.25" customHeight="1">
      <c r="A644" s="1774" t="s">
        <v>2245</v>
      </c>
      <c r="B644" s="1774" t="s">
        <v>16</v>
      </c>
      <c r="C644" s="1774" t="s">
        <v>2564</v>
      </c>
      <c r="D644" s="1774" t="s">
        <v>2565</v>
      </c>
      <c r="E644" s="1774" t="s">
        <v>2566</v>
      </c>
      <c r="F644" s="1774" t="s">
        <v>2567</v>
      </c>
      <c r="G644" s="1774" t="s">
        <v>22</v>
      </c>
      <c r="H644" s="1774" t="s">
        <v>22</v>
      </c>
      <c r="I644" s="1774" t="s">
        <v>853</v>
      </c>
    </row>
    <row r="645" spans="1:9" ht="11.25" customHeight="1">
      <c r="A645" s="1774" t="s">
        <v>2245</v>
      </c>
      <c r="B645" s="1774" t="s">
        <v>16</v>
      </c>
      <c r="C645" s="1774" t="s">
        <v>2568</v>
      </c>
      <c r="D645" s="1774" t="s">
        <v>2569</v>
      </c>
      <c r="E645" s="1774" t="s">
        <v>2570</v>
      </c>
      <c r="F645" s="1774" t="s">
        <v>2571</v>
      </c>
      <c r="G645" s="1774" t="s">
        <v>22</v>
      </c>
      <c r="H645" s="1774" t="s">
        <v>22</v>
      </c>
      <c r="I645" s="1774" t="s">
        <v>853</v>
      </c>
    </row>
    <row r="646" spans="1:9" ht="11.25" customHeight="1">
      <c r="A646" s="1774" t="s">
        <v>2245</v>
      </c>
      <c r="B646" s="1774" t="s">
        <v>16</v>
      </c>
      <c r="C646" s="1774" t="s">
        <v>2575</v>
      </c>
      <c r="D646" s="1774" t="s">
        <v>2576</v>
      </c>
      <c r="E646" s="1774" t="s">
        <v>2577</v>
      </c>
      <c r="F646" s="1774" t="s">
        <v>2496</v>
      </c>
      <c r="G646" s="1774" t="s">
        <v>22</v>
      </c>
      <c r="H646" s="1774" t="s">
        <v>2451</v>
      </c>
      <c r="I646" s="1774" t="s">
        <v>853</v>
      </c>
    </row>
    <row r="647" spans="1:9" ht="11.25" customHeight="1">
      <c r="A647" s="1774" t="s">
        <v>2245</v>
      </c>
      <c r="B647" s="1774" t="s">
        <v>16</v>
      </c>
      <c r="C647" s="1774" t="s">
        <v>2581</v>
      </c>
      <c r="D647" s="1774" t="s">
        <v>2582</v>
      </c>
      <c r="E647" s="1774" t="s">
        <v>2583</v>
      </c>
      <c r="F647" s="1774" t="s">
        <v>2542</v>
      </c>
      <c r="G647" s="1774" t="s">
        <v>22</v>
      </c>
      <c r="H647" s="1774" t="s">
        <v>22</v>
      </c>
      <c r="I647" s="1774" t="s">
        <v>853</v>
      </c>
    </row>
    <row r="648" spans="1:9" ht="11.25" customHeight="1">
      <c r="A648" s="1774" t="s">
        <v>2245</v>
      </c>
      <c r="B648" s="1774" t="s">
        <v>16</v>
      </c>
      <c r="C648" s="1774" t="s">
        <v>3740</v>
      </c>
      <c r="D648" s="1774" t="s">
        <v>3741</v>
      </c>
      <c r="E648" s="1774" t="s">
        <v>3742</v>
      </c>
      <c r="F648" s="1774" t="s">
        <v>2265</v>
      </c>
      <c r="G648" s="1774" t="s">
        <v>22</v>
      </c>
      <c r="H648" s="1774" t="s">
        <v>22</v>
      </c>
      <c r="I648" s="1774" t="s">
        <v>853</v>
      </c>
    </row>
    <row r="649" spans="1:9" ht="11.25" customHeight="1">
      <c r="A649" s="1774" t="s">
        <v>2245</v>
      </c>
      <c r="B649" s="1774" t="s">
        <v>16</v>
      </c>
      <c r="C649" s="1774" t="s">
        <v>2587</v>
      </c>
      <c r="D649" s="1774" t="s">
        <v>2588</v>
      </c>
      <c r="E649" s="1774" t="s">
        <v>2589</v>
      </c>
      <c r="F649" s="1774" t="s">
        <v>2386</v>
      </c>
      <c r="G649" s="1774" t="s">
        <v>22</v>
      </c>
      <c r="H649" s="1774" t="s">
        <v>22</v>
      </c>
      <c r="I649" s="1774" t="s">
        <v>853</v>
      </c>
    </row>
    <row r="650" spans="1:9" ht="11.25" customHeight="1">
      <c r="A650" s="1774" t="s">
        <v>2245</v>
      </c>
      <c r="B650" s="1774" t="s">
        <v>16</v>
      </c>
      <c r="C650" s="1774" t="s">
        <v>2611</v>
      </c>
      <c r="D650" s="1774" t="s">
        <v>2612</v>
      </c>
      <c r="E650" s="1774" t="s">
        <v>2613</v>
      </c>
      <c r="F650" s="1774" t="s">
        <v>574</v>
      </c>
      <c r="G650" s="1774" t="s">
        <v>22</v>
      </c>
      <c r="H650" s="1774" t="s">
        <v>22</v>
      </c>
      <c r="I650" s="1774" t="s">
        <v>853</v>
      </c>
    </row>
    <row r="651" spans="1:9" ht="11.25" customHeight="1">
      <c r="A651" s="1774" t="s">
        <v>2245</v>
      </c>
      <c r="B651" s="1774" t="s">
        <v>16</v>
      </c>
      <c r="C651" s="1774" t="s">
        <v>3743</v>
      </c>
      <c r="D651" s="1774" t="s">
        <v>3744</v>
      </c>
      <c r="E651" s="1774" t="s">
        <v>3745</v>
      </c>
      <c r="F651" s="1774" t="s">
        <v>2496</v>
      </c>
      <c r="G651" s="1774" t="s">
        <v>22</v>
      </c>
      <c r="H651" s="1774" t="s">
        <v>3746</v>
      </c>
      <c r="I651" s="1774" t="s">
        <v>853</v>
      </c>
    </row>
    <row r="652" spans="1:9" ht="11.25" customHeight="1">
      <c r="A652" s="1774" t="s">
        <v>2245</v>
      </c>
      <c r="B652" s="1774" t="s">
        <v>16</v>
      </c>
      <c r="C652" s="1774" t="s">
        <v>2617</v>
      </c>
      <c r="D652" s="1774" t="s">
        <v>2618</v>
      </c>
      <c r="E652" s="1774" t="s">
        <v>2619</v>
      </c>
      <c r="F652" s="1774" t="s">
        <v>2620</v>
      </c>
      <c r="G652" s="1774" t="s">
        <v>22</v>
      </c>
      <c r="H652" s="1774" t="s">
        <v>22</v>
      </c>
      <c r="I652" s="1774" t="s">
        <v>853</v>
      </c>
    </row>
    <row r="653" spans="1:9" ht="11.25" customHeight="1">
      <c r="A653" s="1774" t="s">
        <v>2245</v>
      </c>
      <c r="B653" s="1774" t="s">
        <v>16</v>
      </c>
      <c r="C653" s="1774" t="s">
        <v>3747</v>
      </c>
      <c r="D653" s="1774" t="s">
        <v>3748</v>
      </c>
      <c r="E653" s="1774" t="s">
        <v>3749</v>
      </c>
      <c r="F653" s="1774" t="s">
        <v>2697</v>
      </c>
      <c r="G653" s="1774" t="s">
        <v>22</v>
      </c>
      <c r="H653" s="1774" t="s">
        <v>22</v>
      </c>
      <c r="I653" s="1774" t="s">
        <v>853</v>
      </c>
    </row>
    <row r="654" spans="1:9" ht="11.25" customHeight="1">
      <c r="A654" s="1774" t="s">
        <v>2245</v>
      </c>
      <c r="B654" s="1774" t="s">
        <v>16</v>
      </c>
      <c r="C654" s="1774" t="s">
        <v>2635</v>
      </c>
      <c r="D654" s="1774" t="s">
        <v>2636</v>
      </c>
      <c r="E654" s="1774" t="s">
        <v>2637</v>
      </c>
      <c r="F654" s="1774" t="s">
        <v>2638</v>
      </c>
      <c r="G654" s="1774" t="s">
        <v>2639</v>
      </c>
      <c r="H654" s="1774" t="s">
        <v>22</v>
      </c>
      <c r="I654" s="1774" t="s">
        <v>853</v>
      </c>
    </row>
    <row r="655" spans="1:9" ht="11.25" customHeight="1">
      <c r="A655" s="1774" t="s">
        <v>2245</v>
      </c>
      <c r="B655" s="1774" t="s">
        <v>16</v>
      </c>
      <c r="C655" s="1774" t="s">
        <v>3750</v>
      </c>
      <c r="D655" s="1774" t="s">
        <v>3751</v>
      </c>
      <c r="E655" s="1774" t="s">
        <v>3752</v>
      </c>
      <c r="F655" s="1774" t="s">
        <v>3111</v>
      </c>
      <c r="G655" s="1774" t="s">
        <v>22</v>
      </c>
      <c r="H655" s="1774" t="s">
        <v>22</v>
      </c>
      <c r="I655" s="1774" t="s">
        <v>853</v>
      </c>
    </row>
    <row r="656" spans="1:9" ht="11.25" customHeight="1">
      <c r="A656" s="1774" t="s">
        <v>2245</v>
      </c>
      <c r="B656" s="1774" t="s">
        <v>16</v>
      </c>
      <c r="C656" s="1774" t="s">
        <v>3753</v>
      </c>
      <c r="D656" s="1774" t="s">
        <v>3754</v>
      </c>
      <c r="E656" s="1774" t="s">
        <v>3755</v>
      </c>
      <c r="F656" s="1774" t="s">
        <v>3111</v>
      </c>
      <c r="G656" s="1774" t="s">
        <v>22</v>
      </c>
      <c r="H656" s="1774" t="s">
        <v>22</v>
      </c>
      <c r="I656" s="1774" t="s">
        <v>853</v>
      </c>
    </row>
    <row r="657" spans="1:9" ht="11.25" customHeight="1">
      <c r="A657" s="1774" t="s">
        <v>2245</v>
      </c>
      <c r="B657" s="1774" t="s">
        <v>16</v>
      </c>
      <c r="C657" s="1774" t="s">
        <v>3756</v>
      </c>
      <c r="D657" s="1774" t="s">
        <v>3757</v>
      </c>
      <c r="E657" s="1774" t="s">
        <v>3758</v>
      </c>
      <c r="F657" s="1774" t="s">
        <v>3111</v>
      </c>
      <c r="G657" s="1774" t="s">
        <v>22</v>
      </c>
      <c r="H657" s="1774" t="s">
        <v>22</v>
      </c>
      <c r="I657" s="1774" t="s">
        <v>853</v>
      </c>
    </row>
    <row r="658" spans="1:9" ht="11.25" customHeight="1">
      <c r="A658" s="1774" t="s">
        <v>2245</v>
      </c>
      <c r="B658" s="1774" t="s">
        <v>16</v>
      </c>
      <c r="C658" s="1774" t="s">
        <v>3759</v>
      </c>
      <c r="D658" s="1774" t="s">
        <v>3760</v>
      </c>
      <c r="E658" s="1774" t="s">
        <v>3761</v>
      </c>
      <c r="F658" s="1774" t="s">
        <v>3111</v>
      </c>
      <c r="G658" s="1774" t="s">
        <v>22</v>
      </c>
      <c r="H658" s="1774" t="s">
        <v>22</v>
      </c>
      <c r="I658" s="1774" t="s">
        <v>853</v>
      </c>
    </row>
    <row r="659" spans="1:9" ht="11.25" customHeight="1">
      <c r="A659" s="1774" t="s">
        <v>2245</v>
      </c>
      <c r="B659" s="1774" t="s">
        <v>16</v>
      </c>
      <c r="C659" s="1774" t="s">
        <v>3762</v>
      </c>
      <c r="D659" s="1774" t="s">
        <v>3763</v>
      </c>
      <c r="E659" s="1774" t="s">
        <v>3764</v>
      </c>
      <c r="F659" s="1774" t="s">
        <v>3111</v>
      </c>
      <c r="G659" s="1774" t="s">
        <v>22</v>
      </c>
      <c r="H659" s="1774" t="s">
        <v>22</v>
      </c>
      <c r="I659" s="1774" t="s">
        <v>853</v>
      </c>
    </row>
    <row r="660" spans="1:9" ht="11.25" customHeight="1">
      <c r="A660" s="1774" t="s">
        <v>2245</v>
      </c>
      <c r="B660" s="1774" t="s">
        <v>16</v>
      </c>
      <c r="C660" s="1774" t="s">
        <v>2650</v>
      </c>
      <c r="D660" s="1774" t="s">
        <v>2651</v>
      </c>
      <c r="E660" s="1774" t="s">
        <v>2652</v>
      </c>
      <c r="F660" s="1774" t="s">
        <v>2653</v>
      </c>
      <c r="G660" s="1774" t="s">
        <v>22</v>
      </c>
      <c r="H660" s="1774" t="s">
        <v>22</v>
      </c>
      <c r="I660" s="1774" t="s">
        <v>853</v>
      </c>
    </row>
    <row r="661" spans="1:9" ht="11.25" customHeight="1">
      <c r="A661" s="1774" t="s">
        <v>2245</v>
      </c>
      <c r="B661" s="1774" t="s">
        <v>16</v>
      </c>
      <c r="C661" s="1774" t="s">
        <v>3765</v>
      </c>
      <c r="D661" s="1774" t="s">
        <v>3766</v>
      </c>
      <c r="E661" s="1774" t="s">
        <v>3767</v>
      </c>
      <c r="F661" s="1774" t="s">
        <v>3010</v>
      </c>
      <c r="G661" s="1774" t="s">
        <v>3768</v>
      </c>
      <c r="H661" s="1774" t="s">
        <v>22</v>
      </c>
      <c r="I661" s="1774" t="s">
        <v>853</v>
      </c>
    </row>
    <row r="662" spans="1:9" ht="11.25" customHeight="1">
      <c r="A662" s="1774" t="s">
        <v>2245</v>
      </c>
      <c r="B662" s="1774" t="s">
        <v>16</v>
      </c>
      <c r="C662" s="1774" t="s">
        <v>3769</v>
      </c>
      <c r="D662" s="1774" t="s">
        <v>3766</v>
      </c>
      <c r="E662" s="1774" t="s">
        <v>3770</v>
      </c>
      <c r="F662" s="1774" t="s">
        <v>2679</v>
      </c>
      <c r="G662" s="1774" t="s">
        <v>22</v>
      </c>
      <c r="H662" s="1774" t="s">
        <v>22</v>
      </c>
      <c r="I662" s="1774" t="s">
        <v>853</v>
      </c>
    </row>
    <row r="663" spans="1:9" ht="11.25" customHeight="1">
      <c r="A663" s="1774" t="s">
        <v>2245</v>
      </c>
      <c r="B663" s="1774" t="s">
        <v>16</v>
      </c>
      <c r="C663" s="1774" t="s">
        <v>2654</v>
      </c>
      <c r="D663" s="1774" t="s">
        <v>2655</v>
      </c>
      <c r="E663" s="1774" t="s">
        <v>2656</v>
      </c>
      <c r="F663" s="1774" t="s">
        <v>2450</v>
      </c>
      <c r="G663" s="1774" t="s">
        <v>22</v>
      </c>
      <c r="H663" s="1774" t="s">
        <v>22</v>
      </c>
      <c r="I663" s="1774" t="s">
        <v>853</v>
      </c>
    </row>
    <row r="664" spans="1:9" ht="11.25" customHeight="1">
      <c r="A664" s="1774" t="s">
        <v>2245</v>
      </c>
      <c r="B664" s="1774" t="s">
        <v>16</v>
      </c>
      <c r="C664" s="1774" t="s">
        <v>3771</v>
      </c>
      <c r="D664" s="1774" t="s">
        <v>3772</v>
      </c>
      <c r="E664" s="1774" t="s">
        <v>3773</v>
      </c>
      <c r="F664" s="1774" t="s">
        <v>2666</v>
      </c>
      <c r="G664" s="1774" t="s">
        <v>22</v>
      </c>
      <c r="H664" s="1774" t="s">
        <v>22</v>
      </c>
      <c r="I664" s="1774" t="s">
        <v>853</v>
      </c>
    </row>
    <row r="665" spans="1:9" ht="11.25" customHeight="1">
      <c r="A665" s="1774" t="s">
        <v>2245</v>
      </c>
      <c r="B665" s="1774" t="s">
        <v>16</v>
      </c>
      <c r="C665" s="1774" t="s">
        <v>2657</v>
      </c>
      <c r="D665" s="1774" t="s">
        <v>2658</v>
      </c>
      <c r="E665" s="1774" t="s">
        <v>2659</v>
      </c>
      <c r="F665" s="1774" t="s">
        <v>2376</v>
      </c>
      <c r="G665" s="1774" t="s">
        <v>22</v>
      </c>
      <c r="H665" s="1774" t="s">
        <v>22</v>
      </c>
      <c r="I665" s="1774" t="s">
        <v>853</v>
      </c>
    </row>
    <row r="666" spans="1:9" ht="11.25" customHeight="1">
      <c r="A666" s="1774" t="s">
        <v>2245</v>
      </c>
      <c r="B666" s="1774" t="s">
        <v>16</v>
      </c>
      <c r="C666" s="1774" t="s">
        <v>2660</v>
      </c>
      <c r="D666" s="1774" t="s">
        <v>2661</v>
      </c>
      <c r="E666" s="1774" t="s">
        <v>2662</v>
      </c>
      <c r="F666" s="1774" t="s">
        <v>2450</v>
      </c>
      <c r="G666" s="1774" t="s">
        <v>22</v>
      </c>
      <c r="H666" s="1774" t="s">
        <v>22</v>
      </c>
      <c r="I666" s="1774" t="s">
        <v>853</v>
      </c>
    </row>
    <row r="667" spans="1:9" ht="11.25" customHeight="1">
      <c r="A667" s="1774" t="s">
        <v>2245</v>
      </c>
      <c r="B667" s="1774" t="s">
        <v>16</v>
      </c>
      <c r="C667" s="1774" t="s">
        <v>2663</v>
      </c>
      <c r="D667" s="1774" t="s">
        <v>2664</v>
      </c>
      <c r="E667" s="1774" t="s">
        <v>2665</v>
      </c>
      <c r="F667" s="1774" t="s">
        <v>2666</v>
      </c>
      <c r="G667" s="1774" t="s">
        <v>22</v>
      </c>
      <c r="H667" s="1774" t="s">
        <v>22</v>
      </c>
      <c r="I667" s="1774" t="s">
        <v>853</v>
      </c>
    </row>
    <row r="668" spans="1:9" ht="11.25" customHeight="1">
      <c r="A668" s="1774" t="s">
        <v>2245</v>
      </c>
      <c r="B668" s="1774" t="s">
        <v>16</v>
      </c>
      <c r="C668" s="1774" t="s">
        <v>2667</v>
      </c>
      <c r="D668" s="1774" t="s">
        <v>2668</v>
      </c>
      <c r="E668" s="1774" t="s">
        <v>2669</v>
      </c>
      <c r="F668" s="1774" t="s">
        <v>2280</v>
      </c>
      <c r="G668" s="1774" t="s">
        <v>22</v>
      </c>
      <c r="H668" s="1774" t="s">
        <v>22</v>
      </c>
      <c r="I668" s="1774" t="s">
        <v>853</v>
      </c>
    </row>
    <row r="669" spans="1:9" ht="11.25" customHeight="1">
      <c r="A669" s="1774" t="s">
        <v>2245</v>
      </c>
      <c r="B669" s="1774" t="s">
        <v>16</v>
      </c>
      <c r="C669" s="1774" t="s">
        <v>2670</v>
      </c>
      <c r="D669" s="1774" t="s">
        <v>2671</v>
      </c>
      <c r="E669" s="1774" t="s">
        <v>2672</v>
      </c>
      <c r="F669" s="1774" t="s">
        <v>2462</v>
      </c>
      <c r="G669" s="1774" t="s">
        <v>22</v>
      </c>
      <c r="H669" s="1774" t="s">
        <v>22</v>
      </c>
      <c r="I669" s="1774" t="s">
        <v>853</v>
      </c>
    </row>
    <row r="670" spans="1:9" ht="11.25" customHeight="1">
      <c r="A670" s="1774" t="s">
        <v>2245</v>
      </c>
      <c r="B670" s="1774" t="s">
        <v>16</v>
      </c>
      <c r="C670" s="1774" t="s">
        <v>2673</v>
      </c>
      <c r="D670" s="1774" t="s">
        <v>2674</v>
      </c>
      <c r="E670" s="1774" t="s">
        <v>2675</v>
      </c>
      <c r="F670" s="1774" t="s">
        <v>2666</v>
      </c>
      <c r="G670" s="1774" t="s">
        <v>22</v>
      </c>
      <c r="H670" s="1774" t="s">
        <v>22</v>
      </c>
      <c r="I670" s="1774" t="s">
        <v>853</v>
      </c>
    </row>
    <row r="671" spans="1:9" ht="11.25" customHeight="1">
      <c r="A671" s="1774" t="s">
        <v>2245</v>
      </c>
      <c r="B671" s="1774" t="s">
        <v>16</v>
      </c>
      <c r="C671" s="1774" t="s">
        <v>2683</v>
      </c>
      <c r="D671" s="1774" t="s">
        <v>2684</v>
      </c>
      <c r="E671" s="1774" t="s">
        <v>2685</v>
      </c>
      <c r="F671" s="1774" t="s">
        <v>2686</v>
      </c>
      <c r="G671" s="1774" t="s">
        <v>2687</v>
      </c>
      <c r="H671" s="1774" t="s">
        <v>22</v>
      </c>
      <c r="I671" s="1774" t="s">
        <v>853</v>
      </c>
    </row>
    <row r="672" spans="1:9" ht="11.25" customHeight="1">
      <c r="A672" s="1774" t="s">
        <v>2245</v>
      </c>
      <c r="B672" s="1774" t="s">
        <v>16</v>
      </c>
      <c r="C672" s="1774" t="s">
        <v>3774</v>
      </c>
      <c r="D672" s="1774" t="s">
        <v>3775</v>
      </c>
      <c r="E672" s="1774" t="s">
        <v>3776</v>
      </c>
      <c r="F672" s="1774" t="s">
        <v>3777</v>
      </c>
      <c r="G672" s="1774" t="s">
        <v>3778</v>
      </c>
      <c r="H672" s="1774" t="s">
        <v>22</v>
      </c>
      <c r="I672" s="1774" t="s">
        <v>853</v>
      </c>
    </row>
    <row r="673" spans="1:9" ht="11.25" customHeight="1">
      <c r="A673" s="1774" t="s">
        <v>2245</v>
      </c>
      <c r="B673" s="1774" t="s">
        <v>16</v>
      </c>
      <c r="C673" s="1774" t="s">
        <v>3779</v>
      </c>
      <c r="D673" s="1774" t="s">
        <v>3780</v>
      </c>
      <c r="E673" s="1774" t="s">
        <v>3781</v>
      </c>
      <c r="F673" s="1774" t="s">
        <v>2531</v>
      </c>
      <c r="G673" s="1774" t="s">
        <v>22</v>
      </c>
      <c r="H673" s="1774" t="s">
        <v>22</v>
      </c>
      <c r="I673" s="1774" t="s">
        <v>853</v>
      </c>
    </row>
    <row r="674" spans="1:9" ht="11.25" customHeight="1">
      <c r="A674" s="1774" t="s">
        <v>2245</v>
      </c>
      <c r="B674" s="1774" t="s">
        <v>16</v>
      </c>
      <c r="C674" s="1774" t="s">
        <v>3782</v>
      </c>
      <c r="D674" s="1774" t="s">
        <v>3783</v>
      </c>
      <c r="E674" s="1774" t="s">
        <v>3784</v>
      </c>
      <c r="F674" s="1774" t="s">
        <v>3010</v>
      </c>
      <c r="G674" s="1774" t="s">
        <v>22</v>
      </c>
      <c r="H674" s="1774" t="s">
        <v>22</v>
      </c>
      <c r="I674" s="1774" t="s">
        <v>853</v>
      </c>
    </row>
    <row r="675" spans="1:9" ht="11.25" customHeight="1">
      <c r="A675" s="1774" t="s">
        <v>2245</v>
      </c>
      <c r="B675" s="1774" t="s">
        <v>16</v>
      </c>
      <c r="C675" s="1774" t="s">
        <v>2698</v>
      </c>
      <c r="D675" s="1774" t="s">
        <v>2699</v>
      </c>
      <c r="E675" s="1774" t="s">
        <v>2700</v>
      </c>
      <c r="F675" s="1774" t="s">
        <v>2298</v>
      </c>
      <c r="G675" s="1774" t="s">
        <v>22</v>
      </c>
      <c r="H675" s="1774" t="s">
        <v>22</v>
      </c>
      <c r="I675" s="1774" t="s">
        <v>853</v>
      </c>
    </row>
    <row r="676" spans="1:9" ht="11.25" customHeight="1">
      <c r="A676" s="1774" t="s">
        <v>2245</v>
      </c>
      <c r="B676" s="1774" t="s">
        <v>16</v>
      </c>
      <c r="C676" s="1774" t="s">
        <v>2701</v>
      </c>
      <c r="D676" s="1774" t="s">
        <v>2702</v>
      </c>
      <c r="E676" s="1774" t="s">
        <v>2703</v>
      </c>
      <c r="F676" s="1774" t="s">
        <v>2704</v>
      </c>
      <c r="G676" s="1774" t="s">
        <v>22</v>
      </c>
      <c r="H676" s="1774" t="s">
        <v>22</v>
      </c>
      <c r="I676" s="1774" t="s">
        <v>853</v>
      </c>
    </row>
    <row r="677" spans="1:9" ht="11.25" customHeight="1">
      <c r="A677" s="1774" t="s">
        <v>2245</v>
      </c>
      <c r="B677" s="1774" t="s">
        <v>16</v>
      </c>
      <c r="C677" s="1774" t="s">
        <v>2705</v>
      </c>
      <c r="D677" s="1774" t="s">
        <v>2706</v>
      </c>
      <c r="E677" s="1774" t="s">
        <v>2707</v>
      </c>
      <c r="F677" s="1774" t="s">
        <v>2708</v>
      </c>
      <c r="G677" s="1774" t="s">
        <v>22</v>
      </c>
      <c r="H677" s="1774" t="s">
        <v>22</v>
      </c>
      <c r="I677" s="1774" t="s">
        <v>853</v>
      </c>
    </row>
    <row r="678" spans="1:9" ht="11.25" customHeight="1">
      <c r="A678" s="1774" t="s">
        <v>2245</v>
      </c>
      <c r="B678" s="1774" t="s">
        <v>16</v>
      </c>
      <c r="C678" s="1774" t="s">
        <v>3785</v>
      </c>
      <c r="D678" s="1774" t="s">
        <v>3786</v>
      </c>
      <c r="E678" s="1774" t="s">
        <v>3787</v>
      </c>
      <c r="F678" s="1774" t="s">
        <v>2306</v>
      </c>
      <c r="G678" s="1774" t="s">
        <v>22</v>
      </c>
      <c r="H678" s="1774" t="s">
        <v>22</v>
      </c>
      <c r="I678" s="1774" t="s">
        <v>853</v>
      </c>
    </row>
    <row r="679" spans="1:9" ht="11.25" customHeight="1">
      <c r="A679" s="1774" t="s">
        <v>2245</v>
      </c>
      <c r="B679" s="1774" t="s">
        <v>16</v>
      </c>
      <c r="C679" s="1774" t="s">
        <v>3788</v>
      </c>
      <c r="D679" s="1774" t="s">
        <v>3789</v>
      </c>
      <c r="E679" s="1774" t="s">
        <v>3790</v>
      </c>
      <c r="F679" s="1774" t="s">
        <v>3301</v>
      </c>
      <c r="G679" s="1774" t="s">
        <v>22</v>
      </c>
      <c r="H679" s="1774" t="s">
        <v>22</v>
      </c>
      <c r="I679" s="1774" t="s">
        <v>853</v>
      </c>
    </row>
    <row r="680" spans="1:9" ht="11.25" customHeight="1">
      <c r="A680" s="1774" t="s">
        <v>2245</v>
      </c>
      <c r="B680" s="1774" t="s">
        <v>16</v>
      </c>
      <c r="C680" s="1774" t="s">
        <v>3791</v>
      </c>
      <c r="D680" s="1774" t="s">
        <v>3792</v>
      </c>
      <c r="E680" s="1774" t="s">
        <v>3793</v>
      </c>
      <c r="F680" s="1774" t="s">
        <v>2527</v>
      </c>
      <c r="G680" s="1774" t="s">
        <v>3794</v>
      </c>
      <c r="H680" s="1774" t="s">
        <v>22</v>
      </c>
      <c r="I680" s="1774" t="s">
        <v>853</v>
      </c>
    </row>
    <row r="681" spans="1:9" ht="11.25" customHeight="1">
      <c r="A681" s="1774" t="s">
        <v>2245</v>
      </c>
      <c r="B681" s="1774" t="s">
        <v>16</v>
      </c>
      <c r="C681" s="1774" t="s">
        <v>2709</v>
      </c>
      <c r="D681" s="1774" t="s">
        <v>2710</v>
      </c>
      <c r="E681" s="1774" t="s">
        <v>2711</v>
      </c>
      <c r="F681" s="1774" t="s">
        <v>2712</v>
      </c>
      <c r="G681" s="1774" t="s">
        <v>22</v>
      </c>
      <c r="H681" s="1774" t="s">
        <v>22</v>
      </c>
      <c r="I681" s="1774" t="s">
        <v>853</v>
      </c>
    </row>
    <row r="682" spans="1:9" ht="11.25" customHeight="1">
      <c r="A682" s="1774" t="s">
        <v>2245</v>
      </c>
      <c r="B682" s="1774" t="s">
        <v>16</v>
      </c>
      <c r="C682" s="1774" t="s">
        <v>3795</v>
      </c>
      <c r="D682" s="1774" t="s">
        <v>3796</v>
      </c>
      <c r="E682" s="1774" t="s">
        <v>3797</v>
      </c>
      <c r="F682" s="1774" t="s">
        <v>2816</v>
      </c>
      <c r="G682" s="1774" t="s">
        <v>22</v>
      </c>
      <c r="H682" s="1774" t="s">
        <v>22</v>
      </c>
      <c r="I682" s="1774" t="s">
        <v>853</v>
      </c>
    </row>
    <row r="683" spans="1:9" ht="11.25" customHeight="1">
      <c r="A683" s="1774" t="s">
        <v>2245</v>
      </c>
      <c r="B683" s="1774" t="s">
        <v>16</v>
      </c>
      <c r="C683" s="1774" t="s">
        <v>2713</v>
      </c>
      <c r="D683" s="1774" t="s">
        <v>2714</v>
      </c>
      <c r="E683" s="1774" t="s">
        <v>2715</v>
      </c>
      <c r="F683" s="1774" t="s">
        <v>2527</v>
      </c>
      <c r="G683" s="1774" t="s">
        <v>22</v>
      </c>
      <c r="H683" s="1774" t="s">
        <v>22</v>
      </c>
      <c r="I683" s="1774" t="s">
        <v>853</v>
      </c>
    </row>
    <row r="684" spans="1:9" ht="11.25" customHeight="1">
      <c r="A684" s="1774" t="s">
        <v>2245</v>
      </c>
      <c r="B684" s="1774" t="s">
        <v>16</v>
      </c>
      <c r="C684" s="1774" t="s">
        <v>3798</v>
      </c>
      <c r="D684" s="1774" t="s">
        <v>3799</v>
      </c>
      <c r="E684" s="1774" t="s">
        <v>3800</v>
      </c>
      <c r="F684" s="1774" t="s">
        <v>2542</v>
      </c>
      <c r="G684" s="1774" t="s">
        <v>22</v>
      </c>
      <c r="H684" s="1774" t="s">
        <v>22</v>
      </c>
      <c r="I684" s="1774" t="s">
        <v>853</v>
      </c>
    </row>
    <row r="685" spans="1:9" ht="11.25" customHeight="1">
      <c r="A685" s="1774" t="s">
        <v>2245</v>
      </c>
      <c r="B685" s="1774" t="s">
        <v>16</v>
      </c>
      <c r="C685" s="1774" t="s">
        <v>2716</v>
      </c>
      <c r="D685" s="1774" t="s">
        <v>2717</v>
      </c>
      <c r="E685" s="1774" t="s">
        <v>2718</v>
      </c>
      <c r="F685" s="1774" t="s">
        <v>2317</v>
      </c>
      <c r="G685" s="1774" t="s">
        <v>22</v>
      </c>
      <c r="H685" s="1774" t="s">
        <v>22</v>
      </c>
      <c r="I685" s="1774" t="s">
        <v>853</v>
      </c>
    </row>
    <row r="686" spans="1:9" ht="11.25" customHeight="1">
      <c r="A686" s="1774" t="s">
        <v>2245</v>
      </c>
      <c r="B686" s="1774" t="s">
        <v>16</v>
      </c>
      <c r="C686" s="1774" t="s">
        <v>3801</v>
      </c>
      <c r="D686" s="1774" t="s">
        <v>2717</v>
      </c>
      <c r="E686" s="1774" t="s">
        <v>3802</v>
      </c>
      <c r="F686" s="1774" t="s">
        <v>2964</v>
      </c>
      <c r="G686" s="1774" t="s">
        <v>22</v>
      </c>
      <c r="H686" s="1774" t="s">
        <v>22</v>
      </c>
      <c r="I686" s="1774" t="s">
        <v>853</v>
      </c>
    </row>
    <row r="687" spans="1:9" ht="11.25" customHeight="1">
      <c r="A687" s="1774" t="s">
        <v>2245</v>
      </c>
      <c r="B687" s="1774" t="s">
        <v>16</v>
      </c>
      <c r="C687" s="1774" t="s">
        <v>3803</v>
      </c>
      <c r="D687" s="1774" t="s">
        <v>3804</v>
      </c>
      <c r="E687" s="1774" t="s">
        <v>3805</v>
      </c>
      <c r="F687" s="1774" t="s">
        <v>2531</v>
      </c>
      <c r="G687" s="1774" t="s">
        <v>22</v>
      </c>
      <c r="H687" s="1774" t="s">
        <v>22</v>
      </c>
      <c r="I687" s="1774" t="s">
        <v>853</v>
      </c>
    </row>
    <row r="688" spans="1:9" ht="11.25" customHeight="1">
      <c r="A688" s="1774" t="s">
        <v>2245</v>
      </c>
      <c r="B688" s="1774" t="s">
        <v>16</v>
      </c>
      <c r="C688" s="1774" t="s">
        <v>2719</v>
      </c>
      <c r="D688" s="1774" t="s">
        <v>2720</v>
      </c>
      <c r="E688" s="1774" t="s">
        <v>2721</v>
      </c>
      <c r="F688" s="1774" t="s">
        <v>2531</v>
      </c>
      <c r="G688" s="1774" t="s">
        <v>22</v>
      </c>
      <c r="H688" s="1774" t="s">
        <v>22</v>
      </c>
      <c r="I688" s="1774" t="s">
        <v>853</v>
      </c>
    </row>
    <row r="689" spans="1:9" ht="11.25" customHeight="1">
      <c r="A689" s="1774" t="s">
        <v>2245</v>
      </c>
      <c r="B689" s="1774" t="s">
        <v>16</v>
      </c>
      <c r="C689" s="1774" t="s">
        <v>3806</v>
      </c>
      <c r="D689" s="1774" t="s">
        <v>3807</v>
      </c>
      <c r="E689" s="1774" t="s">
        <v>3808</v>
      </c>
      <c r="F689" s="1774" t="s">
        <v>2298</v>
      </c>
      <c r="G689" s="1774" t="s">
        <v>3809</v>
      </c>
      <c r="H689" s="1774" t="s">
        <v>22</v>
      </c>
      <c r="I689" s="1774" t="s">
        <v>853</v>
      </c>
    </row>
    <row r="690" spans="1:9" ht="11.25" customHeight="1">
      <c r="A690" s="1774" t="s">
        <v>2245</v>
      </c>
      <c r="B690" s="1774" t="s">
        <v>16</v>
      </c>
      <c r="C690" s="1774" t="s">
        <v>3810</v>
      </c>
      <c r="D690" s="1774" t="s">
        <v>3811</v>
      </c>
      <c r="E690" s="1774" t="s">
        <v>3812</v>
      </c>
      <c r="F690" s="1774" t="s">
        <v>2440</v>
      </c>
      <c r="G690" s="1774" t="s">
        <v>22</v>
      </c>
      <c r="H690" s="1774" t="s">
        <v>22</v>
      </c>
      <c r="I690" s="1774" t="s">
        <v>853</v>
      </c>
    </row>
    <row r="691" spans="1:9" ht="11.25" customHeight="1">
      <c r="A691" s="1774" t="s">
        <v>2245</v>
      </c>
      <c r="B691" s="1774" t="s">
        <v>16</v>
      </c>
      <c r="C691" s="1774" t="s">
        <v>3813</v>
      </c>
      <c r="D691" s="1774" t="s">
        <v>3814</v>
      </c>
      <c r="E691" s="1774" t="s">
        <v>3815</v>
      </c>
      <c r="F691" s="1774" t="s">
        <v>2964</v>
      </c>
      <c r="G691" s="1774" t="s">
        <v>22</v>
      </c>
      <c r="H691" s="1774" t="s">
        <v>22</v>
      </c>
      <c r="I691" s="1774" t="s">
        <v>853</v>
      </c>
    </row>
    <row r="692" spans="1:9" ht="11.25" customHeight="1">
      <c r="A692" s="1774" t="s">
        <v>2245</v>
      </c>
      <c r="B692" s="1774" t="s">
        <v>16</v>
      </c>
      <c r="C692" s="1774" t="s">
        <v>3816</v>
      </c>
      <c r="D692" s="1774" t="s">
        <v>3817</v>
      </c>
      <c r="E692" s="1774" t="s">
        <v>3818</v>
      </c>
      <c r="F692" s="1774" t="s">
        <v>2779</v>
      </c>
      <c r="G692" s="1774" t="s">
        <v>22</v>
      </c>
      <c r="H692" s="1774" t="s">
        <v>22</v>
      </c>
      <c r="I692" s="1774" t="s">
        <v>853</v>
      </c>
    </row>
    <row r="693" spans="1:9" ht="11.25" customHeight="1">
      <c r="A693" s="1774" t="s">
        <v>2245</v>
      </c>
      <c r="B693" s="1774" t="s">
        <v>16</v>
      </c>
      <c r="C693" s="1774" t="s">
        <v>2725</v>
      </c>
      <c r="D693" s="1774" t="s">
        <v>2726</v>
      </c>
      <c r="E693" s="1774" t="s">
        <v>2727</v>
      </c>
      <c r="F693" s="1774" t="s">
        <v>2704</v>
      </c>
      <c r="G693" s="1774" t="s">
        <v>22</v>
      </c>
      <c r="H693" s="1774" t="s">
        <v>22</v>
      </c>
      <c r="I693" s="1774" t="s">
        <v>853</v>
      </c>
    </row>
    <row r="694" spans="1:9" ht="11.25" customHeight="1">
      <c r="A694" s="1774" t="s">
        <v>2245</v>
      </c>
      <c r="B694" s="1774" t="s">
        <v>16</v>
      </c>
      <c r="C694" s="1774" t="s">
        <v>2728</v>
      </c>
      <c r="D694" s="1774" t="s">
        <v>2729</v>
      </c>
      <c r="E694" s="1774" t="s">
        <v>2730</v>
      </c>
      <c r="F694" s="1774" t="s">
        <v>2535</v>
      </c>
      <c r="G694" s="1774" t="s">
        <v>22</v>
      </c>
      <c r="H694" s="1774" t="s">
        <v>22</v>
      </c>
      <c r="I694" s="1774" t="s">
        <v>853</v>
      </c>
    </row>
    <row r="695" spans="1:9" ht="11.25" customHeight="1">
      <c r="A695" s="1774" t="s">
        <v>2245</v>
      </c>
      <c r="B695" s="1774" t="s">
        <v>16</v>
      </c>
      <c r="C695" s="1774" t="s">
        <v>2731</v>
      </c>
      <c r="D695" s="1774" t="s">
        <v>2732</v>
      </c>
      <c r="E695" s="1774" t="s">
        <v>2733</v>
      </c>
      <c r="F695" s="1774" t="s">
        <v>2686</v>
      </c>
      <c r="G695" s="1774" t="s">
        <v>22</v>
      </c>
      <c r="H695" s="1774" t="s">
        <v>22</v>
      </c>
      <c r="I695" s="1774" t="s">
        <v>853</v>
      </c>
    </row>
    <row r="696" spans="1:9" ht="11.25" customHeight="1">
      <c r="A696" s="1774" t="s">
        <v>2245</v>
      </c>
      <c r="B696" s="1774" t="s">
        <v>16</v>
      </c>
      <c r="C696" s="1774" t="s">
        <v>2734</v>
      </c>
      <c r="D696" s="1774" t="s">
        <v>2735</v>
      </c>
      <c r="E696" s="1774" t="s">
        <v>2736</v>
      </c>
      <c r="F696" s="1774" t="s">
        <v>2686</v>
      </c>
      <c r="G696" s="1774" t="s">
        <v>22</v>
      </c>
      <c r="H696" s="1774" t="s">
        <v>22</v>
      </c>
      <c r="I696" s="1774" t="s">
        <v>853</v>
      </c>
    </row>
    <row r="697" spans="1:9" ht="11.25" customHeight="1">
      <c r="A697" s="1774" t="s">
        <v>2245</v>
      </c>
      <c r="B697" s="1774" t="s">
        <v>16</v>
      </c>
      <c r="C697" s="1774" t="s">
        <v>2737</v>
      </c>
      <c r="D697" s="1774" t="s">
        <v>2738</v>
      </c>
      <c r="E697" s="1774" t="s">
        <v>2739</v>
      </c>
      <c r="F697" s="1774" t="s">
        <v>2686</v>
      </c>
      <c r="G697" s="1774" t="s">
        <v>22</v>
      </c>
      <c r="H697" s="1774" t="s">
        <v>22</v>
      </c>
      <c r="I697" s="1774" t="s">
        <v>853</v>
      </c>
    </row>
    <row r="698" spans="1:9" ht="11.25" customHeight="1">
      <c r="A698" s="1774" t="s">
        <v>2245</v>
      </c>
      <c r="B698" s="1774" t="s">
        <v>16</v>
      </c>
      <c r="C698" s="1774" t="s">
        <v>2740</v>
      </c>
      <c r="D698" s="1774" t="s">
        <v>2741</v>
      </c>
      <c r="E698" s="1774" t="s">
        <v>2742</v>
      </c>
      <c r="F698" s="1774" t="s">
        <v>2686</v>
      </c>
      <c r="G698" s="1774" t="s">
        <v>22</v>
      </c>
      <c r="H698" s="1774" t="s">
        <v>22</v>
      </c>
      <c r="I698" s="1774" t="s">
        <v>853</v>
      </c>
    </row>
    <row r="699" spans="1:9" ht="11.25" customHeight="1">
      <c r="A699" s="1774" t="s">
        <v>2245</v>
      </c>
      <c r="B699" s="1774" t="s">
        <v>16</v>
      </c>
      <c r="C699" s="1774" t="s">
        <v>2743</v>
      </c>
      <c r="D699" s="1774" t="s">
        <v>2744</v>
      </c>
      <c r="E699" s="1774" t="s">
        <v>2745</v>
      </c>
      <c r="F699" s="1774" t="s">
        <v>2686</v>
      </c>
      <c r="G699" s="1774" t="s">
        <v>22</v>
      </c>
      <c r="H699" s="1774" t="s">
        <v>2746</v>
      </c>
      <c r="I699" s="1774" t="s">
        <v>853</v>
      </c>
    </row>
    <row r="700" spans="1:9" ht="11.25" customHeight="1">
      <c r="A700" s="1774" t="s">
        <v>2245</v>
      </c>
      <c r="B700" s="1774" t="s">
        <v>16</v>
      </c>
      <c r="C700" s="1774" t="s">
        <v>2747</v>
      </c>
      <c r="D700" s="1774" t="s">
        <v>2748</v>
      </c>
      <c r="E700" s="1774" t="s">
        <v>2749</v>
      </c>
      <c r="F700" s="1774" t="s">
        <v>2686</v>
      </c>
      <c r="G700" s="1774" t="s">
        <v>22</v>
      </c>
      <c r="H700" s="1774" t="s">
        <v>22</v>
      </c>
      <c r="I700" s="1774" t="s">
        <v>853</v>
      </c>
    </row>
    <row r="701" spans="1:9" ht="11.25" customHeight="1">
      <c r="A701" s="1774" t="s">
        <v>2245</v>
      </c>
      <c r="B701" s="1774" t="s">
        <v>16</v>
      </c>
      <c r="C701" s="1774" t="s">
        <v>2750</v>
      </c>
      <c r="D701" s="1774" t="s">
        <v>2751</v>
      </c>
      <c r="E701" s="1774" t="s">
        <v>2752</v>
      </c>
      <c r="F701" s="1774" t="s">
        <v>2348</v>
      </c>
      <c r="G701" s="1774" t="s">
        <v>22</v>
      </c>
      <c r="H701" s="1774" t="s">
        <v>22</v>
      </c>
      <c r="I701" s="1774" t="s">
        <v>853</v>
      </c>
    </row>
    <row r="702" spans="1:9" ht="11.25" customHeight="1">
      <c r="A702" s="1774" t="s">
        <v>2245</v>
      </c>
      <c r="B702" s="1774" t="s">
        <v>16</v>
      </c>
      <c r="C702" s="1774" t="s">
        <v>2753</v>
      </c>
      <c r="D702" s="1774" t="s">
        <v>2754</v>
      </c>
      <c r="E702" s="1774" t="s">
        <v>2755</v>
      </c>
      <c r="F702" s="1774" t="s">
        <v>2686</v>
      </c>
      <c r="G702" s="1774" t="s">
        <v>22</v>
      </c>
      <c r="H702" s="1774" t="s">
        <v>22</v>
      </c>
      <c r="I702" s="1774" t="s">
        <v>853</v>
      </c>
    </row>
    <row r="703" spans="1:9" ht="11.25" customHeight="1">
      <c r="A703" s="1774" t="s">
        <v>2245</v>
      </c>
      <c r="B703" s="1774" t="s">
        <v>16</v>
      </c>
      <c r="C703" s="1774" t="s">
        <v>2756</v>
      </c>
      <c r="D703" s="1774" t="s">
        <v>2757</v>
      </c>
      <c r="E703" s="1774" t="s">
        <v>2758</v>
      </c>
      <c r="F703" s="1774" t="s">
        <v>2759</v>
      </c>
      <c r="G703" s="1774" t="s">
        <v>22</v>
      </c>
      <c r="H703" s="1774" t="s">
        <v>22</v>
      </c>
      <c r="I703" s="1774" t="s">
        <v>853</v>
      </c>
    </row>
    <row r="704" spans="1:9" ht="11.25" customHeight="1">
      <c r="A704" s="1774" t="s">
        <v>2245</v>
      </c>
      <c r="B704" s="1774" t="s">
        <v>16</v>
      </c>
      <c r="C704" s="1774" t="s">
        <v>2760</v>
      </c>
      <c r="D704" s="1774" t="s">
        <v>2761</v>
      </c>
      <c r="E704" s="1774" t="s">
        <v>2762</v>
      </c>
      <c r="F704" s="1774" t="s">
        <v>2686</v>
      </c>
      <c r="G704" s="1774" t="s">
        <v>22</v>
      </c>
      <c r="H704" s="1774" t="s">
        <v>22</v>
      </c>
      <c r="I704" s="1774" t="s">
        <v>853</v>
      </c>
    </row>
    <row r="705" spans="1:9" ht="11.25" customHeight="1">
      <c r="A705" s="1774" t="s">
        <v>2245</v>
      </c>
      <c r="B705" s="1774" t="s">
        <v>16</v>
      </c>
      <c r="C705" s="1774" t="s">
        <v>2763</v>
      </c>
      <c r="D705" s="1774" t="s">
        <v>2764</v>
      </c>
      <c r="E705" s="1774" t="s">
        <v>2765</v>
      </c>
      <c r="F705" s="1774" t="s">
        <v>2766</v>
      </c>
      <c r="G705" s="1774" t="s">
        <v>22</v>
      </c>
      <c r="H705" s="1774" t="s">
        <v>22</v>
      </c>
      <c r="I705" s="1774" t="s">
        <v>853</v>
      </c>
    </row>
    <row r="706" spans="1:9" ht="11.25" customHeight="1">
      <c r="A706" s="1774" t="s">
        <v>2245</v>
      </c>
      <c r="B706" s="1774" t="s">
        <v>16</v>
      </c>
      <c r="C706" s="1774" t="s">
        <v>3819</v>
      </c>
      <c r="D706" s="1774" t="s">
        <v>3820</v>
      </c>
      <c r="E706" s="1774" t="s">
        <v>3821</v>
      </c>
      <c r="F706" s="1774" t="s">
        <v>2638</v>
      </c>
      <c r="G706" s="1774" t="s">
        <v>22</v>
      </c>
      <c r="H706" s="1774" t="s">
        <v>22</v>
      </c>
      <c r="I706" s="1774" t="s">
        <v>853</v>
      </c>
    </row>
    <row r="707" spans="1:9" ht="11.25" customHeight="1">
      <c r="A707" s="1774" t="s">
        <v>2245</v>
      </c>
      <c r="B707" s="1774" t="s">
        <v>16</v>
      </c>
      <c r="C707" s="1774" t="s">
        <v>2767</v>
      </c>
      <c r="D707" s="1774" t="s">
        <v>2768</v>
      </c>
      <c r="E707" s="1774" t="s">
        <v>2769</v>
      </c>
      <c r="F707" s="1774" t="s">
        <v>2508</v>
      </c>
      <c r="G707" s="1774" t="s">
        <v>22</v>
      </c>
      <c r="H707" s="1774" t="s">
        <v>22</v>
      </c>
      <c r="I707" s="1774" t="s">
        <v>853</v>
      </c>
    </row>
    <row r="708" spans="1:9" ht="11.25" customHeight="1">
      <c r="A708" s="1774" t="s">
        <v>2245</v>
      </c>
      <c r="B708" s="1774" t="s">
        <v>16</v>
      </c>
      <c r="C708" s="1774" t="s">
        <v>3822</v>
      </c>
      <c r="D708" s="1774" t="s">
        <v>3823</v>
      </c>
      <c r="E708" s="1774" t="s">
        <v>3824</v>
      </c>
      <c r="F708" s="1774" t="s">
        <v>2863</v>
      </c>
      <c r="G708" s="1774" t="s">
        <v>22</v>
      </c>
      <c r="H708" s="1774" t="s">
        <v>22</v>
      </c>
      <c r="I708" s="1774" t="s">
        <v>853</v>
      </c>
    </row>
    <row r="709" spans="1:9" ht="11.25" customHeight="1">
      <c r="A709" s="1774" t="s">
        <v>2245</v>
      </c>
      <c r="B709" s="1774" t="s">
        <v>16</v>
      </c>
      <c r="C709" s="1774" t="s">
        <v>2770</v>
      </c>
      <c r="D709" s="1774" t="s">
        <v>2771</v>
      </c>
      <c r="E709" s="1774" t="s">
        <v>2772</v>
      </c>
      <c r="F709" s="1774" t="s">
        <v>2531</v>
      </c>
      <c r="G709" s="1774" t="s">
        <v>22</v>
      </c>
      <c r="H709" s="1774" t="s">
        <v>22</v>
      </c>
      <c r="I709" s="1774" t="s">
        <v>853</v>
      </c>
    </row>
    <row r="710" spans="1:9" ht="11.25" customHeight="1">
      <c r="A710" s="1774" t="s">
        <v>2245</v>
      </c>
      <c r="B710" s="1774" t="s">
        <v>16</v>
      </c>
      <c r="C710" s="1774" t="s">
        <v>2773</v>
      </c>
      <c r="D710" s="1774" t="s">
        <v>2774</v>
      </c>
      <c r="E710" s="1774" t="s">
        <v>2775</v>
      </c>
      <c r="F710" s="1774" t="s">
        <v>2298</v>
      </c>
      <c r="G710" s="1774" t="s">
        <v>22</v>
      </c>
      <c r="H710" s="1774" t="s">
        <v>22</v>
      </c>
      <c r="I710" s="1774" t="s">
        <v>853</v>
      </c>
    </row>
    <row r="711" spans="1:9" ht="11.25" customHeight="1">
      <c r="A711" s="1774" t="s">
        <v>2245</v>
      </c>
      <c r="B711" s="1774" t="s">
        <v>16</v>
      </c>
      <c r="C711" s="1774" t="s">
        <v>3825</v>
      </c>
      <c r="D711" s="1774" t="s">
        <v>3826</v>
      </c>
      <c r="E711" s="1774" t="s">
        <v>3827</v>
      </c>
      <c r="F711" s="1774" t="s">
        <v>2823</v>
      </c>
      <c r="G711" s="1774" t="s">
        <v>22</v>
      </c>
      <c r="H711" s="1774" t="s">
        <v>22</v>
      </c>
      <c r="I711" s="1774" t="s">
        <v>853</v>
      </c>
    </row>
    <row r="712" spans="1:9" ht="11.25" customHeight="1">
      <c r="A712" s="1774" t="s">
        <v>2245</v>
      </c>
      <c r="B712" s="1774" t="s">
        <v>16</v>
      </c>
      <c r="C712" s="1774" t="s">
        <v>3828</v>
      </c>
      <c r="D712" s="1774" t="s">
        <v>3829</v>
      </c>
      <c r="E712" s="1774" t="s">
        <v>3830</v>
      </c>
      <c r="F712" s="1774" t="s">
        <v>2531</v>
      </c>
      <c r="G712" s="1774" t="s">
        <v>22</v>
      </c>
      <c r="H712" s="1774" t="s">
        <v>3831</v>
      </c>
      <c r="I712" s="1774" t="s">
        <v>853</v>
      </c>
    </row>
    <row r="713" spans="1:9" ht="11.25" customHeight="1">
      <c r="A713" s="1774" t="s">
        <v>2245</v>
      </c>
      <c r="B713" s="1774" t="s">
        <v>16</v>
      </c>
      <c r="C713" s="1774" t="s">
        <v>2776</v>
      </c>
      <c r="D713" s="1774" t="s">
        <v>2777</v>
      </c>
      <c r="E713" s="1774" t="s">
        <v>2778</v>
      </c>
      <c r="F713" s="1774" t="s">
        <v>2779</v>
      </c>
      <c r="G713" s="1774" t="s">
        <v>22</v>
      </c>
      <c r="H713" s="1774" t="s">
        <v>22</v>
      </c>
      <c r="I713" s="1774" t="s">
        <v>853</v>
      </c>
    </row>
    <row r="714" spans="1:9" ht="11.25" customHeight="1">
      <c r="A714" s="1774" t="s">
        <v>2245</v>
      </c>
      <c r="B714" s="1774" t="s">
        <v>16</v>
      </c>
      <c r="C714" s="1774" t="s">
        <v>2780</v>
      </c>
      <c r="D714" s="1774" t="s">
        <v>2781</v>
      </c>
      <c r="E714" s="1774" t="s">
        <v>2782</v>
      </c>
      <c r="F714" s="1774" t="s">
        <v>2535</v>
      </c>
      <c r="G714" s="1774" t="s">
        <v>22</v>
      </c>
      <c r="H714" s="1774" t="s">
        <v>22</v>
      </c>
      <c r="I714" s="1774" t="s">
        <v>853</v>
      </c>
    </row>
    <row r="715" spans="1:9" ht="11.25" customHeight="1">
      <c r="A715" s="1774" t="s">
        <v>2245</v>
      </c>
      <c r="B715" s="1774" t="s">
        <v>16</v>
      </c>
      <c r="C715" s="1774" t="s">
        <v>2786</v>
      </c>
      <c r="D715" s="1774" t="s">
        <v>2787</v>
      </c>
      <c r="E715" s="1774" t="s">
        <v>2788</v>
      </c>
      <c r="F715" s="1774" t="s">
        <v>2531</v>
      </c>
      <c r="G715" s="1774" t="s">
        <v>22</v>
      </c>
      <c r="H715" s="1774" t="s">
        <v>22</v>
      </c>
      <c r="I715" s="1774" t="s">
        <v>853</v>
      </c>
    </row>
    <row r="716" spans="1:9" ht="11.25" customHeight="1">
      <c r="A716" s="1774" t="s">
        <v>2245</v>
      </c>
      <c r="B716" s="1774" t="s">
        <v>16</v>
      </c>
      <c r="C716" s="1774" t="s">
        <v>3832</v>
      </c>
      <c r="D716" s="1774" t="s">
        <v>3833</v>
      </c>
      <c r="E716" s="1774" t="s">
        <v>3834</v>
      </c>
      <c r="F716" s="1774" t="s">
        <v>2515</v>
      </c>
      <c r="G716" s="1774" t="s">
        <v>22</v>
      </c>
      <c r="H716" s="1774" t="s">
        <v>22</v>
      </c>
      <c r="I716" s="1774" t="s">
        <v>853</v>
      </c>
    </row>
    <row r="717" spans="1:9" ht="11.25" customHeight="1">
      <c r="A717" s="1774" t="s">
        <v>2245</v>
      </c>
      <c r="B717" s="1774" t="s">
        <v>16</v>
      </c>
      <c r="C717" s="1774" t="s">
        <v>3835</v>
      </c>
      <c r="D717" s="1774" t="s">
        <v>3836</v>
      </c>
      <c r="E717" s="1774" t="s">
        <v>3837</v>
      </c>
      <c r="F717" s="1774" t="s">
        <v>2515</v>
      </c>
      <c r="G717" s="1774" t="s">
        <v>22</v>
      </c>
      <c r="H717" s="1774" t="s">
        <v>22</v>
      </c>
      <c r="I717" s="1774" t="s">
        <v>853</v>
      </c>
    </row>
    <row r="718" spans="1:9" ht="11.25" customHeight="1">
      <c r="A718" s="1774" t="s">
        <v>2245</v>
      </c>
      <c r="B718" s="1774" t="s">
        <v>16</v>
      </c>
      <c r="C718" s="1774" t="s">
        <v>2789</v>
      </c>
      <c r="D718" s="1774" t="s">
        <v>2790</v>
      </c>
      <c r="E718" s="1774" t="s">
        <v>2791</v>
      </c>
      <c r="F718" s="1774" t="s">
        <v>2348</v>
      </c>
      <c r="G718" s="1774" t="s">
        <v>22</v>
      </c>
      <c r="H718" s="1774" t="s">
        <v>22</v>
      </c>
      <c r="I718" s="1774" t="s">
        <v>853</v>
      </c>
    </row>
    <row r="719" spans="1:9" ht="11.25" customHeight="1">
      <c r="A719" s="1774" t="s">
        <v>2245</v>
      </c>
      <c r="B719" s="1774" t="s">
        <v>16</v>
      </c>
      <c r="C719" s="1774" t="s">
        <v>2792</v>
      </c>
      <c r="D719" s="1774" t="s">
        <v>2793</v>
      </c>
      <c r="E719" s="1774" t="s">
        <v>2794</v>
      </c>
      <c r="F719" s="1774" t="s">
        <v>2298</v>
      </c>
      <c r="G719" s="1774" t="s">
        <v>22</v>
      </c>
      <c r="H719" s="1774" t="s">
        <v>22</v>
      </c>
      <c r="I719" s="1774" t="s">
        <v>853</v>
      </c>
    </row>
    <row r="720" spans="1:9" ht="11.25" customHeight="1">
      <c r="A720" s="1774" t="s">
        <v>2245</v>
      </c>
      <c r="B720" s="1774" t="s">
        <v>16</v>
      </c>
      <c r="C720" s="1774" t="s">
        <v>2795</v>
      </c>
      <c r="D720" s="1774" t="s">
        <v>2796</v>
      </c>
      <c r="E720" s="1774" t="s">
        <v>2797</v>
      </c>
      <c r="F720" s="1774" t="s">
        <v>2298</v>
      </c>
      <c r="G720" s="1774" t="s">
        <v>22</v>
      </c>
      <c r="H720" s="1774" t="s">
        <v>22</v>
      </c>
      <c r="I720" s="1774" t="s">
        <v>853</v>
      </c>
    </row>
    <row r="721" spans="1:9" ht="11.25" customHeight="1">
      <c r="A721" s="1774" t="s">
        <v>2245</v>
      </c>
      <c r="B721" s="1774" t="s">
        <v>16</v>
      </c>
      <c r="C721" s="1774" t="s">
        <v>3838</v>
      </c>
      <c r="D721" s="1774" t="s">
        <v>3839</v>
      </c>
      <c r="E721" s="1774" t="s">
        <v>3840</v>
      </c>
      <c r="F721" s="1774" t="s">
        <v>2531</v>
      </c>
      <c r="G721" s="1774" t="s">
        <v>22</v>
      </c>
      <c r="H721" s="1774" t="s">
        <v>22</v>
      </c>
      <c r="I721" s="1774" t="s">
        <v>853</v>
      </c>
    </row>
    <row r="722" spans="1:9" ht="11.25" customHeight="1">
      <c r="A722" s="1774" t="s">
        <v>2245</v>
      </c>
      <c r="B722" s="1774" t="s">
        <v>16</v>
      </c>
      <c r="C722" s="1774" t="s">
        <v>3841</v>
      </c>
      <c r="D722" s="1774" t="s">
        <v>3842</v>
      </c>
      <c r="E722" s="1774" t="s">
        <v>3843</v>
      </c>
      <c r="F722" s="1774" t="s">
        <v>2630</v>
      </c>
      <c r="G722" s="1774" t="s">
        <v>3844</v>
      </c>
      <c r="H722" s="1774" t="s">
        <v>22</v>
      </c>
      <c r="I722" s="1774" t="s">
        <v>853</v>
      </c>
    </row>
    <row r="723" spans="1:9" ht="11.25" customHeight="1">
      <c r="A723" s="1774" t="s">
        <v>2245</v>
      </c>
      <c r="B723" s="1774" t="s">
        <v>16</v>
      </c>
      <c r="C723" s="1774" t="s">
        <v>2804</v>
      </c>
      <c r="D723" s="1774" t="s">
        <v>2805</v>
      </c>
      <c r="E723" s="1774" t="s">
        <v>2806</v>
      </c>
      <c r="F723" s="1774" t="s">
        <v>2527</v>
      </c>
      <c r="G723" s="1774" t="s">
        <v>22</v>
      </c>
      <c r="H723" s="1774" t="s">
        <v>22</v>
      </c>
      <c r="I723" s="1774" t="s">
        <v>853</v>
      </c>
    </row>
    <row r="724" spans="1:9" ht="11.25" customHeight="1">
      <c r="A724" s="1774" t="s">
        <v>2245</v>
      </c>
      <c r="B724" s="1774" t="s">
        <v>16</v>
      </c>
      <c r="C724" s="1774" t="s">
        <v>2807</v>
      </c>
      <c r="D724" s="1774" t="s">
        <v>2808</v>
      </c>
      <c r="E724" s="1774" t="s">
        <v>2809</v>
      </c>
      <c r="F724" s="1774" t="s">
        <v>2523</v>
      </c>
      <c r="G724" s="1774" t="s">
        <v>22</v>
      </c>
      <c r="H724" s="1774" t="s">
        <v>22</v>
      </c>
      <c r="I724" s="1774" t="s">
        <v>853</v>
      </c>
    </row>
    <row r="725" spans="1:9" ht="11.25" customHeight="1">
      <c r="A725" s="1774" t="s">
        <v>2245</v>
      </c>
      <c r="B725" s="1774" t="s">
        <v>16</v>
      </c>
      <c r="C725" s="1774" t="s">
        <v>3845</v>
      </c>
      <c r="D725" s="1774" t="s">
        <v>3846</v>
      </c>
      <c r="E725" s="1774" t="s">
        <v>3847</v>
      </c>
      <c r="F725" s="1774" t="s">
        <v>2531</v>
      </c>
      <c r="G725" s="1774" t="s">
        <v>22</v>
      </c>
      <c r="H725" s="1774" t="s">
        <v>22</v>
      </c>
      <c r="I725" s="1774" t="s">
        <v>853</v>
      </c>
    </row>
    <row r="726" spans="1:9" ht="11.25" customHeight="1">
      <c r="A726" s="1774" t="s">
        <v>2245</v>
      </c>
      <c r="B726" s="1774" t="s">
        <v>16</v>
      </c>
      <c r="C726" s="1774" t="s">
        <v>2810</v>
      </c>
      <c r="D726" s="1774" t="s">
        <v>2811</v>
      </c>
      <c r="E726" s="1774" t="s">
        <v>2812</v>
      </c>
      <c r="F726" s="1774" t="s">
        <v>2686</v>
      </c>
      <c r="G726" s="1774" t="s">
        <v>22</v>
      </c>
      <c r="H726" s="1774" t="s">
        <v>22</v>
      </c>
      <c r="I726" s="1774" t="s">
        <v>853</v>
      </c>
    </row>
    <row r="727" spans="1:9" ht="11.25" customHeight="1">
      <c r="A727" s="1774" t="s">
        <v>2245</v>
      </c>
      <c r="B727" s="1774" t="s">
        <v>16</v>
      </c>
      <c r="C727" s="1774" t="s">
        <v>2813</v>
      </c>
      <c r="D727" s="1774" t="s">
        <v>2814</v>
      </c>
      <c r="E727" s="1774" t="s">
        <v>2815</v>
      </c>
      <c r="F727" s="1774" t="s">
        <v>2816</v>
      </c>
      <c r="G727" s="1774" t="s">
        <v>22</v>
      </c>
      <c r="H727" s="1774" t="s">
        <v>22</v>
      </c>
      <c r="I727" s="1774" t="s">
        <v>853</v>
      </c>
    </row>
    <row r="728" spans="1:9" ht="11.25" customHeight="1">
      <c r="A728" s="1774" t="s">
        <v>2245</v>
      </c>
      <c r="B728" s="1774" t="s">
        <v>16</v>
      </c>
      <c r="C728" s="1774" t="s">
        <v>2817</v>
      </c>
      <c r="D728" s="1774" t="s">
        <v>2818</v>
      </c>
      <c r="E728" s="1774" t="s">
        <v>2819</v>
      </c>
      <c r="F728" s="1774" t="s">
        <v>2306</v>
      </c>
      <c r="G728" s="1774" t="s">
        <v>22</v>
      </c>
      <c r="H728" s="1774" t="s">
        <v>22</v>
      </c>
      <c r="I728" s="1774" t="s">
        <v>853</v>
      </c>
    </row>
    <row r="729" spans="1:9" ht="11.25" customHeight="1">
      <c r="A729" s="1774" t="s">
        <v>2245</v>
      </c>
      <c r="B729" s="1774" t="s">
        <v>16</v>
      </c>
      <c r="C729" s="1774" t="s">
        <v>2824</v>
      </c>
      <c r="D729" s="1774" t="s">
        <v>2825</v>
      </c>
      <c r="E729" s="1774" t="s">
        <v>2826</v>
      </c>
      <c r="F729" s="1774" t="s">
        <v>2686</v>
      </c>
      <c r="G729" s="1774" t="s">
        <v>22</v>
      </c>
      <c r="H729" s="1774" t="s">
        <v>22</v>
      </c>
      <c r="I729" s="1774" t="s">
        <v>853</v>
      </c>
    </row>
    <row r="730" spans="1:9" ht="11.25" customHeight="1">
      <c r="A730" s="1774" t="s">
        <v>2245</v>
      </c>
      <c r="B730" s="1774" t="s">
        <v>16</v>
      </c>
      <c r="C730" s="1774" t="s">
        <v>2830</v>
      </c>
      <c r="D730" s="1774" t="s">
        <v>2831</v>
      </c>
      <c r="E730" s="1774" t="s">
        <v>2832</v>
      </c>
      <c r="F730" s="1774" t="s">
        <v>2704</v>
      </c>
      <c r="G730" s="1774" t="s">
        <v>22</v>
      </c>
      <c r="H730" s="1774" t="s">
        <v>22</v>
      </c>
      <c r="I730" s="1774" t="s">
        <v>853</v>
      </c>
    </row>
    <row r="731" spans="1:9" ht="11.25" customHeight="1">
      <c r="A731" s="1774" t="s">
        <v>2245</v>
      </c>
      <c r="B731" s="1774" t="s">
        <v>16</v>
      </c>
      <c r="C731" s="1774" t="s">
        <v>2833</v>
      </c>
      <c r="D731" s="1774" t="s">
        <v>2834</v>
      </c>
      <c r="E731" s="1774" t="s">
        <v>2835</v>
      </c>
      <c r="F731" s="1774" t="s">
        <v>2836</v>
      </c>
      <c r="G731" s="1774" t="s">
        <v>22</v>
      </c>
      <c r="H731" s="1774" t="s">
        <v>22</v>
      </c>
      <c r="I731" s="1774" t="s">
        <v>853</v>
      </c>
    </row>
    <row r="732" spans="1:9" ht="11.25" customHeight="1">
      <c r="A732" s="1774" t="s">
        <v>2245</v>
      </c>
      <c r="B732" s="1774" t="s">
        <v>16</v>
      </c>
      <c r="C732" s="1774" t="s">
        <v>3848</v>
      </c>
      <c r="D732" s="1774" t="s">
        <v>3849</v>
      </c>
      <c r="E732" s="1774" t="s">
        <v>3850</v>
      </c>
      <c r="F732" s="1774" t="s">
        <v>2892</v>
      </c>
      <c r="G732" s="1774" t="s">
        <v>22</v>
      </c>
      <c r="H732" s="1774" t="s">
        <v>22</v>
      </c>
      <c r="I732" s="1774" t="s">
        <v>853</v>
      </c>
    </row>
    <row r="733" spans="1:9" ht="11.25" customHeight="1">
      <c r="A733" s="1774" t="s">
        <v>2245</v>
      </c>
      <c r="B733" s="1774" t="s">
        <v>16</v>
      </c>
      <c r="C733" s="1774" t="s">
        <v>2837</v>
      </c>
      <c r="D733" s="1774" t="s">
        <v>2838</v>
      </c>
      <c r="E733" s="1774" t="s">
        <v>2839</v>
      </c>
      <c r="F733" s="1774" t="s">
        <v>2542</v>
      </c>
      <c r="G733" s="1774" t="s">
        <v>22</v>
      </c>
      <c r="H733" s="1774" t="s">
        <v>22</v>
      </c>
      <c r="I733" s="1774" t="s">
        <v>853</v>
      </c>
    </row>
    <row r="734" spans="1:9" ht="11.25" customHeight="1">
      <c r="A734" s="1774" t="s">
        <v>2245</v>
      </c>
      <c r="B734" s="1774" t="s">
        <v>16</v>
      </c>
      <c r="C734" s="1774" t="s">
        <v>2840</v>
      </c>
      <c r="D734" s="1774" t="s">
        <v>2841</v>
      </c>
      <c r="E734" s="1774" t="s">
        <v>2842</v>
      </c>
      <c r="F734" s="1774" t="s">
        <v>2843</v>
      </c>
      <c r="G734" s="1774" t="s">
        <v>22</v>
      </c>
      <c r="H734" s="1774" t="s">
        <v>22</v>
      </c>
      <c r="I734" s="1774" t="s">
        <v>853</v>
      </c>
    </row>
    <row r="735" spans="1:9" ht="11.25" customHeight="1">
      <c r="A735" s="1774" t="s">
        <v>2245</v>
      </c>
      <c r="B735" s="1774" t="s">
        <v>16</v>
      </c>
      <c r="C735" s="1774" t="s">
        <v>3851</v>
      </c>
      <c r="D735" s="1774" t="s">
        <v>3852</v>
      </c>
      <c r="E735" s="1774" t="s">
        <v>3853</v>
      </c>
      <c r="F735" s="1774" t="s">
        <v>2638</v>
      </c>
      <c r="G735" s="1774" t="s">
        <v>3854</v>
      </c>
      <c r="H735" s="1774" t="s">
        <v>22</v>
      </c>
      <c r="I735" s="1774" t="s">
        <v>853</v>
      </c>
    </row>
    <row r="736" spans="1:9" ht="11.25" customHeight="1">
      <c r="A736" s="1774" t="s">
        <v>2245</v>
      </c>
      <c r="B736" s="1774" t="s">
        <v>16</v>
      </c>
      <c r="C736" s="1774" t="s">
        <v>2844</v>
      </c>
      <c r="D736" s="1774" t="s">
        <v>2845</v>
      </c>
      <c r="E736" s="1774" t="s">
        <v>2846</v>
      </c>
      <c r="F736" s="1774" t="s">
        <v>2317</v>
      </c>
      <c r="G736" s="1774" t="s">
        <v>22</v>
      </c>
      <c r="H736" s="1774" t="s">
        <v>22</v>
      </c>
      <c r="I736" s="1774" t="s">
        <v>853</v>
      </c>
    </row>
    <row r="737" spans="1:9" ht="11.25" customHeight="1">
      <c r="A737" s="1774" t="s">
        <v>2245</v>
      </c>
      <c r="B737" s="1774" t="s">
        <v>16</v>
      </c>
      <c r="C737" s="1774" t="s">
        <v>3855</v>
      </c>
      <c r="D737" s="1774" t="s">
        <v>3856</v>
      </c>
      <c r="E737" s="1774" t="s">
        <v>3857</v>
      </c>
      <c r="F737" s="1774" t="s">
        <v>2638</v>
      </c>
      <c r="G737" s="1774" t="s">
        <v>22</v>
      </c>
      <c r="H737" s="1774" t="s">
        <v>22</v>
      </c>
      <c r="I737" s="1774" t="s">
        <v>853</v>
      </c>
    </row>
    <row r="738" spans="1:9" ht="11.25" customHeight="1">
      <c r="A738" s="1774" t="s">
        <v>2245</v>
      </c>
      <c r="B738" s="1774" t="s">
        <v>16</v>
      </c>
      <c r="C738" s="1774" t="s">
        <v>3858</v>
      </c>
      <c r="D738" s="1774" t="s">
        <v>3859</v>
      </c>
      <c r="E738" s="1774" t="s">
        <v>3860</v>
      </c>
      <c r="F738" s="1774" t="s">
        <v>2535</v>
      </c>
      <c r="G738" s="1774" t="s">
        <v>22</v>
      </c>
      <c r="H738" s="1774" t="s">
        <v>22</v>
      </c>
      <c r="I738" s="1774" t="s">
        <v>853</v>
      </c>
    </row>
    <row r="739" spans="1:9" ht="11.25" customHeight="1">
      <c r="A739" s="1774" t="s">
        <v>2245</v>
      </c>
      <c r="B739" s="1774" t="s">
        <v>16</v>
      </c>
      <c r="C739" s="1774" t="s">
        <v>2847</v>
      </c>
      <c r="D739" s="1774" t="s">
        <v>2848</v>
      </c>
      <c r="E739" s="1774" t="s">
        <v>2849</v>
      </c>
      <c r="F739" s="1774" t="s">
        <v>2519</v>
      </c>
      <c r="G739" s="1774" t="s">
        <v>22</v>
      </c>
      <c r="H739" s="1774" t="s">
        <v>22</v>
      </c>
      <c r="I739" s="1774" t="s">
        <v>853</v>
      </c>
    </row>
    <row r="740" spans="1:9" ht="11.25" customHeight="1">
      <c r="A740" s="1774" t="s">
        <v>2245</v>
      </c>
      <c r="B740" s="1774" t="s">
        <v>16</v>
      </c>
      <c r="C740" s="1774" t="s">
        <v>2850</v>
      </c>
      <c r="D740" s="1774" t="s">
        <v>2851</v>
      </c>
      <c r="E740" s="1774" t="s">
        <v>2852</v>
      </c>
      <c r="F740" s="1774" t="s">
        <v>2638</v>
      </c>
      <c r="G740" s="1774" t="s">
        <v>2853</v>
      </c>
      <c r="H740" s="1774" t="s">
        <v>22</v>
      </c>
      <c r="I740" s="1774" t="s">
        <v>853</v>
      </c>
    </row>
    <row r="741" spans="1:9" ht="11.25" customHeight="1">
      <c r="A741" s="1774" t="s">
        <v>2245</v>
      </c>
      <c r="B741" s="1774" t="s">
        <v>16</v>
      </c>
      <c r="C741" s="1774" t="s">
        <v>2854</v>
      </c>
      <c r="D741" s="1774" t="s">
        <v>2855</v>
      </c>
      <c r="E741" s="1774" t="s">
        <v>2856</v>
      </c>
      <c r="F741" s="1774" t="s">
        <v>2697</v>
      </c>
      <c r="G741" s="1774" t="s">
        <v>22</v>
      </c>
      <c r="H741" s="1774" t="s">
        <v>22</v>
      </c>
      <c r="I741" s="1774" t="s">
        <v>853</v>
      </c>
    </row>
    <row r="742" spans="1:9" ht="11.25" customHeight="1">
      <c r="A742" s="1774" t="s">
        <v>2245</v>
      </c>
      <c r="B742" s="1774" t="s">
        <v>16</v>
      </c>
      <c r="C742" s="1774" t="s">
        <v>2857</v>
      </c>
      <c r="D742" s="1774" t="s">
        <v>2858</v>
      </c>
      <c r="E742" s="1774" t="s">
        <v>2859</v>
      </c>
      <c r="F742" s="1774" t="s">
        <v>2527</v>
      </c>
      <c r="G742" s="1774" t="s">
        <v>22</v>
      </c>
      <c r="H742" s="1774" t="s">
        <v>22</v>
      </c>
      <c r="I742" s="1774" t="s">
        <v>853</v>
      </c>
    </row>
    <row r="743" spans="1:9" ht="11.25" customHeight="1">
      <c r="A743" s="1774" t="s">
        <v>2245</v>
      </c>
      <c r="B743" s="1774" t="s">
        <v>16</v>
      </c>
      <c r="C743" s="1774" t="s">
        <v>2860</v>
      </c>
      <c r="D743" s="1774" t="s">
        <v>2861</v>
      </c>
      <c r="E743" s="1774" t="s">
        <v>2862</v>
      </c>
      <c r="F743" s="1774" t="s">
        <v>2863</v>
      </c>
      <c r="G743" s="1774" t="s">
        <v>22</v>
      </c>
      <c r="H743" s="1774" t="s">
        <v>22</v>
      </c>
      <c r="I743" s="1774" t="s">
        <v>853</v>
      </c>
    </row>
    <row r="744" spans="1:9" ht="11.25" customHeight="1">
      <c r="A744" s="1774" t="s">
        <v>2245</v>
      </c>
      <c r="B744" s="1774" t="s">
        <v>16</v>
      </c>
      <c r="C744" s="1774" t="s">
        <v>2864</v>
      </c>
      <c r="D744" s="1774" t="s">
        <v>2865</v>
      </c>
      <c r="E744" s="1774" t="s">
        <v>2866</v>
      </c>
      <c r="F744" s="1774" t="s">
        <v>2867</v>
      </c>
      <c r="G744" s="1774" t="s">
        <v>22</v>
      </c>
      <c r="H744" s="1774" t="s">
        <v>22</v>
      </c>
      <c r="I744" s="1774" t="s">
        <v>853</v>
      </c>
    </row>
    <row r="745" spans="1:9" ht="11.25" customHeight="1">
      <c r="A745" s="1774" t="s">
        <v>2245</v>
      </c>
      <c r="B745" s="1774" t="s">
        <v>16</v>
      </c>
      <c r="C745" s="1774" t="s">
        <v>2868</v>
      </c>
      <c r="D745" s="1774" t="s">
        <v>2869</v>
      </c>
      <c r="E745" s="1774" t="s">
        <v>2870</v>
      </c>
      <c r="F745" s="1774" t="s">
        <v>2535</v>
      </c>
      <c r="G745" s="1774" t="s">
        <v>2871</v>
      </c>
      <c r="H745" s="1774" t="s">
        <v>22</v>
      </c>
      <c r="I745" s="1774" t="s">
        <v>853</v>
      </c>
    </row>
    <row r="746" spans="1:9" ht="11.25" customHeight="1">
      <c r="A746" s="1774" t="s">
        <v>2245</v>
      </c>
      <c r="B746" s="1774" t="s">
        <v>16</v>
      </c>
      <c r="C746" s="1774" t="s">
        <v>2872</v>
      </c>
      <c r="D746" s="1774" t="s">
        <v>2873</v>
      </c>
      <c r="E746" s="1774" t="s">
        <v>2874</v>
      </c>
      <c r="F746" s="1774" t="s">
        <v>2535</v>
      </c>
      <c r="G746" s="1774" t="s">
        <v>22</v>
      </c>
      <c r="H746" s="1774" t="s">
        <v>22</v>
      </c>
      <c r="I746" s="1774" t="s">
        <v>853</v>
      </c>
    </row>
    <row r="747" spans="1:9" ht="11.25" customHeight="1">
      <c r="A747" s="1774" t="s">
        <v>2245</v>
      </c>
      <c r="B747" s="1774" t="s">
        <v>16</v>
      </c>
      <c r="C747" s="1774" t="s">
        <v>2875</v>
      </c>
      <c r="D747" s="1774" t="s">
        <v>2876</v>
      </c>
      <c r="E747" s="1774" t="s">
        <v>2877</v>
      </c>
      <c r="F747" s="1774" t="s">
        <v>2878</v>
      </c>
      <c r="G747" s="1774" t="s">
        <v>22</v>
      </c>
      <c r="H747" s="1774" t="s">
        <v>22</v>
      </c>
      <c r="I747" s="1774" t="s">
        <v>853</v>
      </c>
    </row>
    <row r="748" spans="1:9" ht="11.25" customHeight="1">
      <c r="A748" s="1774" t="s">
        <v>2245</v>
      </c>
      <c r="B748" s="1774" t="s">
        <v>16</v>
      </c>
      <c r="C748" s="1774" t="s">
        <v>2879</v>
      </c>
      <c r="D748" s="1774" t="s">
        <v>2880</v>
      </c>
      <c r="E748" s="1774" t="s">
        <v>2881</v>
      </c>
      <c r="F748" s="1774" t="s">
        <v>2686</v>
      </c>
      <c r="G748" s="1774" t="s">
        <v>22</v>
      </c>
      <c r="H748" s="1774" t="s">
        <v>2746</v>
      </c>
      <c r="I748" s="1774" t="s">
        <v>853</v>
      </c>
    </row>
    <row r="749" spans="1:9" ht="11.25" customHeight="1">
      <c r="A749" s="1774" t="s">
        <v>2245</v>
      </c>
      <c r="B749" s="1774" t="s">
        <v>16</v>
      </c>
      <c r="C749" s="1774" t="s">
        <v>2882</v>
      </c>
      <c r="D749" s="1774" t="s">
        <v>2883</v>
      </c>
      <c r="E749" s="1774" t="s">
        <v>2884</v>
      </c>
      <c r="F749" s="1774" t="s">
        <v>2496</v>
      </c>
      <c r="G749" s="1774" t="s">
        <v>2885</v>
      </c>
      <c r="H749" s="1774" t="s">
        <v>22</v>
      </c>
      <c r="I749" s="1774" t="s">
        <v>853</v>
      </c>
    </row>
    <row r="750" spans="1:9" ht="11.25" customHeight="1">
      <c r="A750" s="1774" t="s">
        <v>2245</v>
      </c>
      <c r="B750" s="1774" t="s">
        <v>16</v>
      </c>
      <c r="C750" s="1774" t="s">
        <v>2886</v>
      </c>
      <c r="D750" s="1774" t="s">
        <v>2887</v>
      </c>
      <c r="E750" s="1774" t="s">
        <v>2888</v>
      </c>
      <c r="F750" s="1774" t="s">
        <v>2843</v>
      </c>
      <c r="G750" s="1774" t="s">
        <v>22</v>
      </c>
      <c r="H750" s="1774" t="s">
        <v>22</v>
      </c>
      <c r="I750" s="1774" t="s">
        <v>853</v>
      </c>
    </row>
    <row r="751" spans="1:9" ht="11.25" customHeight="1">
      <c r="A751" s="1774" t="s">
        <v>2245</v>
      </c>
      <c r="B751" s="1774" t="s">
        <v>16</v>
      </c>
      <c r="C751" s="1774" t="s">
        <v>2889</v>
      </c>
      <c r="D751" s="1774" t="s">
        <v>2890</v>
      </c>
      <c r="E751" s="1774" t="s">
        <v>2891</v>
      </c>
      <c r="F751" s="1774" t="s">
        <v>2892</v>
      </c>
      <c r="G751" s="1774" t="s">
        <v>22</v>
      </c>
      <c r="H751" s="1774" t="s">
        <v>22</v>
      </c>
      <c r="I751" s="1774" t="s">
        <v>853</v>
      </c>
    </row>
    <row r="752" spans="1:9" ht="11.25" customHeight="1">
      <c r="A752" s="1774" t="s">
        <v>2245</v>
      </c>
      <c r="B752" s="1774" t="s">
        <v>16</v>
      </c>
      <c r="C752" s="1774" t="s">
        <v>2893</v>
      </c>
      <c r="D752" s="1774" t="s">
        <v>2894</v>
      </c>
      <c r="E752" s="1774" t="s">
        <v>2895</v>
      </c>
      <c r="F752" s="1774" t="s">
        <v>2843</v>
      </c>
      <c r="G752" s="1774" t="s">
        <v>22</v>
      </c>
      <c r="H752" s="1774" t="s">
        <v>22</v>
      </c>
      <c r="I752" s="1774" t="s">
        <v>853</v>
      </c>
    </row>
    <row r="753" spans="1:9" ht="11.25" customHeight="1">
      <c r="A753" s="1774" t="s">
        <v>2245</v>
      </c>
      <c r="B753" s="1774" t="s">
        <v>16</v>
      </c>
      <c r="C753" s="1774" t="s">
        <v>2896</v>
      </c>
      <c r="D753" s="1774" t="s">
        <v>2897</v>
      </c>
      <c r="E753" s="1774" t="s">
        <v>2898</v>
      </c>
      <c r="F753" s="1774" t="s">
        <v>2638</v>
      </c>
      <c r="G753" s="1774" t="s">
        <v>2899</v>
      </c>
      <c r="H753" s="1774" t="s">
        <v>2900</v>
      </c>
      <c r="I753" s="1774" t="s">
        <v>853</v>
      </c>
    </row>
    <row r="754" spans="1:9" ht="11.25" customHeight="1">
      <c r="A754" s="1774" t="s">
        <v>2245</v>
      </c>
      <c r="B754" s="1774" t="s">
        <v>16</v>
      </c>
      <c r="C754" s="1774" t="s">
        <v>3861</v>
      </c>
      <c r="D754" s="1774" t="s">
        <v>3862</v>
      </c>
      <c r="E754" s="1774" t="s">
        <v>3863</v>
      </c>
      <c r="F754" s="1774" t="s">
        <v>2892</v>
      </c>
      <c r="G754" s="1774" t="s">
        <v>22</v>
      </c>
      <c r="H754" s="1774" t="s">
        <v>22</v>
      </c>
      <c r="I754" s="1774" t="s">
        <v>853</v>
      </c>
    </row>
    <row r="755" spans="1:9" ht="11.25" customHeight="1">
      <c r="A755" s="1774" t="s">
        <v>2245</v>
      </c>
      <c r="B755" s="1774" t="s">
        <v>16</v>
      </c>
      <c r="C755" s="1774" t="s">
        <v>3864</v>
      </c>
      <c r="D755" s="1774" t="s">
        <v>3865</v>
      </c>
      <c r="E755" s="1774" t="s">
        <v>3866</v>
      </c>
      <c r="F755" s="1774" t="s">
        <v>3073</v>
      </c>
      <c r="G755" s="1774" t="s">
        <v>22</v>
      </c>
      <c r="H755" s="1774" t="s">
        <v>22</v>
      </c>
      <c r="I755" s="1774" t="s">
        <v>853</v>
      </c>
    </row>
    <row r="756" spans="1:9" ht="11.25" customHeight="1">
      <c r="A756" s="1774" t="s">
        <v>2245</v>
      </c>
      <c r="B756" s="1774" t="s">
        <v>16</v>
      </c>
      <c r="C756" s="1774" t="s">
        <v>2901</v>
      </c>
      <c r="D756" s="1774" t="s">
        <v>2902</v>
      </c>
      <c r="E756" s="1774" t="s">
        <v>2903</v>
      </c>
      <c r="F756" s="1774" t="s">
        <v>2496</v>
      </c>
      <c r="G756" s="1774" t="s">
        <v>2904</v>
      </c>
      <c r="H756" s="1774" t="s">
        <v>2451</v>
      </c>
      <c r="I756" s="1774" t="s">
        <v>853</v>
      </c>
    </row>
    <row r="757" spans="1:9" ht="11.25" customHeight="1">
      <c r="A757" s="1774" t="s">
        <v>2245</v>
      </c>
      <c r="B757" s="1774" t="s">
        <v>16</v>
      </c>
      <c r="C757" s="1774" t="s">
        <v>2920</v>
      </c>
      <c r="D757" s="1774" t="s">
        <v>2921</v>
      </c>
      <c r="E757" s="1774" t="s">
        <v>2922</v>
      </c>
      <c r="F757" s="1774" t="s">
        <v>2496</v>
      </c>
      <c r="G757" s="1774" t="s">
        <v>22</v>
      </c>
      <c r="H757" s="1774" t="s">
        <v>22</v>
      </c>
      <c r="I757" s="1774" t="s">
        <v>853</v>
      </c>
    </row>
    <row r="758" spans="1:9" ht="11.25" customHeight="1">
      <c r="A758" s="1774" t="s">
        <v>2245</v>
      </c>
      <c r="B758" s="1774" t="s">
        <v>16</v>
      </c>
      <c r="C758" s="1774" t="s">
        <v>2929</v>
      </c>
      <c r="D758" s="1774" t="s">
        <v>2930</v>
      </c>
      <c r="E758" s="1774" t="s">
        <v>2931</v>
      </c>
      <c r="F758" s="1774" t="s">
        <v>2932</v>
      </c>
      <c r="G758" s="1774" t="s">
        <v>22</v>
      </c>
      <c r="H758" s="1774" t="s">
        <v>22</v>
      </c>
      <c r="I758" s="1774" t="s">
        <v>853</v>
      </c>
    </row>
    <row r="759" spans="1:9" ht="11.25" customHeight="1">
      <c r="A759" s="1774" t="s">
        <v>2245</v>
      </c>
      <c r="B759" s="1774" t="s">
        <v>16</v>
      </c>
      <c r="C759" s="1774" t="s">
        <v>3867</v>
      </c>
      <c r="D759" s="1774" t="s">
        <v>3868</v>
      </c>
      <c r="E759" s="1774" t="s">
        <v>3869</v>
      </c>
      <c r="F759" s="1774" t="s">
        <v>2535</v>
      </c>
      <c r="G759" s="1774" t="s">
        <v>22</v>
      </c>
      <c r="H759" s="1774" t="s">
        <v>22</v>
      </c>
      <c r="I759" s="1774" t="s">
        <v>853</v>
      </c>
    </row>
    <row r="760" spans="1:9" ht="11.25" customHeight="1">
      <c r="A760" s="1774" t="s">
        <v>2245</v>
      </c>
      <c r="B760" s="1774" t="s">
        <v>16</v>
      </c>
      <c r="C760" s="1774" t="s">
        <v>2954</v>
      </c>
      <c r="D760" s="1774" t="s">
        <v>2955</v>
      </c>
      <c r="E760" s="1774" t="s">
        <v>2956</v>
      </c>
      <c r="F760" s="1774" t="s">
        <v>2372</v>
      </c>
      <c r="G760" s="1774" t="s">
        <v>22</v>
      </c>
      <c r="H760" s="1774" t="s">
        <v>22</v>
      </c>
      <c r="I760" s="1774" t="s">
        <v>853</v>
      </c>
    </row>
    <row r="761" spans="1:9" ht="11.25" customHeight="1">
      <c r="A761" s="1774" t="s">
        <v>2245</v>
      </c>
      <c r="B761" s="1774" t="s">
        <v>16</v>
      </c>
      <c r="C761" s="1774" t="s">
        <v>2957</v>
      </c>
      <c r="D761" s="1774" t="s">
        <v>2958</v>
      </c>
      <c r="E761" s="1774" t="s">
        <v>2959</v>
      </c>
      <c r="F761" s="1774" t="s">
        <v>2535</v>
      </c>
      <c r="G761" s="1774" t="s">
        <v>22</v>
      </c>
      <c r="H761" s="1774" t="s">
        <v>2960</v>
      </c>
      <c r="I761" s="1774" t="s">
        <v>853</v>
      </c>
    </row>
    <row r="762" spans="1:9" ht="11.25" customHeight="1">
      <c r="A762" s="1774" t="s">
        <v>2245</v>
      </c>
      <c r="B762" s="1774" t="s">
        <v>16</v>
      </c>
      <c r="C762" s="1774" t="s">
        <v>2961</v>
      </c>
      <c r="D762" s="1774" t="s">
        <v>2962</v>
      </c>
      <c r="E762" s="1774" t="s">
        <v>2963</v>
      </c>
      <c r="F762" s="1774" t="s">
        <v>2964</v>
      </c>
      <c r="G762" s="1774" t="s">
        <v>22</v>
      </c>
      <c r="H762" s="1774" t="s">
        <v>22</v>
      </c>
      <c r="I762" s="1774" t="s">
        <v>853</v>
      </c>
    </row>
    <row r="763" spans="1:9" ht="11.25" customHeight="1">
      <c r="A763" s="1774" t="s">
        <v>2245</v>
      </c>
      <c r="B763" s="1774" t="s">
        <v>16</v>
      </c>
      <c r="C763" s="1774" t="s">
        <v>2965</v>
      </c>
      <c r="D763" s="1774" t="s">
        <v>2966</v>
      </c>
      <c r="E763" s="1774" t="s">
        <v>2967</v>
      </c>
      <c r="F763" s="1774" t="s">
        <v>2708</v>
      </c>
      <c r="G763" s="1774" t="s">
        <v>22</v>
      </c>
      <c r="H763" s="1774" t="s">
        <v>22</v>
      </c>
      <c r="I763" s="1774" t="s">
        <v>853</v>
      </c>
    </row>
    <row r="764" spans="1:9" ht="11.25" customHeight="1">
      <c r="A764" s="1774" t="s">
        <v>2245</v>
      </c>
      <c r="B764" s="1774" t="s">
        <v>16</v>
      </c>
      <c r="C764" s="1774" t="s">
        <v>2980</v>
      </c>
      <c r="D764" s="1774" t="s">
        <v>2981</v>
      </c>
      <c r="E764" s="1774" t="s">
        <v>2982</v>
      </c>
      <c r="F764" s="1774" t="s">
        <v>2686</v>
      </c>
      <c r="G764" s="1774" t="s">
        <v>22</v>
      </c>
      <c r="H764" s="1774" t="s">
        <v>22</v>
      </c>
      <c r="I764" s="1774" t="s">
        <v>853</v>
      </c>
    </row>
    <row r="765" spans="1:9" ht="11.25" customHeight="1">
      <c r="A765" s="1774" t="s">
        <v>2245</v>
      </c>
      <c r="B765" s="1774" t="s">
        <v>16</v>
      </c>
      <c r="C765" s="1774" t="s">
        <v>3870</v>
      </c>
      <c r="D765" s="1774" t="s">
        <v>3871</v>
      </c>
      <c r="E765" s="1774" t="s">
        <v>3872</v>
      </c>
      <c r="F765" s="1774" t="s">
        <v>2348</v>
      </c>
      <c r="G765" s="1774" t="s">
        <v>22</v>
      </c>
      <c r="H765" s="1774" t="s">
        <v>22</v>
      </c>
      <c r="I765" s="1774" t="s">
        <v>853</v>
      </c>
    </row>
    <row r="766" spans="1:9" ht="11.25" customHeight="1">
      <c r="A766" s="1774" t="s">
        <v>2245</v>
      </c>
      <c r="B766" s="1774" t="s">
        <v>16</v>
      </c>
      <c r="C766" s="1774" t="s">
        <v>2989</v>
      </c>
      <c r="D766" s="1774" t="s">
        <v>2990</v>
      </c>
      <c r="E766" s="1774" t="s">
        <v>2566</v>
      </c>
      <c r="F766" s="1774" t="s">
        <v>2991</v>
      </c>
      <c r="G766" s="1774" t="s">
        <v>22</v>
      </c>
      <c r="H766" s="1774" t="s">
        <v>22</v>
      </c>
      <c r="I766" s="1774" t="s">
        <v>853</v>
      </c>
    </row>
    <row r="767" spans="1:9" ht="11.25" customHeight="1">
      <c r="A767" s="1774" t="s">
        <v>2245</v>
      </c>
      <c r="B767" s="1774" t="s">
        <v>16</v>
      </c>
      <c r="C767" s="1774" t="s">
        <v>3873</v>
      </c>
      <c r="D767" s="1774" t="s">
        <v>3874</v>
      </c>
      <c r="E767" s="1774" t="s">
        <v>3875</v>
      </c>
      <c r="F767" s="1774" t="s">
        <v>2313</v>
      </c>
      <c r="G767" s="1774" t="s">
        <v>22</v>
      </c>
      <c r="H767" s="1774" t="s">
        <v>22</v>
      </c>
      <c r="I767" s="1774" t="s">
        <v>853</v>
      </c>
    </row>
    <row r="768" spans="1:9" ht="11.25" customHeight="1">
      <c r="A768" s="1774" t="s">
        <v>2245</v>
      </c>
      <c r="B768" s="1774" t="s">
        <v>16</v>
      </c>
      <c r="C768" s="1774" t="s">
        <v>3001</v>
      </c>
      <c r="D768" s="1774" t="s">
        <v>3002</v>
      </c>
      <c r="E768" s="1774" t="s">
        <v>3003</v>
      </c>
      <c r="F768" s="1774" t="s">
        <v>2253</v>
      </c>
      <c r="G768" s="1774" t="s">
        <v>22</v>
      </c>
      <c r="H768" s="1774" t="s">
        <v>22</v>
      </c>
      <c r="I768" s="1774" t="s">
        <v>853</v>
      </c>
    </row>
    <row r="769" spans="1:9" ht="11.25" customHeight="1">
      <c r="A769" s="1774" t="s">
        <v>2245</v>
      </c>
      <c r="B769" s="1774" t="s">
        <v>16</v>
      </c>
      <c r="C769" s="1774" t="s">
        <v>3004</v>
      </c>
      <c r="D769" s="1774" t="s">
        <v>3005</v>
      </c>
      <c r="E769" s="1774" t="s">
        <v>3006</v>
      </c>
      <c r="F769" s="1774" t="s">
        <v>2519</v>
      </c>
      <c r="G769" s="1774" t="s">
        <v>22</v>
      </c>
      <c r="H769" s="1774" t="s">
        <v>22</v>
      </c>
      <c r="I769" s="1774" t="s">
        <v>853</v>
      </c>
    </row>
    <row r="770" spans="1:9" ht="11.25" customHeight="1">
      <c r="A770" s="1774" t="s">
        <v>2245</v>
      </c>
      <c r="B770" s="1774" t="s">
        <v>16</v>
      </c>
      <c r="C770" s="1774" t="s">
        <v>3007</v>
      </c>
      <c r="D770" s="1774" t="s">
        <v>3008</v>
      </c>
      <c r="E770" s="1774" t="s">
        <v>3009</v>
      </c>
      <c r="F770" s="1774" t="s">
        <v>3010</v>
      </c>
      <c r="G770" s="1774" t="s">
        <v>22</v>
      </c>
      <c r="H770" s="1774" t="s">
        <v>22</v>
      </c>
      <c r="I770" s="1774" t="s">
        <v>853</v>
      </c>
    </row>
    <row r="771" spans="1:9" ht="11.25" customHeight="1">
      <c r="A771" s="1774" t="s">
        <v>2245</v>
      </c>
      <c r="B771" s="1774" t="s">
        <v>16</v>
      </c>
      <c r="C771" s="1774" t="s">
        <v>3876</v>
      </c>
      <c r="D771" s="1774" t="s">
        <v>3877</v>
      </c>
      <c r="E771" s="1774" t="s">
        <v>3878</v>
      </c>
      <c r="F771" s="1774" t="s">
        <v>2270</v>
      </c>
      <c r="G771" s="1774" t="s">
        <v>3879</v>
      </c>
      <c r="H771" s="1774" t="s">
        <v>22</v>
      </c>
      <c r="I771" s="1774" t="s">
        <v>853</v>
      </c>
    </row>
    <row r="772" spans="1:9" ht="11.25" customHeight="1">
      <c r="A772" s="1774" t="s">
        <v>2245</v>
      </c>
      <c r="B772" s="1774" t="s">
        <v>16</v>
      </c>
      <c r="C772" s="1774" t="s">
        <v>3020</v>
      </c>
      <c r="D772" s="1774" t="s">
        <v>3021</v>
      </c>
      <c r="E772" s="1774" t="s">
        <v>3022</v>
      </c>
      <c r="F772" s="1774" t="s">
        <v>2291</v>
      </c>
      <c r="G772" s="1774" t="s">
        <v>22</v>
      </c>
      <c r="H772" s="1774" t="s">
        <v>22</v>
      </c>
      <c r="I772" s="1774" t="s">
        <v>853</v>
      </c>
    </row>
    <row r="773" spans="1:9" ht="11.25" customHeight="1">
      <c r="A773" s="1774" t="s">
        <v>2245</v>
      </c>
      <c r="B773" s="1774" t="s">
        <v>16</v>
      </c>
      <c r="C773" s="1774" t="s">
        <v>3880</v>
      </c>
      <c r="D773" s="1774" t="s">
        <v>3881</v>
      </c>
      <c r="E773" s="1774" t="s">
        <v>3882</v>
      </c>
      <c r="F773" s="1774" t="s">
        <v>2450</v>
      </c>
      <c r="G773" s="1774" t="s">
        <v>22</v>
      </c>
      <c r="H773" s="1774" t="s">
        <v>22</v>
      </c>
      <c r="I773" s="1774" t="s">
        <v>853</v>
      </c>
    </row>
    <row r="774" spans="1:9" ht="11.25" customHeight="1">
      <c r="A774" s="1774" t="s">
        <v>2245</v>
      </c>
      <c r="B774" s="1774" t="s">
        <v>16</v>
      </c>
      <c r="C774" s="1774" t="s">
        <v>3883</v>
      </c>
      <c r="D774" s="1774" t="s">
        <v>3884</v>
      </c>
      <c r="E774" s="1774" t="s">
        <v>3885</v>
      </c>
      <c r="F774" s="1774" t="s">
        <v>3073</v>
      </c>
      <c r="G774" s="1774" t="s">
        <v>22</v>
      </c>
      <c r="H774" s="1774" t="s">
        <v>22</v>
      </c>
      <c r="I774" s="1774" t="s">
        <v>853</v>
      </c>
    </row>
    <row r="775" spans="1:9" ht="11.25" customHeight="1">
      <c r="A775" s="1774" t="s">
        <v>2245</v>
      </c>
      <c r="B775" s="1774" t="s">
        <v>16</v>
      </c>
      <c r="C775" s="1774" t="s">
        <v>3886</v>
      </c>
      <c r="D775" s="1774" t="s">
        <v>3887</v>
      </c>
      <c r="E775" s="1774" t="s">
        <v>3888</v>
      </c>
      <c r="F775" s="1774" t="s">
        <v>2646</v>
      </c>
      <c r="G775" s="1774" t="s">
        <v>22</v>
      </c>
      <c r="H775" s="1774" t="s">
        <v>22</v>
      </c>
      <c r="I775" s="1774" t="s">
        <v>853</v>
      </c>
    </row>
    <row r="776" spans="1:9" ht="11.25" customHeight="1">
      <c r="A776" s="1774" t="s">
        <v>2245</v>
      </c>
      <c r="B776" s="1774" t="s">
        <v>16</v>
      </c>
      <c r="C776" s="1774" t="s">
        <v>3889</v>
      </c>
      <c r="D776" s="1774" t="s">
        <v>3890</v>
      </c>
      <c r="E776" s="1774" t="s">
        <v>3891</v>
      </c>
      <c r="F776" s="1774" t="s">
        <v>2515</v>
      </c>
      <c r="G776" s="1774" t="s">
        <v>22</v>
      </c>
      <c r="H776" s="1774" t="s">
        <v>22</v>
      </c>
      <c r="I776" s="1774" t="s">
        <v>853</v>
      </c>
    </row>
    <row r="777" spans="1:9" ht="11.25" customHeight="1">
      <c r="A777" s="1774" t="s">
        <v>2245</v>
      </c>
      <c r="B777" s="1774" t="s">
        <v>16</v>
      </c>
      <c r="C777" s="1774" t="s">
        <v>3892</v>
      </c>
      <c r="D777" s="1774" t="s">
        <v>3893</v>
      </c>
      <c r="E777" s="1774" t="s">
        <v>3894</v>
      </c>
      <c r="F777" s="1774" t="s">
        <v>2892</v>
      </c>
      <c r="G777" s="1774" t="s">
        <v>22</v>
      </c>
      <c r="H777" s="1774" t="s">
        <v>22</v>
      </c>
      <c r="I777" s="1774" t="s">
        <v>853</v>
      </c>
    </row>
    <row r="778" spans="1:9" ht="11.25" customHeight="1">
      <c r="A778" s="1774" t="s">
        <v>2245</v>
      </c>
      <c r="B778" s="1774" t="s">
        <v>16</v>
      </c>
      <c r="C778" s="1774" t="s">
        <v>3895</v>
      </c>
      <c r="D778" s="1774" t="s">
        <v>3896</v>
      </c>
      <c r="E778" s="1774" t="s">
        <v>3897</v>
      </c>
      <c r="F778" s="1774" t="s">
        <v>2634</v>
      </c>
      <c r="G778" s="1774" t="s">
        <v>22</v>
      </c>
      <c r="H778" s="1774" t="s">
        <v>22</v>
      </c>
      <c r="I778" s="1774" t="s">
        <v>853</v>
      </c>
    </row>
    <row r="779" spans="1:9" ht="11.25" customHeight="1">
      <c r="A779" s="1774" t="s">
        <v>2245</v>
      </c>
      <c r="B779" s="1774" t="s">
        <v>16</v>
      </c>
      <c r="C779" s="1774" t="s">
        <v>3898</v>
      </c>
      <c r="D779" s="1774" t="s">
        <v>3899</v>
      </c>
      <c r="E779" s="1774" t="s">
        <v>3900</v>
      </c>
      <c r="F779" s="1774" t="s">
        <v>2496</v>
      </c>
      <c r="G779" s="1774" t="s">
        <v>22</v>
      </c>
      <c r="H779" s="1774" t="s">
        <v>22</v>
      </c>
      <c r="I779" s="1774" t="s">
        <v>853</v>
      </c>
    </row>
    <row r="780" spans="1:9" ht="11.25" customHeight="1">
      <c r="A780" s="1774" t="s">
        <v>2245</v>
      </c>
      <c r="B780" s="1774" t="s">
        <v>16</v>
      </c>
      <c r="C780" s="1774" t="s">
        <v>3091</v>
      </c>
      <c r="D780" s="1774" t="s">
        <v>3092</v>
      </c>
      <c r="E780" s="1774" t="s">
        <v>3093</v>
      </c>
      <c r="F780" s="1774" t="s">
        <v>2542</v>
      </c>
      <c r="G780" s="1774" t="s">
        <v>22</v>
      </c>
      <c r="H780" s="1774" t="s">
        <v>22</v>
      </c>
      <c r="I780" s="1774" t="s">
        <v>853</v>
      </c>
    </row>
    <row r="781" spans="1:9" ht="11.25" customHeight="1">
      <c r="A781" s="1774" t="s">
        <v>2245</v>
      </c>
      <c r="B781" s="1774" t="s">
        <v>16</v>
      </c>
      <c r="C781" s="1774" t="s">
        <v>3094</v>
      </c>
      <c r="D781" s="1774" t="s">
        <v>3092</v>
      </c>
      <c r="E781" s="1774" t="s">
        <v>3095</v>
      </c>
      <c r="F781" s="1774" t="s">
        <v>2697</v>
      </c>
      <c r="G781" s="1774" t="s">
        <v>22</v>
      </c>
      <c r="H781" s="1774" t="s">
        <v>22</v>
      </c>
      <c r="I781" s="1774" t="s">
        <v>853</v>
      </c>
    </row>
    <row r="782" spans="1:9" ht="11.25" customHeight="1">
      <c r="A782" s="1774" t="s">
        <v>2245</v>
      </c>
      <c r="B782" s="1774" t="s">
        <v>16</v>
      </c>
      <c r="C782" s="1774" t="s">
        <v>3901</v>
      </c>
      <c r="D782" s="1774" t="s">
        <v>3092</v>
      </c>
      <c r="E782" s="1774" t="s">
        <v>3902</v>
      </c>
      <c r="F782" s="1774" t="s">
        <v>2284</v>
      </c>
      <c r="G782" s="1774" t="s">
        <v>22</v>
      </c>
      <c r="H782" s="1774" t="s">
        <v>22</v>
      </c>
      <c r="I782" s="1774" t="s">
        <v>853</v>
      </c>
    </row>
    <row r="783" spans="1:9" ht="11.25" customHeight="1">
      <c r="A783" s="1774" t="s">
        <v>2245</v>
      </c>
      <c r="B783" s="1774" t="s">
        <v>16</v>
      </c>
      <c r="C783" s="1774" t="s">
        <v>3903</v>
      </c>
      <c r="D783" s="1774" t="s">
        <v>3904</v>
      </c>
      <c r="E783" s="1774" t="s">
        <v>3905</v>
      </c>
      <c r="F783" s="1774" t="s">
        <v>2298</v>
      </c>
      <c r="G783" s="1774" t="s">
        <v>22</v>
      </c>
      <c r="H783" s="1774" t="s">
        <v>22</v>
      </c>
      <c r="I783" s="1774" t="s">
        <v>853</v>
      </c>
    </row>
    <row r="784" spans="1:9" ht="11.25" customHeight="1">
      <c r="A784" s="1774" t="s">
        <v>2245</v>
      </c>
      <c r="B784" s="1774" t="s">
        <v>16</v>
      </c>
      <c r="C784" s="1774" t="s">
        <v>3099</v>
      </c>
      <c r="D784" s="1774" t="s">
        <v>3100</v>
      </c>
      <c r="E784" s="1774" t="s">
        <v>3101</v>
      </c>
      <c r="F784" s="1774" t="s">
        <v>2527</v>
      </c>
      <c r="G784" s="1774" t="s">
        <v>22</v>
      </c>
      <c r="H784" s="1774" t="s">
        <v>22</v>
      </c>
      <c r="I784" s="1774" t="s">
        <v>853</v>
      </c>
    </row>
    <row r="785" spans="1:9" ht="11.25" customHeight="1">
      <c r="A785" s="1774" t="s">
        <v>2245</v>
      </c>
      <c r="B785" s="1774" t="s">
        <v>16</v>
      </c>
      <c r="C785" s="1774" t="s">
        <v>3108</v>
      </c>
      <c r="D785" s="1774" t="s">
        <v>3109</v>
      </c>
      <c r="E785" s="1774" t="s">
        <v>3110</v>
      </c>
      <c r="F785" s="1774" t="s">
        <v>3111</v>
      </c>
      <c r="G785" s="1774" t="s">
        <v>22</v>
      </c>
      <c r="H785" s="1774" t="s">
        <v>22</v>
      </c>
      <c r="I785" s="1774" t="s">
        <v>853</v>
      </c>
    </row>
    <row r="786" spans="1:9" ht="11.25" customHeight="1">
      <c r="A786" s="1774" t="s">
        <v>2245</v>
      </c>
      <c r="B786" s="1774" t="s">
        <v>16</v>
      </c>
      <c r="C786" s="1774" t="s">
        <v>3906</v>
      </c>
      <c r="D786" s="1774" t="s">
        <v>3907</v>
      </c>
      <c r="E786" s="1774" t="s">
        <v>3908</v>
      </c>
      <c r="F786" s="1774" t="s">
        <v>3909</v>
      </c>
      <c r="G786" s="1774" t="s">
        <v>22</v>
      </c>
      <c r="H786" s="1774" t="s">
        <v>22</v>
      </c>
      <c r="I786" s="1774" t="s">
        <v>853</v>
      </c>
    </row>
    <row r="787" spans="1:9" ht="11.25" customHeight="1">
      <c r="A787" s="1774" t="s">
        <v>2245</v>
      </c>
      <c r="B787" s="1774" t="s">
        <v>16</v>
      </c>
      <c r="C787" s="1774" t="s">
        <v>3910</v>
      </c>
      <c r="D787" s="1774" t="s">
        <v>3911</v>
      </c>
      <c r="E787" s="1774" t="s">
        <v>3912</v>
      </c>
      <c r="F787" s="1774" t="s">
        <v>2306</v>
      </c>
      <c r="G787" s="1774" t="s">
        <v>22</v>
      </c>
      <c r="H787" s="1774" t="s">
        <v>22</v>
      </c>
      <c r="I787" s="1774" t="s">
        <v>853</v>
      </c>
    </row>
    <row r="788" spans="1:9" ht="11.25" customHeight="1">
      <c r="A788" s="1774" t="s">
        <v>2245</v>
      </c>
      <c r="B788" s="1774" t="s">
        <v>16</v>
      </c>
      <c r="C788" s="1774" t="s">
        <v>3136</v>
      </c>
      <c r="D788" s="1774" t="s">
        <v>3137</v>
      </c>
      <c r="E788" s="1774" t="s">
        <v>3138</v>
      </c>
      <c r="F788" s="1774" t="s">
        <v>2450</v>
      </c>
      <c r="G788" s="1774" t="s">
        <v>22</v>
      </c>
      <c r="H788" s="1774" t="s">
        <v>22</v>
      </c>
      <c r="I788" s="1774" t="s">
        <v>853</v>
      </c>
    </row>
    <row r="789" spans="1:9" ht="11.25" customHeight="1">
      <c r="A789" s="1774" t="s">
        <v>2245</v>
      </c>
      <c r="B789" s="1774" t="s">
        <v>16</v>
      </c>
      <c r="C789" s="1774" t="s">
        <v>3913</v>
      </c>
      <c r="D789" s="1774" t="s">
        <v>3914</v>
      </c>
      <c r="E789" s="1774" t="s">
        <v>3915</v>
      </c>
      <c r="F789" s="1774" t="s">
        <v>2892</v>
      </c>
      <c r="G789" s="1774" t="s">
        <v>22</v>
      </c>
      <c r="H789" s="1774" t="s">
        <v>22</v>
      </c>
      <c r="I789" s="1774" t="s">
        <v>853</v>
      </c>
    </row>
    <row r="790" spans="1:9" ht="11.25" customHeight="1">
      <c r="A790" s="1774" t="s">
        <v>2245</v>
      </c>
      <c r="B790" s="1774" t="s">
        <v>16</v>
      </c>
      <c r="C790" s="1774" t="s">
        <v>3143</v>
      </c>
      <c r="D790" s="1774" t="s">
        <v>3144</v>
      </c>
      <c r="E790" s="1774" t="s">
        <v>3145</v>
      </c>
      <c r="F790" s="1774" t="s">
        <v>2265</v>
      </c>
      <c r="G790" s="1774" t="s">
        <v>22</v>
      </c>
      <c r="H790" s="1774" t="s">
        <v>22</v>
      </c>
      <c r="I790" s="1774" t="s">
        <v>853</v>
      </c>
    </row>
    <row r="791" spans="1:9" ht="11.25" customHeight="1">
      <c r="A791" s="1774" t="s">
        <v>2245</v>
      </c>
      <c r="B791" s="1774" t="s">
        <v>16</v>
      </c>
      <c r="C791" s="1774" t="s">
        <v>3146</v>
      </c>
      <c r="D791" s="1774" t="s">
        <v>3147</v>
      </c>
      <c r="E791" s="1774" t="s">
        <v>3148</v>
      </c>
      <c r="F791" s="1774" t="s">
        <v>2478</v>
      </c>
      <c r="G791" s="1774" t="s">
        <v>22</v>
      </c>
      <c r="H791" s="1774" t="s">
        <v>22</v>
      </c>
      <c r="I791" s="1774" t="s">
        <v>853</v>
      </c>
    </row>
    <row r="792" spans="1:9" ht="11.25" customHeight="1">
      <c r="A792" s="1774" t="s">
        <v>2245</v>
      </c>
      <c r="B792" s="1774" t="s">
        <v>16</v>
      </c>
      <c r="C792" s="1774" t="s">
        <v>3916</v>
      </c>
      <c r="D792" s="1774" t="s">
        <v>3917</v>
      </c>
      <c r="E792" s="1774" t="s">
        <v>3918</v>
      </c>
      <c r="F792" s="1774" t="s">
        <v>2313</v>
      </c>
      <c r="G792" s="1774" t="s">
        <v>22</v>
      </c>
      <c r="H792" s="1774" t="s">
        <v>22</v>
      </c>
      <c r="I792" s="1774" t="s">
        <v>853</v>
      </c>
    </row>
    <row r="793" spans="1:9" ht="11.25" customHeight="1">
      <c r="A793" s="1774" t="s">
        <v>2245</v>
      </c>
      <c r="B793" s="1774" t="s">
        <v>16</v>
      </c>
      <c r="C793" s="1774" t="s">
        <v>3919</v>
      </c>
      <c r="D793" s="1774" t="s">
        <v>3920</v>
      </c>
      <c r="E793" s="1774" t="s">
        <v>3921</v>
      </c>
      <c r="F793" s="1774" t="s">
        <v>2313</v>
      </c>
      <c r="G793" s="1774" t="s">
        <v>22</v>
      </c>
      <c r="H793" s="1774" t="s">
        <v>22</v>
      </c>
      <c r="I793" s="1774" t="s">
        <v>853</v>
      </c>
    </row>
    <row r="794" spans="1:9" ht="11.25" customHeight="1">
      <c r="A794" s="1774" t="s">
        <v>2245</v>
      </c>
      <c r="B794" s="1774" t="s">
        <v>16</v>
      </c>
      <c r="C794" s="1774" t="s">
        <v>3922</v>
      </c>
      <c r="D794" s="1774" t="s">
        <v>3923</v>
      </c>
      <c r="E794" s="1774" t="s">
        <v>3924</v>
      </c>
      <c r="F794" s="1774" t="s">
        <v>2327</v>
      </c>
      <c r="G794" s="1774" t="s">
        <v>22</v>
      </c>
      <c r="H794" s="1774" t="s">
        <v>22</v>
      </c>
      <c r="I794" s="1774" t="s">
        <v>853</v>
      </c>
    </row>
    <row r="795" spans="1:9" ht="11.25" customHeight="1">
      <c r="A795" s="1774" t="s">
        <v>2245</v>
      </c>
      <c r="B795" s="1774" t="s">
        <v>16</v>
      </c>
      <c r="C795" s="1774" t="s">
        <v>3165</v>
      </c>
      <c r="D795" s="1774" t="s">
        <v>3166</v>
      </c>
      <c r="E795" s="1774" t="s">
        <v>3167</v>
      </c>
      <c r="F795" s="1774" t="s">
        <v>2386</v>
      </c>
      <c r="G795" s="1774" t="s">
        <v>3168</v>
      </c>
      <c r="H795" s="1774" t="s">
        <v>22</v>
      </c>
      <c r="I795" s="1774" t="s">
        <v>853</v>
      </c>
    </row>
    <row r="796" spans="1:9" ht="11.25" customHeight="1">
      <c r="A796" s="1774" t="s">
        <v>2245</v>
      </c>
      <c r="B796" s="1774" t="s">
        <v>16</v>
      </c>
      <c r="C796" s="1774" t="s">
        <v>3925</v>
      </c>
      <c r="D796" s="1774" t="s">
        <v>3926</v>
      </c>
      <c r="E796" s="1774" t="s">
        <v>3927</v>
      </c>
      <c r="F796" s="1774" t="s">
        <v>2766</v>
      </c>
      <c r="G796" s="1774" t="s">
        <v>22</v>
      </c>
      <c r="H796" s="1774" t="s">
        <v>22</v>
      </c>
      <c r="I796" s="1774" t="s">
        <v>853</v>
      </c>
    </row>
    <row r="797" spans="1:9" ht="11.25" customHeight="1">
      <c r="A797" s="1774" t="s">
        <v>2245</v>
      </c>
      <c r="B797" s="1774" t="s">
        <v>16</v>
      </c>
      <c r="C797" s="1774" t="s">
        <v>3169</v>
      </c>
      <c r="D797" s="1774" t="s">
        <v>3170</v>
      </c>
      <c r="E797" s="1774" t="s">
        <v>3171</v>
      </c>
      <c r="F797" s="1774" t="s">
        <v>2291</v>
      </c>
      <c r="G797" s="1774" t="s">
        <v>22</v>
      </c>
      <c r="H797" s="1774" t="s">
        <v>22</v>
      </c>
      <c r="I797" s="1774" t="s">
        <v>853</v>
      </c>
    </row>
    <row r="798" spans="1:9" ht="11.25" customHeight="1">
      <c r="A798" s="1774" t="s">
        <v>2245</v>
      </c>
      <c r="B798" s="1774" t="s">
        <v>16</v>
      </c>
      <c r="C798" s="1774" t="s">
        <v>3189</v>
      </c>
      <c r="D798" s="1774" t="s">
        <v>3190</v>
      </c>
      <c r="E798" s="1774" t="s">
        <v>3191</v>
      </c>
      <c r="F798" s="1774" t="s">
        <v>2386</v>
      </c>
      <c r="G798" s="1774" t="s">
        <v>22</v>
      </c>
      <c r="H798" s="1774" t="s">
        <v>22</v>
      </c>
      <c r="I798" s="1774" t="s">
        <v>853</v>
      </c>
    </row>
    <row r="799" spans="1:9" ht="11.25" customHeight="1">
      <c r="A799" s="1774" t="s">
        <v>2245</v>
      </c>
      <c r="B799" s="1774" t="s">
        <v>16</v>
      </c>
      <c r="C799" s="1774" t="s">
        <v>3928</v>
      </c>
      <c r="D799" s="1774" t="s">
        <v>3190</v>
      </c>
      <c r="E799" s="1774" t="s">
        <v>3929</v>
      </c>
      <c r="F799" s="1774" t="s">
        <v>2253</v>
      </c>
      <c r="G799" s="1774" t="s">
        <v>22</v>
      </c>
      <c r="H799" s="1774" t="s">
        <v>22</v>
      </c>
      <c r="I799" s="1774" t="s">
        <v>853</v>
      </c>
    </row>
    <row r="800" spans="1:9" ht="11.25" customHeight="1">
      <c r="A800" s="1774" t="s">
        <v>2245</v>
      </c>
      <c r="B800" s="1774" t="s">
        <v>16</v>
      </c>
      <c r="C800" s="1774" t="s">
        <v>3192</v>
      </c>
      <c r="D800" s="1774" t="s">
        <v>3193</v>
      </c>
      <c r="E800" s="1774" t="s">
        <v>3194</v>
      </c>
      <c r="F800" s="1774" t="s">
        <v>2542</v>
      </c>
      <c r="G800" s="1774" t="s">
        <v>22</v>
      </c>
      <c r="H800" s="1774" t="s">
        <v>22</v>
      </c>
      <c r="I800" s="1774" t="s">
        <v>853</v>
      </c>
    </row>
    <row r="801" spans="1:9" ht="11.25" customHeight="1">
      <c r="A801" s="1774" t="s">
        <v>2245</v>
      </c>
      <c r="B801" s="1774" t="s">
        <v>16</v>
      </c>
      <c r="C801" s="1774" t="s">
        <v>3930</v>
      </c>
      <c r="D801" s="1774" t="s">
        <v>3931</v>
      </c>
      <c r="E801" s="1774" t="s">
        <v>3932</v>
      </c>
      <c r="F801" s="1774" t="s">
        <v>2712</v>
      </c>
      <c r="G801" s="1774" t="s">
        <v>22</v>
      </c>
      <c r="H801" s="1774" t="s">
        <v>22</v>
      </c>
      <c r="I801" s="1774" t="s">
        <v>853</v>
      </c>
    </row>
    <row r="802" spans="1:9" ht="11.25" customHeight="1">
      <c r="A802" s="1774" t="s">
        <v>2245</v>
      </c>
      <c r="B802" s="1774" t="s">
        <v>16</v>
      </c>
      <c r="C802" s="1774" t="s">
        <v>3933</v>
      </c>
      <c r="D802" s="1774" t="s">
        <v>3934</v>
      </c>
      <c r="E802" s="1774" t="s">
        <v>3935</v>
      </c>
      <c r="F802" s="1774" t="s">
        <v>2686</v>
      </c>
      <c r="G802" s="1774" t="s">
        <v>22</v>
      </c>
      <c r="H802" s="1774" t="s">
        <v>22</v>
      </c>
      <c r="I802" s="1774" t="s">
        <v>853</v>
      </c>
    </row>
    <row r="803" spans="1:9" ht="11.25" customHeight="1">
      <c r="A803" s="1774" t="s">
        <v>2245</v>
      </c>
      <c r="B803" s="1774" t="s">
        <v>16</v>
      </c>
      <c r="C803" s="1774" t="s">
        <v>3936</v>
      </c>
      <c r="D803" s="1774" t="s">
        <v>3937</v>
      </c>
      <c r="E803" s="1774" t="s">
        <v>3938</v>
      </c>
      <c r="F803" s="1774" t="s">
        <v>2313</v>
      </c>
      <c r="G803" s="1774" t="s">
        <v>22</v>
      </c>
      <c r="H803" s="1774" t="s">
        <v>3939</v>
      </c>
      <c r="I803" s="1774" t="s">
        <v>853</v>
      </c>
    </row>
    <row r="804" spans="1:9" ht="11.25" customHeight="1">
      <c r="A804" s="1774" t="s">
        <v>2245</v>
      </c>
      <c r="B804" s="1774" t="s">
        <v>16</v>
      </c>
      <c r="C804" s="1774" t="s">
        <v>3208</v>
      </c>
      <c r="D804" s="1774" t="s">
        <v>3209</v>
      </c>
      <c r="E804" s="1774" t="s">
        <v>3210</v>
      </c>
      <c r="F804" s="1774" t="s">
        <v>2816</v>
      </c>
      <c r="G804" s="1774" t="s">
        <v>3211</v>
      </c>
      <c r="H804" s="1774" t="s">
        <v>22</v>
      </c>
      <c r="I804" s="1774" t="s">
        <v>853</v>
      </c>
    </row>
    <row r="805" spans="1:9" ht="11.25" customHeight="1">
      <c r="A805" s="1774" t="s">
        <v>2245</v>
      </c>
      <c r="B805" s="1774" t="s">
        <v>16</v>
      </c>
      <c r="C805" s="1774" t="s">
        <v>3940</v>
      </c>
      <c r="D805" s="1774" t="s">
        <v>3941</v>
      </c>
      <c r="E805" s="1774" t="s">
        <v>3942</v>
      </c>
      <c r="F805" s="1774" t="s">
        <v>2964</v>
      </c>
      <c r="G805" s="1774" t="s">
        <v>22</v>
      </c>
      <c r="H805" s="1774" t="s">
        <v>22</v>
      </c>
      <c r="I805" s="1774" t="s">
        <v>853</v>
      </c>
    </row>
    <row r="806" spans="1:9" ht="11.25" customHeight="1">
      <c r="A806" s="1774" t="s">
        <v>2245</v>
      </c>
      <c r="B806" s="1774" t="s">
        <v>16</v>
      </c>
      <c r="C806" s="1774" t="s">
        <v>3234</v>
      </c>
      <c r="D806" s="1774" t="s">
        <v>3235</v>
      </c>
      <c r="E806" s="1774" t="s">
        <v>3236</v>
      </c>
      <c r="F806" s="1774" t="s">
        <v>2261</v>
      </c>
      <c r="G806" s="1774" t="s">
        <v>22</v>
      </c>
      <c r="H806" s="1774" t="s">
        <v>22</v>
      </c>
      <c r="I806" s="1774" t="s">
        <v>853</v>
      </c>
    </row>
    <row r="807" spans="1:9" ht="11.25" customHeight="1">
      <c r="A807" s="1774" t="s">
        <v>2245</v>
      </c>
      <c r="B807" s="1774" t="s">
        <v>16</v>
      </c>
      <c r="C807" s="1774" t="s">
        <v>3943</v>
      </c>
      <c r="D807" s="1774" t="s">
        <v>3944</v>
      </c>
      <c r="E807" s="1774" t="s">
        <v>3945</v>
      </c>
      <c r="F807" s="1774" t="s">
        <v>51</v>
      </c>
      <c r="G807" s="1774" t="s">
        <v>22</v>
      </c>
      <c r="H807" s="1774" t="s">
        <v>22</v>
      </c>
      <c r="I807" s="1774" t="s">
        <v>853</v>
      </c>
    </row>
    <row r="808" spans="1:9" ht="11.25" customHeight="1">
      <c r="A808" s="1774" t="s">
        <v>2245</v>
      </c>
      <c r="B808" s="1774" t="s">
        <v>16</v>
      </c>
      <c r="C808" s="1774" t="s">
        <v>3243</v>
      </c>
      <c r="D808" s="1774" t="s">
        <v>3244</v>
      </c>
      <c r="E808" s="1774" t="s">
        <v>3245</v>
      </c>
      <c r="F808" s="1774" t="s">
        <v>2450</v>
      </c>
      <c r="G808" s="1774" t="s">
        <v>22</v>
      </c>
      <c r="H808" s="1774" t="s">
        <v>22</v>
      </c>
      <c r="I808" s="1774" t="s">
        <v>853</v>
      </c>
    </row>
    <row r="809" spans="1:9" ht="11.25" customHeight="1">
      <c r="A809" s="1774" t="s">
        <v>2245</v>
      </c>
      <c r="B809" s="1774" t="s">
        <v>16</v>
      </c>
      <c r="C809" s="1774" t="s">
        <v>3946</v>
      </c>
      <c r="D809" s="1774" t="s">
        <v>3947</v>
      </c>
      <c r="E809" s="1774" t="s">
        <v>3948</v>
      </c>
      <c r="F809" s="1774" t="s">
        <v>3010</v>
      </c>
      <c r="G809" s="1774" t="s">
        <v>3949</v>
      </c>
      <c r="H809" s="1774" t="s">
        <v>3447</v>
      </c>
      <c r="I809" s="1774" t="s">
        <v>853</v>
      </c>
    </row>
    <row r="810" spans="1:9" ht="11.25" customHeight="1">
      <c r="A810" s="1774" t="s">
        <v>2245</v>
      </c>
      <c r="B810" s="1774" t="s">
        <v>16</v>
      </c>
      <c r="C810" s="1774" t="s">
        <v>3306</v>
      </c>
      <c r="D810" s="1774" t="s">
        <v>3307</v>
      </c>
      <c r="E810" s="1774" t="s">
        <v>3308</v>
      </c>
      <c r="F810" s="1774" t="s">
        <v>3309</v>
      </c>
      <c r="G810" s="1774" t="s">
        <v>22</v>
      </c>
      <c r="H810" s="1774" t="s">
        <v>22</v>
      </c>
      <c r="I810" s="1774" t="s">
        <v>853</v>
      </c>
    </row>
    <row r="811" spans="1:9" ht="11.25" customHeight="1">
      <c r="A811" s="1774" t="s">
        <v>2245</v>
      </c>
      <c r="B811" s="1774" t="s">
        <v>16</v>
      </c>
      <c r="C811" s="1774" t="s">
        <v>3950</v>
      </c>
      <c r="D811" s="1774" t="s">
        <v>3951</v>
      </c>
      <c r="E811" s="1774" t="s">
        <v>3952</v>
      </c>
      <c r="F811" s="1774" t="s">
        <v>2306</v>
      </c>
      <c r="G811" s="1774" t="s">
        <v>22</v>
      </c>
      <c r="H811" s="1774" t="s">
        <v>22</v>
      </c>
      <c r="I811" s="1774" t="s">
        <v>853</v>
      </c>
    </row>
    <row r="812" spans="1:9" ht="11.25" customHeight="1">
      <c r="A812" s="1774" t="s">
        <v>2245</v>
      </c>
      <c r="B812" s="1774" t="s">
        <v>16</v>
      </c>
      <c r="C812" s="1774" t="s">
        <v>3953</v>
      </c>
      <c r="D812" s="1774" t="s">
        <v>3954</v>
      </c>
      <c r="E812" s="1774" t="s">
        <v>3955</v>
      </c>
      <c r="F812" s="1774" t="s">
        <v>2270</v>
      </c>
      <c r="G812" s="1774" t="s">
        <v>22</v>
      </c>
      <c r="H812" s="1774" t="s">
        <v>22</v>
      </c>
      <c r="I812" s="1774" t="s">
        <v>853</v>
      </c>
    </row>
    <row r="813" spans="1:9" ht="11.25" customHeight="1">
      <c r="A813" s="1774" t="s">
        <v>2245</v>
      </c>
      <c r="B813" s="1774" t="s">
        <v>16</v>
      </c>
      <c r="C813" s="1774" t="s">
        <v>3956</v>
      </c>
      <c r="D813" s="1774" t="s">
        <v>3957</v>
      </c>
      <c r="E813" s="1774" t="s">
        <v>3958</v>
      </c>
      <c r="F813" s="1774" t="s">
        <v>3301</v>
      </c>
      <c r="G813" s="1774" t="s">
        <v>22</v>
      </c>
      <c r="H813" s="1774" t="s">
        <v>22</v>
      </c>
      <c r="I813" s="1774" t="s">
        <v>853</v>
      </c>
    </row>
    <row r="814" spans="1:9" ht="11.25" customHeight="1">
      <c r="A814" s="1774" t="s">
        <v>2245</v>
      </c>
      <c r="B814" s="1774" t="s">
        <v>16</v>
      </c>
      <c r="C814" s="1774" t="s">
        <v>3959</v>
      </c>
      <c r="D814" s="1774" t="s">
        <v>3960</v>
      </c>
      <c r="E814" s="1774" t="s">
        <v>3961</v>
      </c>
      <c r="F814" s="1774" t="s">
        <v>2313</v>
      </c>
      <c r="G814" s="1774" t="s">
        <v>3962</v>
      </c>
      <c r="H814" s="1774" t="s">
        <v>22</v>
      </c>
      <c r="I814" s="1774" t="s">
        <v>853</v>
      </c>
    </row>
    <row r="815" spans="1:9" ht="11.25" customHeight="1">
      <c r="A815" s="1774" t="s">
        <v>2245</v>
      </c>
      <c r="B815" s="1774" t="s">
        <v>16</v>
      </c>
      <c r="C815" s="1774" t="s">
        <v>3963</v>
      </c>
      <c r="D815" s="1774" t="s">
        <v>3964</v>
      </c>
      <c r="E815" s="1774" t="s">
        <v>3965</v>
      </c>
      <c r="F815" s="1774" t="s">
        <v>2313</v>
      </c>
      <c r="G815" s="1774" t="s">
        <v>22</v>
      </c>
      <c r="H815" s="1774" t="s">
        <v>22</v>
      </c>
      <c r="I815" s="1774" t="s">
        <v>853</v>
      </c>
    </row>
    <row r="816" spans="1:9" ht="11.25" customHeight="1">
      <c r="A816" s="1774" t="s">
        <v>2245</v>
      </c>
      <c r="B816" s="1774" t="s">
        <v>16</v>
      </c>
      <c r="C816" s="1774" t="s">
        <v>3966</v>
      </c>
      <c r="D816" s="1774" t="s">
        <v>3967</v>
      </c>
      <c r="E816" s="1774" t="s">
        <v>3968</v>
      </c>
      <c r="F816" s="1774" t="s">
        <v>2816</v>
      </c>
      <c r="G816" s="1774" t="s">
        <v>3969</v>
      </c>
      <c r="H816" s="1774" t="s">
        <v>22</v>
      </c>
      <c r="I816" s="1774" t="s">
        <v>853</v>
      </c>
    </row>
    <row r="817" spans="1:9" ht="11.25" customHeight="1">
      <c r="A817" s="1774" t="s">
        <v>2245</v>
      </c>
      <c r="B817" s="1774" t="s">
        <v>16</v>
      </c>
      <c r="C817" s="1774" t="s">
        <v>3327</v>
      </c>
      <c r="D817" s="1774" t="s">
        <v>3328</v>
      </c>
      <c r="E817" s="1774" t="s">
        <v>3329</v>
      </c>
      <c r="F817" s="1774" t="s">
        <v>2306</v>
      </c>
      <c r="G817" s="1774" t="s">
        <v>22</v>
      </c>
      <c r="H817" s="1774" t="s">
        <v>22</v>
      </c>
      <c r="I817" s="1774" t="s">
        <v>853</v>
      </c>
    </row>
    <row r="818" spans="1:9" ht="11.25" customHeight="1">
      <c r="A818" s="1774" t="s">
        <v>2245</v>
      </c>
      <c r="B818" s="1774" t="s">
        <v>16</v>
      </c>
      <c r="C818" s="1774" t="s">
        <v>3330</v>
      </c>
      <c r="D818" s="1774" t="s">
        <v>3331</v>
      </c>
      <c r="E818" s="1774" t="s">
        <v>3332</v>
      </c>
      <c r="F818" s="1774" t="s">
        <v>2508</v>
      </c>
      <c r="G818" s="1774" t="s">
        <v>22</v>
      </c>
      <c r="H818" s="1774" t="s">
        <v>22</v>
      </c>
      <c r="I818" s="1774" t="s">
        <v>853</v>
      </c>
    </row>
    <row r="819" spans="1:9" ht="11.25" customHeight="1">
      <c r="A819" s="1774" t="s">
        <v>2245</v>
      </c>
      <c r="B819" s="1774" t="s">
        <v>16</v>
      </c>
      <c r="C819" s="1774" t="s">
        <v>3353</v>
      </c>
      <c r="D819" s="1774" t="s">
        <v>3354</v>
      </c>
      <c r="E819" s="1774" t="s">
        <v>3355</v>
      </c>
      <c r="F819" s="1774" t="s">
        <v>2686</v>
      </c>
      <c r="G819" s="1774" t="s">
        <v>3356</v>
      </c>
      <c r="H819" s="1774" t="s">
        <v>22</v>
      </c>
      <c r="I819" s="1774" t="s">
        <v>853</v>
      </c>
    </row>
    <row r="820" spans="1:9" ht="11.25" customHeight="1">
      <c r="A820" s="1774" t="s">
        <v>2245</v>
      </c>
      <c r="B820" s="1774" t="s">
        <v>16</v>
      </c>
      <c r="C820" s="1774" t="s">
        <v>3970</v>
      </c>
      <c r="D820" s="1774" t="s">
        <v>3971</v>
      </c>
      <c r="E820" s="1774" t="s">
        <v>3972</v>
      </c>
      <c r="F820" s="1774" t="s">
        <v>2704</v>
      </c>
      <c r="G820" s="1774" t="s">
        <v>22</v>
      </c>
      <c r="H820" s="1774" t="s">
        <v>22</v>
      </c>
      <c r="I820" s="1774" t="s">
        <v>853</v>
      </c>
    </row>
    <row r="821" spans="1:9" ht="11.25" customHeight="1">
      <c r="A821" s="1774" t="s">
        <v>2245</v>
      </c>
      <c r="B821" s="1774" t="s">
        <v>16</v>
      </c>
      <c r="C821" s="1774" t="s">
        <v>3369</v>
      </c>
      <c r="D821" s="1774" t="s">
        <v>3370</v>
      </c>
      <c r="E821" s="1774" t="s">
        <v>3371</v>
      </c>
      <c r="F821" s="1774" t="s">
        <v>2450</v>
      </c>
      <c r="G821" s="1774" t="s">
        <v>22</v>
      </c>
      <c r="H821" s="1774" t="s">
        <v>22</v>
      </c>
      <c r="I821" s="1774" t="s">
        <v>853</v>
      </c>
    </row>
    <row r="822" spans="1:9" ht="11.25" customHeight="1">
      <c r="A822" s="1774" t="s">
        <v>2245</v>
      </c>
      <c r="B822" s="1774" t="s">
        <v>16</v>
      </c>
      <c r="C822" s="1774" t="s">
        <v>3372</v>
      </c>
      <c r="D822" s="1774" t="s">
        <v>3373</v>
      </c>
      <c r="E822" s="1774" t="s">
        <v>3374</v>
      </c>
      <c r="F822" s="1774" t="s">
        <v>2317</v>
      </c>
      <c r="G822" s="1774" t="s">
        <v>22</v>
      </c>
      <c r="H822" s="1774" t="s">
        <v>22</v>
      </c>
      <c r="I822" s="1774" t="s">
        <v>853</v>
      </c>
    </row>
    <row r="823" spans="1:9" ht="11.25" customHeight="1">
      <c r="A823" s="1774" t="s">
        <v>2245</v>
      </c>
      <c r="B823" s="1774" t="s">
        <v>16</v>
      </c>
      <c r="C823" s="1774" t="s">
        <v>3396</v>
      </c>
      <c r="D823" s="1774" t="s">
        <v>3397</v>
      </c>
      <c r="E823" s="1774" t="s">
        <v>3398</v>
      </c>
      <c r="F823" s="1774" t="s">
        <v>2298</v>
      </c>
      <c r="G823" s="1774" t="s">
        <v>22</v>
      </c>
      <c r="H823" s="1774" t="s">
        <v>22</v>
      </c>
      <c r="I823" s="1774" t="s">
        <v>853</v>
      </c>
    </row>
    <row r="824" spans="1:9" ht="11.25" customHeight="1">
      <c r="A824" s="1774" t="s">
        <v>2245</v>
      </c>
      <c r="B824" s="1774" t="s">
        <v>16</v>
      </c>
      <c r="C824" s="1774" t="s">
        <v>3973</v>
      </c>
      <c r="D824" s="1774" t="s">
        <v>3974</v>
      </c>
      <c r="E824" s="1774" t="s">
        <v>3975</v>
      </c>
      <c r="F824" s="1774" t="s">
        <v>2313</v>
      </c>
      <c r="G824" s="1774" t="s">
        <v>22</v>
      </c>
      <c r="H824" s="1774" t="s">
        <v>22</v>
      </c>
      <c r="I824" s="1774" t="s">
        <v>853</v>
      </c>
    </row>
    <row r="825" spans="1:9" ht="11.25" customHeight="1">
      <c r="A825" s="1774" t="s">
        <v>2245</v>
      </c>
      <c r="B825" s="1774" t="s">
        <v>16</v>
      </c>
      <c r="C825" s="1774" t="s">
        <v>3408</v>
      </c>
      <c r="D825" s="1774" t="s">
        <v>3409</v>
      </c>
      <c r="E825" s="1774" t="s">
        <v>3410</v>
      </c>
      <c r="F825" s="1774" t="s">
        <v>2317</v>
      </c>
      <c r="G825" s="1774" t="s">
        <v>22</v>
      </c>
      <c r="H825" s="1774" t="s">
        <v>22</v>
      </c>
      <c r="I825" s="1774" t="s">
        <v>853</v>
      </c>
    </row>
    <row r="826" spans="1:9" ht="11.25" customHeight="1">
      <c r="A826" s="1774" t="s">
        <v>2245</v>
      </c>
      <c r="B826" s="1774" t="s">
        <v>16</v>
      </c>
      <c r="C826" s="1774" t="s">
        <v>3434</v>
      </c>
      <c r="D826" s="1774" t="s">
        <v>3435</v>
      </c>
      <c r="E826" s="1774" t="s">
        <v>3436</v>
      </c>
      <c r="F826" s="1774" t="s">
        <v>2280</v>
      </c>
      <c r="G826" s="1774" t="s">
        <v>22</v>
      </c>
      <c r="H826" s="1774" t="s">
        <v>22</v>
      </c>
      <c r="I826" s="1774" t="s">
        <v>853</v>
      </c>
    </row>
    <row r="827" spans="1:9" ht="11.25" customHeight="1">
      <c r="A827" s="1774" t="s">
        <v>2245</v>
      </c>
      <c r="B827" s="1774" t="s">
        <v>16</v>
      </c>
      <c r="C827" s="1774" t="s">
        <v>3976</v>
      </c>
      <c r="D827" s="1774" t="s">
        <v>3977</v>
      </c>
      <c r="E827" s="1774" t="s">
        <v>3978</v>
      </c>
      <c r="F827" s="1774" t="s">
        <v>2535</v>
      </c>
      <c r="G827" s="1774" t="s">
        <v>22</v>
      </c>
      <c r="H827" s="1774" t="s">
        <v>22</v>
      </c>
      <c r="I827" s="1774" t="s">
        <v>853</v>
      </c>
    </row>
    <row r="828" spans="1:9" ht="11.25" customHeight="1">
      <c r="A828" s="1774" t="s">
        <v>2245</v>
      </c>
      <c r="B828" s="1774" t="s">
        <v>16</v>
      </c>
      <c r="C828" s="1774" t="s">
        <v>3979</v>
      </c>
      <c r="D828" s="1774" t="s">
        <v>3980</v>
      </c>
      <c r="E828" s="1774" t="s">
        <v>3981</v>
      </c>
      <c r="F828" s="1774" t="s">
        <v>2519</v>
      </c>
      <c r="G828" s="1774" t="s">
        <v>22</v>
      </c>
      <c r="H828" s="1774" t="s">
        <v>22</v>
      </c>
      <c r="I828" s="1774" t="s">
        <v>853</v>
      </c>
    </row>
    <row r="829" spans="1:9" ht="11.25" customHeight="1">
      <c r="A829" s="1774" t="s">
        <v>2245</v>
      </c>
      <c r="B829" s="1774" t="s">
        <v>16</v>
      </c>
      <c r="C829" s="1774" t="s">
        <v>3982</v>
      </c>
      <c r="D829" s="1774" t="s">
        <v>3983</v>
      </c>
      <c r="E829" s="1774" t="s">
        <v>3984</v>
      </c>
      <c r="F829" s="1774" t="s">
        <v>2542</v>
      </c>
      <c r="G829" s="1774" t="s">
        <v>22</v>
      </c>
      <c r="H829" s="1774" t="s">
        <v>22</v>
      </c>
      <c r="I829" s="1774" t="s">
        <v>853</v>
      </c>
    </row>
    <row r="830" spans="1:9" ht="11.25" customHeight="1">
      <c r="A830" s="1774" t="s">
        <v>2245</v>
      </c>
      <c r="B830" s="1774" t="s">
        <v>16</v>
      </c>
      <c r="C830" s="1774" t="s">
        <v>3985</v>
      </c>
      <c r="D830" s="1774" t="s">
        <v>3986</v>
      </c>
      <c r="E830" s="1774" t="s">
        <v>3987</v>
      </c>
      <c r="F830" s="1774" t="s">
        <v>2313</v>
      </c>
      <c r="G830" s="1774" t="s">
        <v>22</v>
      </c>
      <c r="H830" s="1774" t="s">
        <v>22</v>
      </c>
      <c r="I830" s="1774" t="s">
        <v>853</v>
      </c>
    </row>
    <row r="831" spans="1:9" ht="11.25" customHeight="1">
      <c r="A831" s="1774" t="s">
        <v>2245</v>
      </c>
      <c r="B831" s="1774" t="s">
        <v>16</v>
      </c>
      <c r="C831" s="1774" t="s">
        <v>3988</v>
      </c>
      <c r="D831" s="1774" t="s">
        <v>3989</v>
      </c>
      <c r="E831" s="1774" t="s">
        <v>3990</v>
      </c>
      <c r="F831" s="1774" t="s">
        <v>51</v>
      </c>
      <c r="G831" s="1774" t="s">
        <v>22</v>
      </c>
      <c r="H831" s="1774" t="s">
        <v>22</v>
      </c>
      <c r="I831" s="1774" t="s">
        <v>853</v>
      </c>
    </row>
    <row r="832" spans="1:9" ht="11.25" customHeight="1">
      <c r="A832" s="1774" t="s">
        <v>2245</v>
      </c>
      <c r="B832" s="1774" t="s">
        <v>16</v>
      </c>
      <c r="C832" s="1774" t="s">
        <v>3991</v>
      </c>
      <c r="D832" s="1774" t="s">
        <v>3992</v>
      </c>
      <c r="E832" s="1774" t="s">
        <v>3993</v>
      </c>
      <c r="F832" s="1774" t="s">
        <v>2964</v>
      </c>
      <c r="G832" s="1774" t="s">
        <v>22</v>
      </c>
      <c r="H832" s="1774" t="s">
        <v>22</v>
      </c>
      <c r="I832" s="1774" t="s">
        <v>853</v>
      </c>
    </row>
    <row r="833" spans="1:9" ht="11.25" customHeight="1">
      <c r="A833" s="1774" t="s">
        <v>2245</v>
      </c>
      <c r="B833" s="1774" t="s">
        <v>16</v>
      </c>
      <c r="C833" s="1774" t="s">
        <v>3994</v>
      </c>
      <c r="D833" s="1774" t="s">
        <v>3995</v>
      </c>
      <c r="E833" s="1774" t="s">
        <v>3996</v>
      </c>
      <c r="F833" s="1774" t="s">
        <v>2535</v>
      </c>
      <c r="G833" s="1774" t="s">
        <v>22</v>
      </c>
      <c r="H833" s="1774" t="s">
        <v>22</v>
      </c>
      <c r="I833" s="1774" t="s">
        <v>853</v>
      </c>
    </row>
    <row r="834" spans="1:9" ht="11.25" customHeight="1">
      <c r="A834" s="1774" t="s">
        <v>2245</v>
      </c>
      <c r="B834" s="1774" t="s">
        <v>16</v>
      </c>
      <c r="C834" s="1774" t="s">
        <v>3997</v>
      </c>
      <c r="D834" s="1774" t="s">
        <v>3998</v>
      </c>
      <c r="E834" s="1774" t="s">
        <v>3999</v>
      </c>
      <c r="F834" s="1774" t="s">
        <v>2646</v>
      </c>
      <c r="G834" s="1774" t="s">
        <v>22</v>
      </c>
      <c r="H834" s="1774" t="s">
        <v>22</v>
      </c>
      <c r="I834" s="1774" t="s">
        <v>853</v>
      </c>
    </row>
    <row r="835" spans="1:9" ht="11.25" customHeight="1">
      <c r="A835" s="1774" t="s">
        <v>2245</v>
      </c>
      <c r="B835" s="1774" t="s">
        <v>16</v>
      </c>
      <c r="C835" s="1774" t="s">
        <v>3554</v>
      </c>
      <c r="D835" s="1774" t="s">
        <v>3555</v>
      </c>
      <c r="E835" s="1774" t="s">
        <v>2301</v>
      </c>
      <c r="F835" s="1774" t="s">
        <v>3556</v>
      </c>
      <c r="G835" s="1774" t="s">
        <v>22</v>
      </c>
      <c r="H835" s="1774" t="s">
        <v>22</v>
      </c>
      <c r="I835" s="1774" t="s">
        <v>853</v>
      </c>
    </row>
    <row r="836" spans="1:9" ht="11.25" customHeight="1">
      <c r="A836" s="1774" t="s">
        <v>2245</v>
      </c>
      <c r="B836" s="1774" t="s">
        <v>16</v>
      </c>
      <c r="C836" s="1774" t="s">
        <v>4000</v>
      </c>
      <c r="D836" s="1774" t="s">
        <v>4001</v>
      </c>
      <c r="E836" s="1774" t="s">
        <v>4002</v>
      </c>
      <c r="F836" s="1774" t="s">
        <v>2535</v>
      </c>
      <c r="G836" s="1774" t="s">
        <v>22</v>
      </c>
      <c r="H836" s="1774" t="s">
        <v>22</v>
      </c>
      <c r="I836" s="1774" t="s">
        <v>853</v>
      </c>
    </row>
    <row r="837" spans="1:9" ht="11.25" customHeight="1">
      <c r="A837" s="1774" t="s">
        <v>2245</v>
      </c>
      <c r="B837" s="1774" t="s">
        <v>16</v>
      </c>
      <c r="C837" s="1774" t="s">
        <v>3561</v>
      </c>
      <c r="D837" s="1774" t="s">
        <v>3562</v>
      </c>
      <c r="E837" s="1774" t="s">
        <v>3563</v>
      </c>
      <c r="F837" s="1774" t="s">
        <v>2686</v>
      </c>
      <c r="G837" s="1774" t="s">
        <v>22</v>
      </c>
      <c r="H837" s="1774" t="s">
        <v>22</v>
      </c>
      <c r="I837" s="1774" t="s">
        <v>853</v>
      </c>
    </row>
    <row r="838" spans="1:9" ht="11.25" customHeight="1">
      <c r="A838" s="1774" t="s">
        <v>2245</v>
      </c>
      <c r="B838" s="1774" t="s">
        <v>16</v>
      </c>
      <c r="C838" s="1774" t="s">
        <v>3564</v>
      </c>
      <c r="D838" s="1774" t="s">
        <v>3565</v>
      </c>
      <c r="E838" s="1774" t="s">
        <v>3566</v>
      </c>
      <c r="F838" s="1774" t="s">
        <v>2327</v>
      </c>
      <c r="G838" s="1774" t="s">
        <v>22</v>
      </c>
      <c r="H838" s="1774" t="s">
        <v>22</v>
      </c>
      <c r="I838" s="1774" t="s">
        <v>853</v>
      </c>
    </row>
    <row r="839" spans="1:9" ht="11.25" customHeight="1">
      <c r="A839" s="1774" t="s">
        <v>2245</v>
      </c>
      <c r="B839" s="1774" t="s">
        <v>16</v>
      </c>
      <c r="C839" s="1774" t="s">
        <v>3567</v>
      </c>
      <c r="D839" s="1774" t="s">
        <v>3568</v>
      </c>
      <c r="E839" s="1774" t="s">
        <v>3569</v>
      </c>
      <c r="F839" s="1774" t="s">
        <v>2306</v>
      </c>
      <c r="G839" s="1774" t="s">
        <v>22</v>
      </c>
      <c r="H839" s="1774" t="s">
        <v>22</v>
      </c>
      <c r="I839" s="1774" t="s">
        <v>853</v>
      </c>
    </row>
    <row r="840" spans="1:9" ht="11.25" customHeight="1">
      <c r="A840" s="1774" t="s">
        <v>2245</v>
      </c>
      <c r="B840" s="1774" t="s">
        <v>16</v>
      </c>
      <c r="C840" s="1774" t="s">
        <v>3574</v>
      </c>
      <c r="D840" s="1774" t="s">
        <v>3575</v>
      </c>
      <c r="E840" s="1774" t="s">
        <v>3576</v>
      </c>
      <c r="F840" s="1774" t="s">
        <v>2436</v>
      </c>
      <c r="G840" s="1774" t="s">
        <v>22</v>
      </c>
      <c r="H840" s="1774" t="s">
        <v>22</v>
      </c>
      <c r="I840" s="1774" t="s">
        <v>853</v>
      </c>
    </row>
    <row r="841" spans="1:9" ht="11.25" customHeight="1">
      <c r="A841" s="1774" t="s">
        <v>2245</v>
      </c>
      <c r="B841" s="1774" t="s">
        <v>16</v>
      </c>
      <c r="C841" s="1774" t="s">
        <v>3586</v>
      </c>
      <c r="D841" s="1774" t="s">
        <v>3587</v>
      </c>
      <c r="E841" s="1774" t="s">
        <v>3588</v>
      </c>
      <c r="F841" s="1774" t="s">
        <v>2766</v>
      </c>
      <c r="G841" s="1774" t="s">
        <v>22</v>
      </c>
      <c r="H841" s="1774" t="s">
        <v>22</v>
      </c>
      <c r="I841" s="1774" t="s">
        <v>853</v>
      </c>
    </row>
    <row r="842" spans="1:9" ht="11.25" customHeight="1">
      <c r="A842" s="1774" t="s">
        <v>2245</v>
      </c>
      <c r="B842" s="1774" t="s">
        <v>16</v>
      </c>
      <c r="C842" s="1774" t="s">
        <v>3595</v>
      </c>
      <c r="D842" s="1774" t="s">
        <v>3596</v>
      </c>
      <c r="E842" s="1774" t="s">
        <v>3597</v>
      </c>
      <c r="F842" s="1774" t="s">
        <v>2450</v>
      </c>
      <c r="G842" s="1774" t="s">
        <v>22</v>
      </c>
      <c r="H842" s="1774" t="s">
        <v>22</v>
      </c>
      <c r="I842" s="1774" t="s">
        <v>853</v>
      </c>
    </row>
    <row r="843" spans="1:9" ht="11.25" customHeight="1">
      <c r="A843" s="1774" t="s">
        <v>2245</v>
      </c>
      <c r="B843" s="1774" t="s">
        <v>16</v>
      </c>
      <c r="C843" s="1774" t="s">
        <v>3598</v>
      </c>
      <c r="D843" s="1774" t="s">
        <v>3599</v>
      </c>
      <c r="E843" s="1774" t="s">
        <v>3600</v>
      </c>
      <c r="F843" s="1774" t="s">
        <v>2697</v>
      </c>
      <c r="G843" s="1774" t="s">
        <v>22</v>
      </c>
      <c r="H843" s="1774" t="s">
        <v>22</v>
      </c>
      <c r="I843" s="1774" t="s">
        <v>853</v>
      </c>
    </row>
    <row r="844" spans="1:9" ht="11.25" customHeight="1">
      <c r="A844" s="1774" t="s">
        <v>2245</v>
      </c>
      <c r="B844" s="1774" t="s">
        <v>16</v>
      </c>
      <c r="C844" s="1774" t="s">
        <v>22</v>
      </c>
      <c r="D844" s="1774" t="s">
        <v>3601</v>
      </c>
      <c r="E844" s="1774" t="s">
        <v>3602</v>
      </c>
      <c r="F844" s="1774" t="s">
        <v>2253</v>
      </c>
      <c r="G844" s="1774" t="s">
        <v>22</v>
      </c>
      <c r="H844" s="1774" t="s">
        <v>22</v>
      </c>
      <c r="I844" s="1774" t="s">
        <v>853</v>
      </c>
    </row>
    <row r="845" spans="1:9" ht="11.25" customHeight="1">
      <c r="A845" s="1774" t="s">
        <v>2245</v>
      </c>
      <c r="B845" s="1774" t="s">
        <v>16</v>
      </c>
      <c r="C845" s="1774" t="s">
        <v>4003</v>
      </c>
      <c r="D845" s="1774" t="s">
        <v>4004</v>
      </c>
      <c r="E845" s="1774" t="s">
        <v>4005</v>
      </c>
      <c r="F845" s="1774" t="s">
        <v>2892</v>
      </c>
      <c r="G845" s="1774" t="s">
        <v>22</v>
      </c>
      <c r="H845" s="1774" t="s">
        <v>22</v>
      </c>
      <c r="I845" s="1774" t="s">
        <v>853</v>
      </c>
    </row>
    <row r="846" spans="1:9" ht="11.25" customHeight="1">
      <c r="A846" s="1774" t="s">
        <v>2245</v>
      </c>
      <c r="B846" s="1774" t="s">
        <v>16</v>
      </c>
      <c r="C846" s="1774" t="s">
        <v>3603</v>
      </c>
      <c r="D846" s="1774" t="s">
        <v>3604</v>
      </c>
      <c r="E846" s="1774" t="s">
        <v>3605</v>
      </c>
      <c r="F846" s="1774" t="s">
        <v>2932</v>
      </c>
      <c r="G846" s="1774" t="s">
        <v>22</v>
      </c>
      <c r="H846" s="1774" t="s">
        <v>22</v>
      </c>
      <c r="I846" s="1774" t="s">
        <v>853</v>
      </c>
    </row>
    <row r="847" spans="1:9" ht="11.25" customHeight="1">
      <c r="A847" s="1774" t="s">
        <v>2245</v>
      </c>
      <c r="B847" s="1774" t="s">
        <v>16</v>
      </c>
      <c r="C847" s="1774" t="s">
        <v>3606</v>
      </c>
      <c r="D847" s="1774" t="s">
        <v>3607</v>
      </c>
      <c r="E847" s="1774" t="s">
        <v>3608</v>
      </c>
      <c r="F847" s="1774" t="s">
        <v>2496</v>
      </c>
      <c r="G847" s="1774" t="s">
        <v>3609</v>
      </c>
      <c r="H847" s="1774" t="s">
        <v>22</v>
      </c>
      <c r="I847" s="1774" t="s">
        <v>853</v>
      </c>
    </row>
    <row r="848" spans="1:9" ht="11.25" customHeight="1">
      <c r="A848" s="1774" t="s">
        <v>2245</v>
      </c>
      <c r="B848" s="1774" t="s">
        <v>16</v>
      </c>
      <c r="C848" s="1774" t="s">
        <v>4006</v>
      </c>
      <c r="D848" s="1774" t="s">
        <v>4007</v>
      </c>
      <c r="E848" s="1774" t="s">
        <v>4008</v>
      </c>
      <c r="F848" s="1774" t="s">
        <v>2697</v>
      </c>
      <c r="G848" s="1774" t="s">
        <v>22</v>
      </c>
      <c r="H848" s="1774" t="s">
        <v>22</v>
      </c>
      <c r="I848" s="1774" t="s">
        <v>853</v>
      </c>
    </row>
    <row r="849" spans="1:9" ht="11.25" customHeight="1">
      <c r="A849" s="1774" t="s">
        <v>2245</v>
      </c>
      <c r="B849" s="1774" t="s">
        <v>16</v>
      </c>
      <c r="C849" s="1774" t="s">
        <v>3610</v>
      </c>
      <c r="D849" s="1774" t="s">
        <v>3611</v>
      </c>
      <c r="E849" s="1774" t="s">
        <v>3612</v>
      </c>
      <c r="F849" s="1774" t="s">
        <v>2496</v>
      </c>
      <c r="G849" s="1774" t="s">
        <v>22</v>
      </c>
      <c r="H849" s="1774" t="s">
        <v>22</v>
      </c>
      <c r="I849" s="1774" t="s">
        <v>853</v>
      </c>
    </row>
    <row r="850" spans="1:9" ht="11.25" customHeight="1">
      <c r="A850" s="1774" t="s">
        <v>2245</v>
      </c>
      <c r="B850" s="1774" t="s">
        <v>16</v>
      </c>
      <c r="C850" s="1774" t="s">
        <v>4009</v>
      </c>
      <c r="D850" s="1774" t="s">
        <v>4010</v>
      </c>
      <c r="E850" s="1774" t="s">
        <v>4011</v>
      </c>
      <c r="F850" s="1774" t="s">
        <v>3073</v>
      </c>
      <c r="G850" s="1774" t="s">
        <v>22</v>
      </c>
      <c r="H850" s="1774" t="s">
        <v>22</v>
      </c>
      <c r="I850" s="1774" t="s">
        <v>853</v>
      </c>
    </row>
    <row r="851" spans="1:9" ht="11.25" customHeight="1">
      <c r="A851" s="1774" t="s">
        <v>2245</v>
      </c>
      <c r="B851" s="1774" t="s">
        <v>16</v>
      </c>
      <c r="C851" s="1774" t="s">
        <v>3622</v>
      </c>
      <c r="D851" s="1774" t="s">
        <v>3623</v>
      </c>
      <c r="E851" s="1774" t="s">
        <v>3624</v>
      </c>
      <c r="F851" s="1774" t="s">
        <v>3556</v>
      </c>
      <c r="G851" s="1774" t="s">
        <v>22</v>
      </c>
      <c r="H851" s="1774" t="s">
        <v>22</v>
      </c>
      <c r="I851" s="1774" t="s">
        <v>853</v>
      </c>
    </row>
    <row r="852" spans="1:9" ht="11.25" customHeight="1">
      <c r="A852" s="1774" t="s">
        <v>2245</v>
      </c>
      <c r="B852" s="1774" t="s">
        <v>16</v>
      </c>
      <c r="C852" s="1774" t="s">
        <v>3625</v>
      </c>
      <c r="D852" s="1774" t="s">
        <v>3623</v>
      </c>
      <c r="E852" s="1774" t="s">
        <v>3624</v>
      </c>
      <c r="F852" s="1774" t="s">
        <v>2432</v>
      </c>
      <c r="G852" s="1774" t="s">
        <v>22</v>
      </c>
      <c r="H852" s="1774" t="s">
        <v>22</v>
      </c>
      <c r="I852" s="1774" t="s">
        <v>853</v>
      </c>
    </row>
    <row r="853" spans="1:9" ht="11.25" customHeight="1">
      <c r="A853" s="1774" t="s">
        <v>2245</v>
      </c>
      <c r="B853" s="1774" t="s">
        <v>16</v>
      </c>
      <c r="C853" s="1774" t="s">
        <v>4012</v>
      </c>
      <c r="D853" s="1774" t="s">
        <v>4013</v>
      </c>
      <c r="E853" s="1774" t="s">
        <v>4014</v>
      </c>
      <c r="F853" s="1774" t="s">
        <v>2298</v>
      </c>
      <c r="G853" s="1774" t="s">
        <v>22</v>
      </c>
      <c r="H853" s="1774" t="s">
        <v>22</v>
      </c>
      <c r="I853" s="1774" t="s">
        <v>853</v>
      </c>
    </row>
    <row r="854" spans="1:9" ht="11.25" customHeight="1">
      <c r="A854" s="1774" t="s">
        <v>2245</v>
      </c>
      <c r="B854" s="1774" t="s">
        <v>16</v>
      </c>
      <c r="C854" s="1774" t="s">
        <v>4015</v>
      </c>
      <c r="D854" s="1774" t="s">
        <v>4016</v>
      </c>
      <c r="E854" s="1774" t="s">
        <v>4017</v>
      </c>
      <c r="F854" s="1774" t="s">
        <v>2964</v>
      </c>
      <c r="G854" s="1774" t="s">
        <v>22</v>
      </c>
      <c r="H854" s="1774" t="s">
        <v>22</v>
      </c>
      <c r="I854" s="1774" t="s">
        <v>853</v>
      </c>
    </row>
    <row r="855" spans="1:9" ht="11.25" customHeight="1">
      <c r="A855" s="1774" t="s">
        <v>2245</v>
      </c>
      <c r="B855" s="1774" t="s">
        <v>16</v>
      </c>
      <c r="C855" s="1774" t="s">
        <v>3633</v>
      </c>
      <c r="D855" s="1774" t="s">
        <v>3634</v>
      </c>
      <c r="E855" s="1774" t="s">
        <v>3635</v>
      </c>
      <c r="F855" s="1774" t="s">
        <v>2313</v>
      </c>
      <c r="G855" s="1774" t="s">
        <v>22</v>
      </c>
      <c r="H855" s="1774" t="s">
        <v>22</v>
      </c>
      <c r="I855" s="1774" t="s">
        <v>853</v>
      </c>
    </row>
    <row r="856" spans="1:9" ht="11.25" customHeight="1">
      <c r="A856" s="1774" t="s">
        <v>2245</v>
      </c>
      <c r="B856" s="1774" t="s">
        <v>16</v>
      </c>
      <c r="C856" s="1774" t="s">
        <v>3647</v>
      </c>
      <c r="D856" s="1774" t="s">
        <v>3648</v>
      </c>
      <c r="E856" s="1774" t="s">
        <v>3649</v>
      </c>
      <c r="F856" s="1774" t="s">
        <v>2708</v>
      </c>
      <c r="G856" s="1774" t="s">
        <v>22</v>
      </c>
      <c r="H856" s="1774" t="s">
        <v>22</v>
      </c>
      <c r="I856" s="1774" t="s">
        <v>853</v>
      </c>
    </row>
    <row r="857" spans="1:9" ht="11.25" customHeight="1">
      <c r="A857" s="1774" t="s">
        <v>2245</v>
      </c>
      <c r="B857" s="1774" t="s">
        <v>16</v>
      </c>
      <c r="C857" s="1774" t="s">
        <v>3653</v>
      </c>
      <c r="D857" s="1774" t="s">
        <v>3654</v>
      </c>
      <c r="E857" s="1774" t="s">
        <v>3655</v>
      </c>
      <c r="F857" s="1774" t="s">
        <v>2527</v>
      </c>
      <c r="G857" s="1774" t="s">
        <v>22</v>
      </c>
      <c r="H857" s="1774" t="s">
        <v>22</v>
      </c>
      <c r="I857" s="1774" t="s">
        <v>853</v>
      </c>
    </row>
    <row r="858" spans="1:9" ht="11.25" customHeight="1">
      <c r="A858" s="1774" t="s">
        <v>2245</v>
      </c>
      <c r="B858" s="1774" t="s">
        <v>16</v>
      </c>
      <c r="C858" s="1774" t="s">
        <v>3659</v>
      </c>
      <c r="D858" s="1774" t="s">
        <v>3660</v>
      </c>
      <c r="E858" s="1774" t="s">
        <v>3661</v>
      </c>
      <c r="F858" s="1774" t="s">
        <v>2638</v>
      </c>
      <c r="G858" s="1774" t="s">
        <v>3662</v>
      </c>
      <c r="H858" s="1774" t="s">
        <v>22</v>
      </c>
      <c r="I858" s="1774" t="s">
        <v>853</v>
      </c>
    </row>
    <row r="859" spans="1:9" ht="11.25" customHeight="1">
      <c r="A859" s="1774" t="s">
        <v>2245</v>
      </c>
      <c r="B859" s="1774" t="s">
        <v>16</v>
      </c>
      <c r="C859" s="1774" t="s">
        <v>3666</v>
      </c>
      <c r="D859" s="1774" t="s">
        <v>3667</v>
      </c>
      <c r="E859" s="1774" t="s">
        <v>3668</v>
      </c>
      <c r="F859" s="1774" t="s">
        <v>3305</v>
      </c>
      <c r="G859" s="1774" t="s">
        <v>22</v>
      </c>
      <c r="H859" s="1774" t="s">
        <v>22</v>
      </c>
      <c r="I859" s="1774" t="s">
        <v>853</v>
      </c>
    </row>
    <row r="860" spans="1:9" ht="11.25" customHeight="1">
      <c r="A860" s="1774" t="s">
        <v>2245</v>
      </c>
      <c r="B860" s="1774" t="s">
        <v>16</v>
      </c>
      <c r="C860" s="1774" t="s">
        <v>3679</v>
      </c>
      <c r="D860" s="1774" t="s">
        <v>3680</v>
      </c>
      <c r="E860" s="1774" t="s">
        <v>3681</v>
      </c>
      <c r="F860" s="1774" t="s">
        <v>3682</v>
      </c>
      <c r="G860" s="1774" t="s">
        <v>22</v>
      </c>
      <c r="H860" s="1774" t="s">
        <v>22</v>
      </c>
      <c r="I860" s="1774" t="s">
        <v>853</v>
      </c>
    </row>
    <row r="861" spans="1:9" ht="11.25" customHeight="1">
      <c r="A861" s="1774" t="s">
        <v>2245</v>
      </c>
      <c r="B861" s="1774" t="s">
        <v>16</v>
      </c>
      <c r="C861" s="1774" t="s">
        <v>3689</v>
      </c>
      <c r="D861" s="1774" t="s">
        <v>3690</v>
      </c>
      <c r="E861" s="1774" t="s">
        <v>3691</v>
      </c>
      <c r="F861" s="1774" t="s">
        <v>3692</v>
      </c>
      <c r="G861" s="1774" t="s">
        <v>22</v>
      </c>
      <c r="H861" s="1774" t="s">
        <v>22</v>
      </c>
      <c r="I861" s="1774" t="s">
        <v>906</v>
      </c>
    </row>
    <row r="862" spans="1:9" ht="11.25" customHeight="1">
      <c r="A862" s="1774" t="s">
        <v>2245</v>
      </c>
      <c r="B862" s="1774" t="s">
        <v>16</v>
      </c>
      <c r="C862" s="1774" t="s">
        <v>2277</v>
      </c>
      <c r="D862" s="1774" t="s">
        <v>2278</v>
      </c>
      <c r="E862" s="1774" t="s">
        <v>2279</v>
      </c>
      <c r="F862" s="1774" t="s">
        <v>2280</v>
      </c>
      <c r="G862" s="1774" t="s">
        <v>22</v>
      </c>
      <c r="H862" s="1774" t="s">
        <v>22</v>
      </c>
      <c r="I862" s="1774" t="s">
        <v>906</v>
      </c>
    </row>
    <row r="863" spans="1:9" ht="11.25" customHeight="1">
      <c r="A863" s="1774" t="s">
        <v>2245</v>
      </c>
      <c r="B863" s="1774" t="s">
        <v>16</v>
      </c>
      <c r="C863" s="1774" t="s">
        <v>3693</v>
      </c>
      <c r="D863" s="1774" t="s">
        <v>3694</v>
      </c>
      <c r="E863" s="1774" t="s">
        <v>3695</v>
      </c>
      <c r="F863" s="1774" t="s">
        <v>2280</v>
      </c>
      <c r="G863" s="1774" t="s">
        <v>22</v>
      </c>
      <c r="H863" s="1774" t="s">
        <v>22</v>
      </c>
      <c r="I863" s="1774" t="s">
        <v>906</v>
      </c>
    </row>
    <row r="864" spans="1:9" ht="11.25" customHeight="1">
      <c r="A864" s="1774" t="s">
        <v>2245</v>
      </c>
      <c r="B864" s="1774" t="s">
        <v>16</v>
      </c>
      <c r="C864" s="1774" t="s">
        <v>2281</v>
      </c>
      <c r="D864" s="1774" t="s">
        <v>2282</v>
      </c>
      <c r="E864" s="1774" t="s">
        <v>2283</v>
      </c>
      <c r="F864" s="1774" t="s">
        <v>2284</v>
      </c>
      <c r="G864" s="1774" t="s">
        <v>22</v>
      </c>
      <c r="H864" s="1774" t="s">
        <v>22</v>
      </c>
      <c r="I864" s="1774" t="s">
        <v>906</v>
      </c>
    </row>
    <row r="865" spans="1:9" ht="11.25" customHeight="1">
      <c r="A865" s="1774" t="s">
        <v>2245</v>
      </c>
      <c r="B865" s="1774" t="s">
        <v>16</v>
      </c>
      <c r="C865" s="1774" t="s">
        <v>3696</v>
      </c>
      <c r="D865" s="1774" t="s">
        <v>3697</v>
      </c>
      <c r="E865" s="1774" t="s">
        <v>3698</v>
      </c>
      <c r="F865" s="1774" t="s">
        <v>2284</v>
      </c>
      <c r="G865" s="1774" t="s">
        <v>22</v>
      </c>
      <c r="H865" s="1774" t="s">
        <v>22</v>
      </c>
      <c r="I865" s="1774" t="s">
        <v>906</v>
      </c>
    </row>
    <row r="866" spans="1:9" ht="11.25" customHeight="1">
      <c r="A866" s="1774" t="s">
        <v>2245</v>
      </c>
      <c r="B866" s="1774" t="s">
        <v>16</v>
      </c>
      <c r="C866" s="1774" t="s">
        <v>2295</v>
      </c>
      <c r="D866" s="1774" t="s">
        <v>2296</v>
      </c>
      <c r="E866" s="1774" t="s">
        <v>2297</v>
      </c>
      <c r="F866" s="1774" t="s">
        <v>2298</v>
      </c>
      <c r="G866" s="1774" t="s">
        <v>22</v>
      </c>
      <c r="H866" s="1774" t="s">
        <v>22</v>
      </c>
      <c r="I866" s="1774" t="s">
        <v>906</v>
      </c>
    </row>
    <row r="867" spans="1:9" ht="11.25" customHeight="1">
      <c r="A867" s="1774" t="s">
        <v>2245</v>
      </c>
      <c r="B867" s="1774" t="s">
        <v>16</v>
      </c>
      <c r="C867" s="1774" t="s">
        <v>3699</v>
      </c>
      <c r="D867" s="1774" t="s">
        <v>2300</v>
      </c>
      <c r="E867" s="1774" t="s">
        <v>2301</v>
      </c>
      <c r="F867" s="1774" t="s">
        <v>3700</v>
      </c>
      <c r="G867" s="1774" t="s">
        <v>3701</v>
      </c>
      <c r="H867" s="1774" t="s">
        <v>22</v>
      </c>
      <c r="I867" s="1774" t="s">
        <v>906</v>
      </c>
    </row>
    <row r="868" spans="1:9" ht="11.25" customHeight="1">
      <c r="A868" s="1774" t="s">
        <v>2245</v>
      </c>
      <c r="B868" s="1774" t="s">
        <v>16</v>
      </c>
      <c r="C868" s="1774" t="s">
        <v>3702</v>
      </c>
      <c r="D868" s="1774" t="s">
        <v>3703</v>
      </c>
      <c r="E868" s="1774" t="s">
        <v>3704</v>
      </c>
      <c r="F868" s="1774" t="s">
        <v>2313</v>
      </c>
      <c r="G868" s="1774" t="s">
        <v>22</v>
      </c>
      <c r="H868" s="1774" t="s">
        <v>22</v>
      </c>
      <c r="I868" s="1774" t="s">
        <v>906</v>
      </c>
    </row>
    <row r="869" spans="1:9" ht="11.25" customHeight="1">
      <c r="A869" s="1774" t="s">
        <v>2245</v>
      </c>
      <c r="B869" s="1774" t="s">
        <v>16</v>
      </c>
      <c r="C869" s="1774" t="s">
        <v>2307</v>
      </c>
      <c r="D869" s="1774" t="s">
        <v>2308</v>
      </c>
      <c r="E869" s="1774" t="s">
        <v>2309</v>
      </c>
      <c r="F869" s="1774" t="s">
        <v>2284</v>
      </c>
      <c r="G869" s="1774" t="s">
        <v>22</v>
      </c>
      <c r="H869" s="1774" t="s">
        <v>22</v>
      </c>
      <c r="I869" s="1774" t="s">
        <v>906</v>
      </c>
    </row>
    <row r="870" spans="1:9" ht="11.25" customHeight="1">
      <c r="A870" s="1774" t="s">
        <v>2245</v>
      </c>
      <c r="B870" s="1774" t="s">
        <v>16</v>
      </c>
      <c r="C870" s="1774" t="s">
        <v>2310</v>
      </c>
      <c r="D870" s="1774" t="s">
        <v>2311</v>
      </c>
      <c r="E870" s="1774" t="s">
        <v>2312</v>
      </c>
      <c r="F870" s="1774" t="s">
        <v>2313</v>
      </c>
      <c r="G870" s="1774" t="s">
        <v>22</v>
      </c>
      <c r="H870" s="1774" t="s">
        <v>22</v>
      </c>
      <c r="I870" s="1774" t="s">
        <v>906</v>
      </c>
    </row>
    <row r="871" spans="1:9" ht="11.25" customHeight="1">
      <c r="A871" s="1774" t="s">
        <v>2245</v>
      </c>
      <c r="B871" s="1774" t="s">
        <v>16</v>
      </c>
      <c r="C871" s="1774" t="s">
        <v>2318</v>
      </c>
      <c r="D871" s="1774" t="s">
        <v>2319</v>
      </c>
      <c r="E871" s="1774" t="s">
        <v>2320</v>
      </c>
      <c r="F871" s="1774" t="s">
        <v>2313</v>
      </c>
      <c r="G871" s="1774" t="s">
        <v>22</v>
      </c>
      <c r="H871" s="1774" t="s">
        <v>22</v>
      </c>
      <c r="I871" s="1774" t="s">
        <v>906</v>
      </c>
    </row>
    <row r="872" spans="1:9" ht="11.25" customHeight="1">
      <c r="A872" s="1774" t="s">
        <v>2245</v>
      </c>
      <c r="B872" s="1774" t="s">
        <v>16</v>
      </c>
      <c r="C872" s="1774" t="s">
        <v>2321</v>
      </c>
      <c r="D872" s="1774" t="s">
        <v>2322</v>
      </c>
      <c r="E872" s="1774" t="s">
        <v>2323</v>
      </c>
      <c r="F872" s="1774" t="s">
        <v>2280</v>
      </c>
      <c r="G872" s="1774" t="s">
        <v>22</v>
      </c>
      <c r="H872" s="1774" t="s">
        <v>22</v>
      </c>
      <c r="I872" s="1774" t="s">
        <v>906</v>
      </c>
    </row>
    <row r="873" spans="1:9" ht="11.25" customHeight="1">
      <c r="A873" s="1774" t="s">
        <v>2245</v>
      </c>
      <c r="B873" s="1774" t="s">
        <v>16</v>
      </c>
      <c r="C873" s="1774" t="s">
        <v>2324</v>
      </c>
      <c r="D873" s="1774" t="s">
        <v>2325</v>
      </c>
      <c r="E873" s="1774" t="s">
        <v>2326</v>
      </c>
      <c r="F873" s="1774" t="s">
        <v>2327</v>
      </c>
      <c r="G873" s="1774" t="s">
        <v>22</v>
      </c>
      <c r="H873" s="1774" t="s">
        <v>22</v>
      </c>
      <c r="I873" s="1774" t="s">
        <v>906</v>
      </c>
    </row>
    <row r="874" spans="1:9" ht="11.25" customHeight="1">
      <c r="A874" s="1774" t="s">
        <v>2245</v>
      </c>
      <c r="B874" s="1774" t="s">
        <v>16</v>
      </c>
      <c r="C874" s="1774" t="s">
        <v>3705</v>
      </c>
      <c r="D874" s="1774" t="s">
        <v>3706</v>
      </c>
      <c r="E874" s="1774" t="s">
        <v>3707</v>
      </c>
      <c r="F874" s="1774" t="s">
        <v>2478</v>
      </c>
      <c r="G874" s="1774" t="s">
        <v>22</v>
      </c>
      <c r="H874" s="1774" t="s">
        <v>22</v>
      </c>
      <c r="I874" s="1774" t="s">
        <v>906</v>
      </c>
    </row>
    <row r="875" spans="1:9" ht="11.25" customHeight="1">
      <c r="A875" s="1774" t="s">
        <v>2245</v>
      </c>
      <c r="B875" s="1774" t="s">
        <v>16</v>
      </c>
      <c r="C875" s="1774" t="s">
        <v>3708</v>
      </c>
      <c r="D875" s="1774" t="s">
        <v>3709</v>
      </c>
      <c r="E875" s="1774" t="s">
        <v>3710</v>
      </c>
      <c r="F875" s="1774" t="s">
        <v>2372</v>
      </c>
      <c r="G875" s="1774" t="s">
        <v>22</v>
      </c>
      <c r="H875" s="1774" t="s">
        <v>22</v>
      </c>
      <c r="I875" s="1774" t="s">
        <v>906</v>
      </c>
    </row>
    <row r="876" spans="1:9" ht="11.25" customHeight="1">
      <c r="A876" s="1774" t="s">
        <v>2245</v>
      </c>
      <c r="B876" s="1774" t="s">
        <v>16</v>
      </c>
      <c r="C876" s="1774" t="s">
        <v>2332</v>
      </c>
      <c r="D876" s="1774" t="s">
        <v>2333</v>
      </c>
      <c r="E876" s="1774" t="s">
        <v>2334</v>
      </c>
      <c r="F876" s="1774" t="s">
        <v>2313</v>
      </c>
      <c r="G876" s="1774" t="s">
        <v>22</v>
      </c>
      <c r="H876" s="1774" t="s">
        <v>22</v>
      </c>
      <c r="I876" s="1774" t="s">
        <v>906</v>
      </c>
    </row>
    <row r="877" spans="1:9" ht="11.25" customHeight="1">
      <c r="A877" s="1774" t="s">
        <v>2245</v>
      </c>
      <c r="B877" s="1774" t="s">
        <v>16</v>
      </c>
      <c r="C877" s="1774" t="s">
        <v>2342</v>
      </c>
      <c r="D877" s="1774" t="s">
        <v>2343</v>
      </c>
      <c r="E877" s="1774" t="s">
        <v>2344</v>
      </c>
      <c r="F877" s="1774" t="s">
        <v>2280</v>
      </c>
      <c r="G877" s="1774" t="s">
        <v>22</v>
      </c>
      <c r="H877" s="1774" t="s">
        <v>22</v>
      </c>
      <c r="I877" s="1774" t="s">
        <v>906</v>
      </c>
    </row>
    <row r="878" spans="1:9" ht="11.25" customHeight="1">
      <c r="A878" s="1774" t="s">
        <v>2245</v>
      </c>
      <c r="B878" s="1774" t="s">
        <v>16</v>
      </c>
      <c r="C878" s="1774" t="s">
        <v>2345</v>
      </c>
      <c r="D878" s="1774" t="s">
        <v>2346</v>
      </c>
      <c r="E878" s="1774" t="s">
        <v>2347</v>
      </c>
      <c r="F878" s="1774" t="s">
        <v>2348</v>
      </c>
      <c r="G878" s="1774" t="s">
        <v>2349</v>
      </c>
      <c r="H878" s="1774" t="s">
        <v>22</v>
      </c>
      <c r="I878" s="1774" t="s">
        <v>906</v>
      </c>
    </row>
    <row r="879" spans="1:9" ht="11.25" customHeight="1">
      <c r="A879" s="1774" t="s">
        <v>2245</v>
      </c>
      <c r="B879" s="1774" t="s">
        <v>16</v>
      </c>
      <c r="C879" s="1774" t="s">
        <v>2360</v>
      </c>
      <c r="D879" s="1774" t="s">
        <v>2361</v>
      </c>
      <c r="E879" s="1774" t="s">
        <v>2362</v>
      </c>
      <c r="F879" s="1774" t="s">
        <v>2291</v>
      </c>
      <c r="G879" s="1774" t="s">
        <v>22</v>
      </c>
      <c r="H879" s="1774" t="s">
        <v>22</v>
      </c>
      <c r="I879" s="1774" t="s">
        <v>906</v>
      </c>
    </row>
    <row r="880" spans="1:9" ht="11.25" customHeight="1">
      <c r="A880" s="1774" t="s">
        <v>2245</v>
      </c>
      <c r="B880" s="1774" t="s">
        <v>16</v>
      </c>
      <c r="C880" s="1774" t="s">
        <v>2363</v>
      </c>
      <c r="D880" s="1774" t="s">
        <v>2364</v>
      </c>
      <c r="E880" s="1774" t="s">
        <v>2365</v>
      </c>
      <c r="F880" s="1774" t="s">
        <v>2317</v>
      </c>
      <c r="G880" s="1774" t="s">
        <v>22</v>
      </c>
      <c r="H880" s="1774" t="s">
        <v>22</v>
      </c>
      <c r="I880" s="1774" t="s">
        <v>906</v>
      </c>
    </row>
    <row r="881" spans="1:9" ht="11.25" customHeight="1">
      <c r="A881" s="1774" t="s">
        <v>2245</v>
      </c>
      <c r="B881" s="1774" t="s">
        <v>16</v>
      </c>
      <c r="C881" s="1774" t="s">
        <v>2369</v>
      </c>
      <c r="D881" s="1774" t="s">
        <v>2370</v>
      </c>
      <c r="E881" s="1774" t="s">
        <v>2371</v>
      </c>
      <c r="F881" s="1774" t="s">
        <v>2372</v>
      </c>
      <c r="G881" s="1774" t="s">
        <v>22</v>
      </c>
      <c r="H881" s="1774" t="s">
        <v>22</v>
      </c>
      <c r="I881" s="1774" t="s">
        <v>906</v>
      </c>
    </row>
    <row r="882" spans="1:9" ht="11.25" customHeight="1">
      <c r="A882" s="1774" t="s">
        <v>2245</v>
      </c>
      <c r="B882" s="1774" t="s">
        <v>16</v>
      </c>
      <c r="C882" s="1774" t="s">
        <v>2373</v>
      </c>
      <c r="D882" s="1774" t="s">
        <v>2374</v>
      </c>
      <c r="E882" s="1774" t="s">
        <v>2375</v>
      </c>
      <c r="F882" s="1774" t="s">
        <v>2376</v>
      </c>
      <c r="G882" s="1774" t="s">
        <v>22</v>
      </c>
      <c r="H882" s="1774" t="s">
        <v>22</v>
      </c>
      <c r="I882" s="1774" t="s">
        <v>906</v>
      </c>
    </row>
    <row r="883" spans="1:9" ht="11.25" customHeight="1">
      <c r="A883" s="1774" t="s">
        <v>2245</v>
      </c>
      <c r="B883" s="1774" t="s">
        <v>16</v>
      </c>
      <c r="C883" s="1774" t="s">
        <v>3711</v>
      </c>
      <c r="D883" s="1774" t="s">
        <v>3712</v>
      </c>
      <c r="E883" s="1774" t="s">
        <v>3713</v>
      </c>
      <c r="F883" s="1774" t="s">
        <v>2261</v>
      </c>
      <c r="G883" s="1774" t="s">
        <v>22</v>
      </c>
      <c r="H883" s="1774" t="s">
        <v>22</v>
      </c>
      <c r="I883" s="1774" t="s">
        <v>906</v>
      </c>
    </row>
    <row r="884" spans="1:9" ht="11.25" customHeight="1">
      <c r="A884" s="1774" t="s">
        <v>2245</v>
      </c>
      <c r="B884" s="1774" t="s">
        <v>16</v>
      </c>
      <c r="C884" s="1774" t="s">
        <v>2391</v>
      </c>
      <c r="D884" s="1774" t="s">
        <v>2392</v>
      </c>
      <c r="E884" s="1774" t="s">
        <v>2390</v>
      </c>
      <c r="F884" s="1774" t="s">
        <v>2393</v>
      </c>
      <c r="G884" s="1774" t="s">
        <v>22</v>
      </c>
      <c r="H884" s="1774" t="s">
        <v>22</v>
      </c>
      <c r="I884" s="1774" t="s">
        <v>906</v>
      </c>
    </row>
    <row r="885" spans="1:9" ht="11.25" customHeight="1">
      <c r="A885" s="1774" t="s">
        <v>2245</v>
      </c>
      <c r="B885" s="1774" t="s">
        <v>16</v>
      </c>
      <c r="C885" s="1774" t="s">
        <v>2400</v>
      </c>
      <c r="D885" s="1774" t="s">
        <v>2401</v>
      </c>
      <c r="E885" s="1774" t="s">
        <v>2390</v>
      </c>
      <c r="F885" s="1774" t="s">
        <v>2402</v>
      </c>
      <c r="G885" s="1774" t="s">
        <v>22</v>
      </c>
      <c r="H885" s="1774" t="s">
        <v>22</v>
      </c>
      <c r="I885" s="1774" t="s">
        <v>906</v>
      </c>
    </row>
    <row r="886" spans="1:9" ht="11.25" customHeight="1">
      <c r="A886" s="1774" t="s">
        <v>2245</v>
      </c>
      <c r="B886" s="1774" t="s">
        <v>16</v>
      </c>
      <c r="C886" s="1774" t="s">
        <v>2406</v>
      </c>
      <c r="D886" s="1774" t="s">
        <v>2407</v>
      </c>
      <c r="E886" s="1774" t="s">
        <v>2390</v>
      </c>
      <c r="F886" s="1774" t="s">
        <v>2408</v>
      </c>
      <c r="G886" s="1774" t="s">
        <v>22</v>
      </c>
      <c r="H886" s="1774" t="s">
        <v>22</v>
      </c>
      <c r="I886" s="1774" t="s">
        <v>906</v>
      </c>
    </row>
    <row r="887" spans="1:9" ht="11.25" customHeight="1">
      <c r="A887" s="1774" t="s">
        <v>2245</v>
      </c>
      <c r="B887" s="1774" t="s">
        <v>16</v>
      </c>
      <c r="C887" s="1774" t="s">
        <v>3714</v>
      </c>
      <c r="D887" s="1774" t="s">
        <v>3715</v>
      </c>
      <c r="E887" s="1774" t="s">
        <v>3716</v>
      </c>
      <c r="F887" s="1774" t="s">
        <v>2298</v>
      </c>
      <c r="G887" s="1774" t="s">
        <v>22</v>
      </c>
      <c r="H887" s="1774" t="s">
        <v>22</v>
      </c>
      <c r="I887" s="1774" t="s">
        <v>906</v>
      </c>
    </row>
    <row r="888" spans="1:9" ht="11.25" customHeight="1">
      <c r="A888" s="1774" t="s">
        <v>2245</v>
      </c>
      <c r="B888" s="1774" t="s">
        <v>16</v>
      </c>
      <c r="C888" s="1774" t="s">
        <v>4018</v>
      </c>
      <c r="D888" s="1774" t="s">
        <v>4019</v>
      </c>
      <c r="E888" s="1774" t="s">
        <v>4020</v>
      </c>
      <c r="F888" s="1774" t="s">
        <v>2306</v>
      </c>
      <c r="G888" s="1774" t="s">
        <v>4021</v>
      </c>
      <c r="H888" s="1774" t="s">
        <v>22</v>
      </c>
      <c r="I888" s="1774" t="s">
        <v>906</v>
      </c>
    </row>
    <row r="889" spans="1:9" ht="11.25" customHeight="1">
      <c r="A889" s="1774" t="s">
        <v>2245</v>
      </c>
      <c r="B889" s="1774" t="s">
        <v>16</v>
      </c>
      <c r="C889" s="1774" t="s">
        <v>4022</v>
      </c>
      <c r="D889" s="1774" t="s">
        <v>4023</v>
      </c>
      <c r="E889" s="1774" t="s">
        <v>4024</v>
      </c>
      <c r="F889" s="1774" t="s">
        <v>2704</v>
      </c>
      <c r="G889" s="1774" t="s">
        <v>22</v>
      </c>
      <c r="H889" s="1774" t="s">
        <v>22</v>
      </c>
      <c r="I889" s="1774" t="s">
        <v>906</v>
      </c>
    </row>
    <row r="890" spans="1:9" ht="11.25" customHeight="1">
      <c r="A890" s="1774" t="s">
        <v>2245</v>
      </c>
      <c r="B890" s="1774" t="s">
        <v>16</v>
      </c>
      <c r="C890" s="1774" t="s">
        <v>2441</v>
      </c>
      <c r="D890" s="1774" t="s">
        <v>2442</v>
      </c>
      <c r="E890" s="1774" t="s">
        <v>2443</v>
      </c>
      <c r="F890" s="1774" t="s">
        <v>2265</v>
      </c>
      <c r="G890" s="1774" t="s">
        <v>22</v>
      </c>
      <c r="H890" s="1774" t="s">
        <v>22</v>
      </c>
      <c r="I890" s="1774" t="s">
        <v>906</v>
      </c>
    </row>
    <row r="891" spans="1:9" ht="11.25" customHeight="1">
      <c r="A891" s="1774" t="s">
        <v>2245</v>
      </c>
      <c r="B891" s="1774" t="s">
        <v>16</v>
      </c>
      <c r="C891" s="1774" t="s">
        <v>2452</v>
      </c>
      <c r="D891" s="1774" t="s">
        <v>2453</v>
      </c>
      <c r="E891" s="1774" t="s">
        <v>2454</v>
      </c>
      <c r="F891" s="1774" t="s">
        <v>2327</v>
      </c>
      <c r="G891" s="1774" t="s">
        <v>2455</v>
      </c>
      <c r="H891" s="1774" t="s">
        <v>22</v>
      </c>
      <c r="I891" s="1774" t="s">
        <v>906</v>
      </c>
    </row>
    <row r="892" spans="1:9" ht="11.25" customHeight="1">
      <c r="A892" s="1774" t="s">
        <v>2245</v>
      </c>
      <c r="B892" s="1774" t="s">
        <v>16</v>
      </c>
      <c r="C892" s="1774" t="s">
        <v>3734</v>
      </c>
      <c r="D892" s="1774" t="s">
        <v>3735</v>
      </c>
      <c r="E892" s="1774" t="s">
        <v>3736</v>
      </c>
      <c r="F892" s="1774" t="s">
        <v>2515</v>
      </c>
      <c r="G892" s="1774" t="s">
        <v>22</v>
      </c>
      <c r="H892" s="1774" t="s">
        <v>22</v>
      </c>
      <c r="I892" s="1774" t="s">
        <v>906</v>
      </c>
    </row>
    <row r="893" spans="1:9" ht="11.25" customHeight="1">
      <c r="A893" s="1774" t="s">
        <v>2245</v>
      </c>
      <c r="B893" s="1774" t="s">
        <v>16</v>
      </c>
      <c r="C893" s="1774" t="s">
        <v>2493</v>
      </c>
      <c r="D893" s="1774" t="s">
        <v>2494</v>
      </c>
      <c r="E893" s="1774" t="s">
        <v>2495</v>
      </c>
      <c r="F893" s="1774" t="s">
        <v>2496</v>
      </c>
      <c r="G893" s="1774" t="s">
        <v>22</v>
      </c>
      <c r="H893" s="1774" t="s">
        <v>22</v>
      </c>
      <c r="I893" s="1774" t="s">
        <v>906</v>
      </c>
    </row>
    <row r="894" spans="1:9" ht="11.25" customHeight="1">
      <c r="A894" s="1774" t="s">
        <v>2245</v>
      </c>
      <c r="B894" s="1774" t="s">
        <v>16</v>
      </c>
      <c r="C894" s="1774" t="s">
        <v>3737</v>
      </c>
      <c r="D894" s="1774" t="s">
        <v>3738</v>
      </c>
      <c r="E894" s="1774" t="s">
        <v>3739</v>
      </c>
      <c r="F894" s="1774" t="s">
        <v>2697</v>
      </c>
      <c r="G894" s="1774" t="s">
        <v>22</v>
      </c>
      <c r="H894" s="1774" t="s">
        <v>22</v>
      </c>
      <c r="I894" s="1774" t="s">
        <v>906</v>
      </c>
    </row>
    <row r="895" spans="1:9" ht="11.25" customHeight="1">
      <c r="A895" s="1774" t="s">
        <v>2245</v>
      </c>
      <c r="B895" s="1774" t="s">
        <v>16</v>
      </c>
      <c r="C895" s="1774" t="s">
        <v>2497</v>
      </c>
      <c r="D895" s="1774" t="s">
        <v>2498</v>
      </c>
      <c r="E895" s="1774" t="s">
        <v>2499</v>
      </c>
      <c r="F895" s="1774" t="s">
        <v>2496</v>
      </c>
      <c r="G895" s="1774" t="s">
        <v>2500</v>
      </c>
      <c r="H895" s="1774" t="s">
        <v>2451</v>
      </c>
      <c r="I895" s="1774" t="s">
        <v>906</v>
      </c>
    </row>
    <row r="896" spans="1:9" ht="11.25" customHeight="1">
      <c r="A896" s="1774" t="s">
        <v>2245</v>
      </c>
      <c r="B896" s="1774" t="s">
        <v>16</v>
      </c>
      <c r="C896" s="1774" t="s">
        <v>2524</v>
      </c>
      <c r="D896" s="1774" t="s">
        <v>2525</v>
      </c>
      <c r="E896" s="1774" t="s">
        <v>2526</v>
      </c>
      <c r="F896" s="1774" t="s">
        <v>2527</v>
      </c>
      <c r="G896" s="1774" t="s">
        <v>22</v>
      </c>
      <c r="H896" s="1774" t="s">
        <v>22</v>
      </c>
      <c r="I896" s="1774" t="s">
        <v>906</v>
      </c>
    </row>
    <row r="897" spans="1:9" ht="11.25" customHeight="1">
      <c r="A897" s="1774" t="s">
        <v>2245</v>
      </c>
      <c r="B897" s="1774" t="s">
        <v>16</v>
      </c>
      <c r="C897" s="1774" t="s">
        <v>2528</v>
      </c>
      <c r="D897" s="1774" t="s">
        <v>2529</v>
      </c>
      <c r="E897" s="1774" t="s">
        <v>2530</v>
      </c>
      <c r="F897" s="1774" t="s">
        <v>2531</v>
      </c>
      <c r="G897" s="1774" t="s">
        <v>22</v>
      </c>
      <c r="H897" s="1774" t="s">
        <v>22</v>
      </c>
      <c r="I897" s="1774" t="s">
        <v>906</v>
      </c>
    </row>
    <row r="898" spans="1:9" ht="11.25" customHeight="1">
      <c r="A898" s="1774" t="s">
        <v>2245</v>
      </c>
      <c r="B898" s="1774" t="s">
        <v>16</v>
      </c>
      <c r="C898" s="1774" t="s">
        <v>2539</v>
      </c>
      <c r="D898" s="1774" t="s">
        <v>2540</v>
      </c>
      <c r="E898" s="1774" t="s">
        <v>2541</v>
      </c>
      <c r="F898" s="1774" t="s">
        <v>2542</v>
      </c>
      <c r="G898" s="1774" t="s">
        <v>22</v>
      </c>
      <c r="H898" s="1774" t="s">
        <v>22</v>
      </c>
      <c r="I898" s="1774" t="s">
        <v>906</v>
      </c>
    </row>
    <row r="899" spans="1:9" ht="11.25" customHeight="1">
      <c r="A899" s="1774" t="s">
        <v>2245</v>
      </c>
      <c r="B899" s="1774" t="s">
        <v>16</v>
      </c>
      <c r="C899" s="1774" t="s">
        <v>2543</v>
      </c>
      <c r="D899" s="1774" t="s">
        <v>2544</v>
      </c>
      <c r="E899" s="1774" t="s">
        <v>2545</v>
      </c>
      <c r="F899" s="1774" t="s">
        <v>2291</v>
      </c>
      <c r="G899" s="1774" t="s">
        <v>22</v>
      </c>
      <c r="H899" s="1774" t="s">
        <v>22</v>
      </c>
      <c r="I899" s="1774" t="s">
        <v>906</v>
      </c>
    </row>
    <row r="900" spans="1:9" ht="11.25" customHeight="1">
      <c r="A900" s="1774" t="s">
        <v>2245</v>
      </c>
      <c r="B900" s="1774" t="s">
        <v>16</v>
      </c>
      <c r="C900" s="1774" t="s">
        <v>2546</v>
      </c>
      <c r="D900" s="1774" t="s">
        <v>2547</v>
      </c>
      <c r="E900" s="1774" t="s">
        <v>2548</v>
      </c>
      <c r="F900" s="1774" t="s">
        <v>2280</v>
      </c>
      <c r="G900" s="1774" t="s">
        <v>22</v>
      </c>
      <c r="H900" s="1774" t="s">
        <v>22</v>
      </c>
      <c r="I900" s="1774" t="s">
        <v>906</v>
      </c>
    </row>
    <row r="901" spans="1:9" ht="11.25" customHeight="1">
      <c r="A901" s="1774" t="s">
        <v>2245</v>
      </c>
      <c r="B901" s="1774" t="s">
        <v>16</v>
      </c>
      <c r="C901" s="1774" t="s">
        <v>2558</v>
      </c>
      <c r="D901" s="1774" t="s">
        <v>2559</v>
      </c>
      <c r="E901" s="1774" t="s">
        <v>2560</v>
      </c>
      <c r="F901" s="1774" t="s">
        <v>2386</v>
      </c>
      <c r="G901" s="1774" t="s">
        <v>22</v>
      </c>
      <c r="H901" s="1774" t="s">
        <v>22</v>
      </c>
      <c r="I901" s="1774" t="s">
        <v>906</v>
      </c>
    </row>
    <row r="902" spans="1:9" ht="11.25" customHeight="1">
      <c r="A902" s="1774" t="s">
        <v>2245</v>
      </c>
      <c r="B902" s="1774" t="s">
        <v>16</v>
      </c>
      <c r="C902" s="1774" t="s">
        <v>2564</v>
      </c>
      <c r="D902" s="1774" t="s">
        <v>2565</v>
      </c>
      <c r="E902" s="1774" t="s">
        <v>2566</v>
      </c>
      <c r="F902" s="1774" t="s">
        <v>2567</v>
      </c>
      <c r="G902" s="1774" t="s">
        <v>22</v>
      </c>
      <c r="H902" s="1774" t="s">
        <v>22</v>
      </c>
      <c r="I902" s="1774" t="s">
        <v>906</v>
      </c>
    </row>
    <row r="903" spans="1:9" ht="11.25" customHeight="1">
      <c r="A903" s="1774" t="s">
        <v>2245</v>
      </c>
      <c r="B903" s="1774" t="s">
        <v>16</v>
      </c>
      <c r="C903" s="1774" t="s">
        <v>2575</v>
      </c>
      <c r="D903" s="1774" t="s">
        <v>2576</v>
      </c>
      <c r="E903" s="1774" t="s">
        <v>2577</v>
      </c>
      <c r="F903" s="1774" t="s">
        <v>2496</v>
      </c>
      <c r="G903" s="1774" t="s">
        <v>22</v>
      </c>
      <c r="H903" s="1774" t="s">
        <v>2451</v>
      </c>
      <c r="I903" s="1774" t="s">
        <v>906</v>
      </c>
    </row>
    <row r="904" spans="1:9" ht="11.25" customHeight="1">
      <c r="A904" s="1774" t="s">
        <v>2245</v>
      </c>
      <c r="B904" s="1774" t="s">
        <v>16</v>
      </c>
      <c r="C904" s="1774" t="s">
        <v>2587</v>
      </c>
      <c r="D904" s="1774" t="s">
        <v>2588</v>
      </c>
      <c r="E904" s="1774" t="s">
        <v>2589</v>
      </c>
      <c r="F904" s="1774" t="s">
        <v>2386</v>
      </c>
      <c r="G904" s="1774" t="s">
        <v>22</v>
      </c>
      <c r="H904" s="1774" t="s">
        <v>22</v>
      </c>
      <c r="I904" s="1774" t="s">
        <v>906</v>
      </c>
    </row>
    <row r="905" spans="1:9" ht="11.25" customHeight="1">
      <c r="A905" s="1774" t="s">
        <v>2245</v>
      </c>
      <c r="B905" s="1774" t="s">
        <v>16</v>
      </c>
      <c r="C905" s="1774" t="s">
        <v>4025</v>
      </c>
      <c r="D905" s="1774" t="s">
        <v>4026</v>
      </c>
      <c r="E905" s="1774" t="s">
        <v>4027</v>
      </c>
      <c r="F905" s="1774" t="s">
        <v>2313</v>
      </c>
      <c r="G905" s="1774" t="s">
        <v>22</v>
      </c>
      <c r="H905" s="1774" t="s">
        <v>22</v>
      </c>
      <c r="I905" s="1774" t="s">
        <v>906</v>
      </c>
    </row>
    <row r="906" spans="1:9" ht="11.25" customHeight="1">
      <c r="A906" s="1774" t="s">
        <v>2245</v>
      </c>
      <c r="B906" s="1774" t="s">
        <v>16</v>
      </c>
      <c r="C906" s="1774" t="s">
        <v>2611</v>
      </c>
      <c r="D906" s="1774" t="s">
        <v>2612</v>
      </c>
      <c r="E906" s="1774" t="s">
        <v>2613</v>
      </c>
      <c r="F906" s="1774" t="s">
        <v>574</v>
      </c>
      <c r="G906" s="1774" t="s">
        <v>22</v>
      </c>
      <c r="H906" s="1774" t="s">
        <v>22</v>
      </c>
      <c r="I906" s="1774" t="s">
        <v>906</v>
      </c>
    </row>
    <row r="907" spans="1:9" ht="11.25" customHeight="1">
      <c r="A907" s="1774" t="s">
        <v>2245</v>
      </c>
      <c r="B907" s="1774" t="s">
        <v>16</v>
      </c>
      <c r="C907" s="1774" t="s">
        <v>4028</v>
      </c>
      <c r="D907" s="1774" t="s">
        <v>4029</v>
      </c>
      <c r="E907" s="1774" t="s">
        <v>4030</v>
      </c>
      <c r="F907" s="1774" t="s">
        <v>574</v>
      </c>
      <c r="G907" s="1774" t="s">
        <v>22</v>
      </c>
      <c r="H907" s="1774" t="s">
        <v>22</v>
      </c>
      <c r="I907" s="1774" t="s">
        <v>906</v>
      </c>
    </row>
    <row r="908" spans="1:9" ht="11.25" customHeight="1">
      <c r="A908" s="1774" t="s">
        <v>2245</v>
      </c>
      <c r="B908" s="1774" t="s">
        <v>16</v>
      </c>
      <c r="C908" s="1774" t="s">
        <v>3743</v>
      </c>
      <c r="D908" s="1774" t="s">
        <v>3744</v>
      </c>
      <c r="E908" s="1774" t="s">
        <v>3745</v>
      </c>
      <c r="F908" s="1774" t="s">
        <v>2496</v>
      </c>
      <c r="G908" s="1774" t="s">
        <v>22</v>
      </c>
      <c r="H908" s="1774" t="s">
        <v>3746</v>
      </c>
      <c r="I908" s="1774" t="s">
        <v>906</v>
      </c>
    </row>
    <row r="909" spans="1:9" ht="11.25" customHeight="1">
      <c r="A909" s="1774" t="s">
        <v>2245</v>
      </c>
      <c r="B909" s="1774" t="s">
        <v>16</v>
      </c>
      <c r="C909" s="1774" t="s">
        <v>2617</v>
      </c>
      <c r="D909" s="1774" t="s">
        <v>2618</v>
      </c>
      <c r="E909" s="1774" t="s">
        <v>2619</v>
      </c>
      <c r="F909" s="1774" t="s">
        <v>2620</v>
      </c>
      <c r="G909" s="1774" t="s">
        <v>22</v>
      </c>
      <c r="H909" s="1774" t="s">
        <v>22</v>
      </c>
      <c r="I909" s="1774" t="s">
        <v>906</v>
      </c>
    </row>
    <row r="910" spans="1:9" ht="11.25" customHeight="1">
      <c r="A910" s="1774" t="s">
        <v>2245</v>
      </c>
      <c r="B910" s="1774" t="s">
        <v>16</v>
      </c>
      <c r="C910" s="1774" t="s">
        <v>3747</v>
      </c>
      <c r="D910" s="1774" t="s">
        <v>3748</v>
      </c>
      <c r="E910" s="1774" t="s">
        <v>3749</v>
      </c>
      <c r="F910" s="1774" t="s">
        <v>2697</v>
      </c>
      <c r="G910" s="1774" t="s">
        <v>22</v>
      </c>
      <c r="H910" s="1774" t="s">
        <v>22</v>
      </c>
      <c r="I910" s="1774" t="s">
        <v>906</v>
      </c>
    </row>
    <row r="911" spans="1:9" ht="11.25" customHeight="1">
      <c r="A911" s="1774" t="s">
        <v>2245</v>
      </c>
      <c r="B911" s="1774" t="s">
        <v>16</v>
      </c>
      <c r="C911" s="1774" t="s">
        <v>2650</v>
      </c>
      <c r="D911" s="1774" t="s">
        <v>2651</v>
      </c>
      <c r="E911" s="1774" t="s">
        <v>2652</v>
      </c>
      <c r="F911" s="1774" t="s">
        <v>2653</v>
      </c>
      <c r="G911" s="1774" t="s">
        <v>22</v>
      </c>
      <c r="H911" s="1774" t="s">
        <v>22</v>
      </c>
      <c r="I911" s="1774" t="s">
        <v>906</v>
      </c>
    </row>
    <row r="912" spans="1:9" ht="11.25" customHeight="1">
      <c r="A912" s="1774" t="s">
        <v>2245</v>
      </c>
      <c r="B912" s="1774" t="s">
        <v>16</v>
      </c>
      <c r="C912" s="1774" t="s">
        <v>3769</v>
      </c>
      <c r="D912" s="1774" t="s">
        <v>3766</v>
      </c>
      <c r="E912" s="1774" t="s">
        <v>3770</v>
      </c>
      <c r="F912" s="1774" t="s">
        <v>2679</v>
      </c>
      <c r="G912" s="1774" t="s">
        <v>22</v>
      </c>
      <c r="H912" s="1774" t="s">
        <v>22</v>
      </c>
      <c r="I912" s="1774" t="s">
        <v>906</v>
      </c>
    </row>
    <row r="913" spans="1:9" ht="11.25" customHeight="1">
      <c r="A913" s="1774" t="s">
        <v>2245</v>
      </c>
      <c r="B913" s="1774" t="s">
        <v>16</v>
      </c>
      <c r="C913" s="1774" t="s">
        <v>4031</v>
      </c>
      <c r="D913" s="1774" t="s">
        <v>4032</v>
      </c>
      <c r="E913" s="1774" t="s">
        <v>4033</v>
      </c>
      <c r="F913" s="1774" t="s">
        <v>2450</v>
      </c>
      <c r="G913" s="1774" t="s">
        <v>22</v>
      </c>
      <c r="H913" s="1774" t="s">
        <v>22</v>
      </c>
      <c r="I913" s="1774" t="s">
        <v>906</v>
      </c>
    </row>
    <row r="914" spans="1:9" ht="11.25" customHeight="1">
      <c r="A914" s="1774" t="s">
        <v>2245</v>
      </c>
      <c r="B914" s="1774" t="s">
        <v>16</v>
      </c>
      <c r="C914" s="1774" t="s">
        <v>2654</v>
      </c>
      <c r="D914" s="1774" t="s">
        <v>2655</v>
      </c>
      <c r="E914" s="1774" t="s">
        <v>2656</v>
      </c>
      <c r="F914" s="1774" t="s">
        <v>2450</v>
      </c>
      <c r="G914" s="1774" t="s">
        <v>22</v>
      </c>
      <c r="H914" s="1774" t="s">
        <v>22</v>
      </c>
      <c r="I914" s="1774" t="s">
        <v>906</v>
      </c>
    </row>
    <row r="915" spans="1:9" ht="11.25" customHeight="1">
      <c r="A915" s="1774" t="s">
        <v>2245</v>
      </c>
      <c r="B915" s="1774" t="s">
        <v>16</v>
      </c>
      <c r="C915" s="1774" t="s">
        <v>3771</v>
      </c>
      <c r="D915" s="1774" t="s">
        <v>3772</v>
      </c>
      <c r="E915" s="1774" t="s">
        <v>3773</v>
      </c>
      <c r="F915" s="1774" t="s">
        <v>2666</v>
      </c>
      <c r="G915" s="1774" t="s">
        <v>22</v>
      </c>
      <c r="H915" s="1774" t="s">
        <v>22</v>
      </c>
      <c r="I915" s="1774" t="s">
        <v>906</v>
      </c>
    </row>
    <row r="916" spans="1:9" ht="11.25" customHeight="1">
      <c r="A916" s="1774" t="s">
        <v>2245</v>
      </c>
      <c r="B916" s="1774" t="s">
        <v>16</v>
      </c>
      <c r="C916" s="1774" t="s">
        <v>2657</v>
      </c>
      <c r="D916" s="1774" t="s">
        <v>2658</v>
      </c>
      <c r="E916" s="1774" t="s">
        <v>2659</v>
      </c>
      <c r="F916" s="1774" t="s">
        <v>2376</v>
      </c>
      <c r="G916" s="1774" t="s">
        <v>22</v>
      </c>
      <c r="H916" s="1774" t="s">
        <v>22</v>
      </c>
      <c r="I916" s="1774" t="s">
        <v>906</v>
      </c>
    </row>
    <row r="917" spans="1:9" ht="11.25" customHeight="1">
      <c r="A917" s="1774" t="s">
        <v>2245</v>
      </c>
      <c r="B917" s="1774" t="s">
        <v>16</v>
      </c>
      <c r="C917" s="1774" t="s">
        <v>2660</v>
      </c>
      <c r="D917" s="1774" t="s">
        <v>2661</v>
      </c>
      <c r="E917" s="1774" t="s">
        <v>2662</v>
      </c>
      <c r="F917" s="1774" t="s">
        <v>2450</v>
      </c>
      <c r="G917" s="1774" t="s">
        <v>22</v>
      </c>
      <c r="H917" s="1774" t="s">
        <v>22</v>
      </c>
      <c r="I917" s="1774" t="s">
        <v>906</v>
      </c>
    </row>
    <row r="918" spans="1:9" ht="11.25" customHeight="1">
      <c r="A918" s="1774" t="s">
        <v>2245</v>
      </c>
      <c r="B918" s="1774" t="s">
        <v>16</v>
      </c>
      <c r="C918" s="1774" t="s">
        <v>4034</v>
      </c>
      <c r="D918" s="1774" t="s">
        <v>4035</v>
      </c>
      <c r="E918" s="1774" t="s">
        <v>4036</v>
      </c>
      <c r="F918" s="1774" t="s">
        <v>2630</v>
      </c>
      <c r="G918" s="1774" t="s">
        <v>22</v>
      </c>
      <c r="H918" s="1774" t="s">
        <v>22</v>
      </c>
      <c r="I918" s="1774" t="s">
        <v>906</v>
      </c>
    </row>
    <row r="919" spans="1:9" ht="11.25" customHeight="1">
      <c r="A919" s="1774" t="s">
        <v>2245</v>
      </c>
      <c r="B919" s="1774" t="s">
        <v>16</v>
      </c>
      <c r="C919" s="1774" t="s">
        <v>2663</v>
      </c>
      <c r="D919" s="1774" t="s">
        <v>2664</v>
      </c>
      <c r="E919" s="1774" t="s">
        <v>2665</v>
      </c>
      <c r="F919" s="1774" t="s">
        <v>2666</v>
      </c>
      <c r="G919" s="1774" t="s">
        <v>22</v>
      </c>
      <c r="H919" s="1774" t="s">
        <v>22</v>
      </c>
      <c r="I919" s="1774" t="s">
        <v>906</v>
      </c>
    </row>
    <row r="920" spans="1:9" ht="11.25" customHeight="1">
      <c r="A920" s="1774" t="s">
        <v>2245</v>
      </c>
      <c r="B920" s="1774" t="s">
        <v>16</v>
      </c>
      <c r="C920" s="1774" t="s">
        <v>2667</v>
      </c>
      <c r="D920" s="1774" t="s">
        <v>2668</v>
      </c>
      <c r="E920" s="1774" t="s">
        <v>2669</v>
      </c>
      <c r="F920" s="1774" t="s">
        <v>2280</v>
      </c>
      <c r="G920" s="1774" t="s">
        <v>22</v>
      </c>
      <c r="H920" s="1774" t="s">
        <v>22</v>
      </c>
      <c r="I920" s="1774" t="s">
        <v>906</v>
      </c>
    </row>
    <row r="921" spans="1:9" ht="11.25" customHeight="1">
      <c r="A921" s="1774" t="s">
        <v>2245</v>
      </c>
      <c r="B921" s="1774" t="s">
        <v>16</v>
      </c>
      <c r="C921" s="1774" t="s">
        <v>2670</v>
      </c>
      <c r="D921" s="1774" t="s">
        <v>2671</v>
      </c>
      <c r="E921" s="1774" t="s">
        <v>2672</v>
      </c>
      <c r="F921" s="1774" t="s">
        <v>2462</v>
      </c>
      <c r="G921" s="1774" t="s">
        <v>22</v>
      </c>
      <c r="H921" s="1774" t="s">
        <v>22</v>
      </c>
      <c r="I921" s="1774" t="s">
        <v>906</v>
      </c>
    </row>
    <row r="922" spans="1:9" ht="11.25" customHeight="1">
      <c r="A922" s="1774" t="s">
        <v>2245</v>
      </c>
      <c r="B922" s="1774" t="s">
        <v>16</v>
      </c>
      <c r="C922" s="1774" t="s">
        <v>2673</v>
      </c>
      <c r="D922" s="1774" t="s">
        <v>2674</v>
      </c>
      <c r="E922" s="1774" t="s">
        <v>2675</v>
      </c>
      <c r="F922" s="1774" t="s">
        <v>2666</v>
      </c>
      <c r="G922" s="1774" t="s">
        <v>22</v>
      </c>
      <c r="H922" s="1774" t="s">
        <v>22</v>
      </c>
      <c r="I922" s="1774" t="s">
        <v>906</v>
      </c>
    </row>
    <row r="923" spans="1:9" ht="11.25" customHeight="1">
      <c r="A923" s="1774" t="s">
        <v>2245</v>
      </c>
      <c r="B923" s="1774" t="s">
        <v>16</v>
      </c>
      <c r="C923" s="1774" t="s">
        <v>2683</v>
      </c>
      <c r="D923" s="1774" t="s">
        <v>2684</v>
      </c>
      <c r="E923" s="1774" t="s">
        <v>2685</v>
      </c>
      <c r="F923" s="1774" t="s">
        <v>2686</v>
      </c>
      <c r="G923" s="1774" t="s">
        <v>2687</v>
      </c>
      <c r="H923" s="1774" t="s">
        <v>22</v>
      </c>
      <c r="I923" s="1774" t="s">
        <v>906</v>
      </c>
    </row>
    <row r="924" spans="1:9" ht="11.25" customHeight="1">
      <c r="A924" s="1774" t="s">
        <v>2245</v>
      </c>
      <c r="B924" s="1774" t="s">
        <v>16</v>
      </c>
      <c r="C924" s="1774" t="s">
        <v>3774</v>
      </c>
      <c r="D924" s="1774" t="s">
        <v>3775</v>
      </c>
      <c r="E924" s="1774" t="s">
        <v>3776</v>
      </c>
      <c r="F924" s="1774" t="s">
        <v>3777</v>
      </c>
      <c r="G924" s="1774" t="s">
        <v>3778</v>
      </c>
      <c r="H924" s="1774" t="s">
        <v>22</v>
      </c>
      <c r="I924" s="1774" t="s">
        <v>906</v>
      </c>
    </row>
    <row r="925" spans="1:9" ht="11.25" customHeight="1">
      <c r="A925" s="1774" t="s">
        <v>2245</v>
      </c>
      <c r="B925" s="1774" t="s">
        <v>16</v>
      </c>
      <c r="C925" s="1774" t="s">
        <v>4037</v>
      </c>
      <c r="D925" s="1774" t="s">
        <v>4038</v>
      </c>
      <c r="E925" s="1774" t="s">
        <v>4039</v>
      </c>
      <c r="F925" s="1774" t="s">
        <v>2348</v>
      </c>
      <c r="G925" s="1774" t="s">
        <v>22</v>
      </c>
      <c r="H925" s="1774" t="s">
        <v>22</v>
      </c>
      <c r="I925" s="1774" t="s">
        <v>906</v>
      </c>
    </row>
    <row r="926" spans="1:9" ht="11.25" customHeight="1">
      <c r="A926" s="1774" t="s">
        <v>2245</v>
      </c>
      <c r="B926" s="1774" t="s">
        <v>16</v>
      </c>
      <c r="C926" s="1774" t="s">
        <v>3782</v>
      </c>
      <c r="D926" s="1774" t="s">
        <v>3783</v>
      </c>
      <c r="E926" s="1774" t="s">
        <v>3784</v>
      </c>
      <c r="F926" s="1774" t="s">
        <v>3010</v>
      </c>
      <c r="G926" s="1774" t="s">
        <v>22</v>
      </c>
      <c r="H926" s="1774" t="s">
        <v>22</v>
      </c>
      <c r="I926" s="1774" t="s">
        <v>906</v>
      </c>
    </row>
    <row r="927" spans="1:9" ht="11.25" customHeight="1">
      <c r="A927" s="1774" t="s">
        <v>2245</v>
      </c>
      <c r="B927" s="1774" t="s">
        <v>16</v>
      </c>
      <c r="C927" s="1774" t="s">
        <v>2698</v>
      </c>
      <c r="D927" s="1774" t="s">
        <v>2699</v>
      </c>
      <c r="E927" s="1774" t="s">
        <v>2700</v>
      </c>
      <c r="F927" s="1774" t="s">
        <v>2298</v>
      </c>
      <c r="G927" s="1774" t="s">
        <v>22</v>
      </c>
      <c r="H927" s="1774" t="s">
        <v>22</v>
      </c>
      <c r="I927" s="1774" t="s">
        <v>906</v>
      </c>
    </row>
    <row r="928" spans="1:9" ht="11.25" customHeight="1">
      <c r="A928" s="1774" t="s">
        <v>2245</v>
      </c>
      <c r="B928" s="1774" t="s">
        <v>16</v>
      </c>
      <c r="C928" s="1774" t="s">
        <v>2701</v>
      </c>
      <c r="D928" s="1774" t="s">
        <v>2702</v>
      </c>
      <c r="E928" s="1774" t="s">
        <v>2703</v>
      </c>
      <c r="F928" s="1774" t="s">
        <v>2704</v>
      </c>
      <c r="G928" s="1774" t="s">
        <v>22</v>
      </c>
      <c r="H928" s="1774" t="s">
        <v>22</v>
      </c>
      <c r="I928" s="1774" t="s">
        <v>906</v>
      </c>
    </row>
    <row r="929" spans="1:9" ht="11.25" customHeight="1">
      <c r="A929" s="1774" t="s">
        <v>2245</v>
      </c>
      <c r="B929" s="1774" t="s">
        <v>16</v>
      </c>
      <c r="C929" s="1774" t="s">
        <v>2705</v>
      </c>
      <c r="D929" s="1774" t="s">
        <v>2706</v>
      </c>
      <c r="E929" s="1774" t="s">
        <v>2707</v>
      </c>
      <c r="F929" s="1774" t="s">
        <v>2708</v>
      </c>
      <c r="G929" s="1774" t="s">
        <v>22</v>
      </c>
      <c r="H929" s="1774" t="s">
        <v>22</v>
      </c>
      <c r="I929" s="1774" t="s">
        <v>906</v>
      </c>
    </row>
    <row r="930" spans="1:9" ht="11.25" customHeight="1">
      <c r="A930" s="1774" t="s">
        <v>2245</v>
      </c>
      <c r="B930" s="1774" t="s">
        <v>16</v>
      </c>
      <c r="C930" s="1774" t="s">
        <v>3785</v>
      </c>
      <c r="D930" s="1774" t="s">
        <v>3786</v>
      </c>
      <c r="E930" s="1774" t="s">
        <v>3787</v>
      </c>
      <c r="F930" s="1774" t="s">
        <v>2306</v>
      </c>
      <c r="G930" s="1774" t="s">
        <v>22</v>
      </c>
      <c r="H930" s="1774" t="s">
        <v>22</v>
      </c>
      <c r="I930" s="1774" t="s">
        <v>906</v>
      </c>
    </row>
    <row r="931" spans="1:9" ht="11.25" customHeight="1">
      <c r="A931" s="1774" t="s">
        <v>2245</v>
      </c>
      <c r="B931" s="1774" t="s">
        <v>16</v>
      </c>
      <c r="C931" s="1774" t="s">
        <v>3788</v>
      </c>
      <c r="D931" s="1774" t="s">
        <v>3789</v>
      </c>
      <c r="E931" s="1774" t="s">
        <v>3790</v>
      </c>
      <c r="F931" s="1774" t="s">
        <v>3301</v>
      </c>
      <c r="G931" s="1774" t="s">
        <v>22</v>
      </c>
      <c r="H931" s="1774" t="s">
        <v>22</v>
      </c>
      <c r="I931" s="1774" t="s">
        <v>906</v>
      </c>
    </row>
    <row r="932" spans="1:9" ht="11.25" customHeight="1">
      <c r="A932" s="1774" t="s">
        <v>2245</v>
      </c>
      <c r="B932" s="1774" t="s">
        <v>16</v>
      </c>
      <c r="C932" s="1774" t="s">
        <v>4040</v>
      </c>
      <c r="D932" s="1774" t="s">
        <v>4041</v>
      </c>
      <c r="E932" s="1774" t="s">
        <v>4042</v>
      </c>
      <c r="F932" s="1774" t="s">
        <v>2440</v>
      </c>
      <c r="G932" s="1774" t="s">
        <v>22</v>
      </c>
      <c r="H932" s="1774" t="s">
        <v>22</v>
      </c>
      <c r="I932" s="1774" t="s">
        <v>906</v>
      </c>
    </row>
    <row r="933" spans="1:9" ht="11.25" customHeight="1">
      <c r="A933" s="1774" t="s">
        <v>2245</v>
      </c>
      <c r="B933" s="1774" t="s">
        <v>16</v>
      </c>
      <c r="C933" s="1774" t="s">
        <v>2709</v>
      </c>
      <c r="D933" s="1774" t="s">
        <v>2710</v>
      </c>
      <c r="E933" s="1774" t="s">
        <v>2711</v>
      </c>
      <c r="F933" s="1774" t="s">
        <v>2712</v>
      </c>
      <c r="G933" s="1774" t="s">
        <v>22</v>
      </c>
      <c r="H933" s="1774" t="s">
        <v>22</v>
      </c>
      <c r="I933" s="1774" t="s">
        <v>906</v>
      </c>
    </row>
    <row r="934" spans="1:9" ht="11.25" customHeight="1">
      <c r="A934" s="1774" t="s">
        <v>2245</v>
      </c>
      <c r="B934" s="1774" t="s">
        <v>16</v>
      </c>
      <c r="C934" s="1774" t="s">
        <v>2713</v>
      </c>
      <c r="D934" s="1774" t="s">
        <v>2714</v>
      </c>
      <c r="E934" s="1774" t="s">
        <v>2715</v>
      </c>
      <c r="F934" s="1774" t="s">
        <v>2527</v>
      </c>
      <c r="G934" s="1774" t="s">
        <v>22</v>
      </c>
      <c r="H934" s="1774" t="s">
        <v>22</v>
      </c>
      <c r="I934" s="1774" t="s">
        <v>906</v>
      </c>
    </row>
    <row r="935" spans="1:9" ht="11.25" customHeight="1">
      <c r="A935" s="1774" t="s">
        <v>2245</v>
      </c>
      <c r="B935" s="1774" t="s">
        <v>16</v>
      </c>
      <c r="C935" s="1774" t="s">
        <v>3798</v>
      </c>
      <c r="D935" s="1774" t="s">
        <v>3799</v>
      </c>
      <c r="E935" s="1774" t="s">
        <v>3800</v>
      </c>
      <c r="F935" s="1774" t="s">
        <v>2542</v>
      </c>
      <c r="G935" s="1774" t="s">
        <v>22</v>
      </c>
      <c r="H935" s="1774" t="s">
        <v>22</v>
      </c>
      <c r="I935" s="1774" t="s">
        <v>906</v>
      </c>
    </row>
    <row r="936" spans="1:9" ht="11.25" customHeight="1">
      <c r="A936" s="1774" t="s">
        <v>2245</v>
      </c>
      <c r="B936" s="1774" t="s">
        <v>16</v>
      </c>
      <c r="C936" s="1774" t="s">
        <v>2716</v>
      </c>
      <c r="D936" s="1774" t="s">
        <v>2717</v>
      </c>
      <c r="E936" s="1774" t="s">
        <v>2718</v>
      </c>
      <c r="F936" s="1774" t="s">
        <v>2317</v>
      </c>
      <c r="G936" s="1774" t="s">
        <v>22</v>
      </c>
      <c r="H936" s="1774" t="s">
        <v>22</v>
      </c>
      <c r="I936" s="1774" t="s">
        <v>906</v>
      </c>
    </row>
    <row r="937" spans="1:9" ht="11.25" customHeight="1">
      <c r="A937" s="1774" t="s">
        <v>2245</v>
      </c>
      <c r="B937" s="1774" t="s">
        <v>16</v>
      </c>
      <c r="C937" s="1774" t="s">
        <v>3801</v>
      </c>
      <c r="D937" s="1774" t="s">
        <v>2717</v>
      </c>
      <c r="E937" s="1774" t="s">
        <v>3802</v>
      </c>
      <c r="F937" s="1774" t="s">
        <v>2964</v>
      </c>
      <c r="G937" s="1774" t="s">
        <v>22</v>
      </c>
      <c r="H937" s="1774" t="s">
        <v>22</v>
      </c>
      <c r="I937" s="1774" t="s">
        <v>906</v>
      </c>
    </row>
    <row r="938" spans="1:9" ht="11.25" customHeight="1">
      <c r="A938" s="1774" t="s">
        <v>2245</v>
      </c>
      <c r="B938" s="1774" t="s">
        <v>16</v>
      </c>
      <c r="C938" s="1774" t="s">
        <v>2719</v>
      </c>
      <c r="D938" s="1774" t="s">
        <v>2720</v>
      </c>
      <c r="E938" s="1774" t="s">
        <v>2721</v>
      </c>
      <c r="F938" s="1774" t="s">
        <v>2531</v>
      </c>
      <c r="G938" s="1774" t="s">
        <v>22</v>
      </c>
      <c r="H938" s="1774" t="s">
        <v>22</v>
      </c>
      <c r="I938" s="1774" t="s">
        <v>906</v>
      </c>
    </row>
    <row r="939" spans="1:9" ht="11.25" customHeight="1">
      <c r="A939" s="1774" t="s">
        <v>2245</v>
      </c>
      <c r="B939" s="1774" t="s">
        <v>16</v>
      </c>
      <c r="C939" s="1774" t="s">
        <v>3806</v>
      </c>
      <c r="D939" s="1774" t="s">
        <v>3807</v>
      </c>
      <c r="E939" s="1774" t="s">
        <v>3808</v>
      </c>
      <c r="F939" s="1774" t="s">
        <v>2298</v>
      </c>
      <c r="G939" s="1774" t="s">
        <v>3809</v>
      </c>
      <c r="H939" s="1774" t="s">
        <v>22</v>
      </c>
      <c r="I939" s="1774" t="s">
        <v>906</v>
      </c>
    </row>
    <row r="940" spans="1:9" ht="11.25" customHeight="1">
      <c r="A940" s="1774" t="s">
        <v>2245</v>
      </c>
      <c r="B940" s="1774" t="s">
        <v>16</v>
      </c>
      <c r="C940" s="1774" t="s">
        <v>3810</v>
      </c>
      <c r="D940" s="1774" t="s">
        <v>3811</v>
      </c>
      <c r="E940" s="1774" t="s">
        <v>3812</v>
      </c>
      <c r="F940" s="1774" t="s">
        <v>2440</v>
      </c>
      <c r="G940" s="1774" t="s">
        <v>22</v>
      </c>
      <c r="H940" s="1774" t="s">
        <v>22</v>
      </c>
      <c r="I940" s="1774" t="s">
        <v>906</v>
      </c>
    </row>
    <row r="941" spans="1:9" ht="11.25" customHeight="1">
      <c r="A941" s="1774" t="s">
        <v>2245</v>
      </c>
      <c r="B941" s="1774" t="s">
        <v>16</v>
      </c>
      <c r="C941" s="1774" t="s">
        <v>3813</v>
      </c>
      <c r="D941" s="1774" t="s">
        <v>3814</v>
      </c>
      <c r="E941" s="1774" t="s">
        <v>3815</v>
      </c>
      <c r="F941" s="1774" t="s">
        <v>2964</v>
      </c>
      <c r="G941" s="1774" t="s">
        <v>22</v>
      </c>
      <c r="H941" s="1774" t="s">
        <v>22</v>
      </c>
      <c r="I941" s="1774" t="s">
        <v>906</v>
      </c>
    </row>
    <row r="942" spans="1:9" ht="11.25" customHeight="1">
      <c r="A942" s="1774" t="s">
        <v>2245</v>
      </c>
      <c r="B942" s="1774" t="s">
        <v>16</v>
      </c>
      <c r="C942" s="1774" t="s">
        <v>3816</v>
      </c>
      <c r="D942" s="1774" t="s">
        <v>3817</v>
      </c>
      <c r="E942" s="1774" t="s">
        <v>3818</v>
      </c>
      <c r="F942" s="1774" t="s">
        <v>2779</v>
      </c>
      <c r="G942" s="1774" t="s">
        <v>22</v>
      </c>
      <c r="H942" s="1774" t="s">
        <v>22</v>
      </c>
      <c r="I942" s="1774" t="s">
        <v>906</v>
      </c>
    </row>
    <row r="943" spans="1:9" ht="11.25" customHeight="1">
      <c r="A943" s="1774" t="s">
        <v>2245</v>
      </c>
      <c r="B943" s="1774" t="s">
        <v>16</v>
      </c>
      <c r="C943" s="1774" t="s">
        <v>2725</v>
      </c>
      <c r="D943" s="1774" t="s">
        <v>2726</v>
      </c>
      <c r="E943" s="1774" t="s">
        <v>2727</v>
      </c>
      <c r="F943" s="1774" t="s">
        <v>2704</v>
      </c>
      <c r="G943" s="1774" t="s">
        <v>22</v>
      </c>
      <c r="H943" s="1774" t="s">
        <v>22</v>
      </c>
      <c r="I943" s="1774" t="s">
        <v>906</v>
      </c>
    </row>
    <row r="944" spans="1:9" ht="11.25" customHeight="1">
      <c r="A944" s="1774" t="s">
        <v>2245</v>
      </c>
      <c r="B944" s="1774" t="s">
        <v>16</v>
      </c>
      <c r="C944" s="1774" t="s">
        <v>2728</v>
      </c>
      <c r="D944" s="1774" t="s">
        <v>2729</v>
      </c>
      <c r="E944" s="1774" t="s">
        <v>2730</v>
      </c>
      <c r="F944" s="1774" t="s">
        <v>2535</v>
      </c>
      <c r="G944" s="1774" t="s">
        <v>22</v>
      </c>
      <c r="H944" s="1774" t="s">
        <v>22</v>
      </c>
      <c r="I944" s="1774" t="s">
        <v>906</v>
      </c>
    </row>
    <row r="945" spans="1:9" ht="11.25" customHeight="1">
      <c r="A945" s="1774" t="s">
        <v>2245</v>
      </c>
      <c r="B945" s="1774" t="s">
        <v>16</v>
      </c>
      <c r="C945" s="1774" t="s">
        <v>2731</v>
      </c>
      <c r="D945" s="1774" t="s">
        <v>2732</v>
      </c>
      <c r="E945" s="1774" t="s">
        <v>2733</v>
      </c>
      <c r="F945" s="1774" t="s">
        <v>2686</v>
      </c>
      <c r="G945" s="1774" t="s">
        <v>22</v>
      </c>
      <c r="H945" s="1774" t="s">
        <v>22</v>
      </c>
      <c r="I945" s="1774" t="s">
        <v>906</v>
      </c>
    </row>
    <row r="946" spans="1:9" ht="11.25" customHeight="1">
      <c r="A946" s="1774" t="s">
        <v>2245</v>
      </c>
      <c r="B946" s="1774" t="s">
        <v>16</v>
      </c>
      <c r="C946" s="1774" t="s">
        <v>2734</v>
      </c>
      <c r="D946" s="1774" t="s">
        <v>2735</v>
      </c>
      <c r="E946" s="1774" t="s">
        <v>2736</v>
      </c>
      <c r="F946" s="1774" t="s">
        <v>2686</v>
      </c>
      <c r="G946" s="1774" t="s">
        <v>22</v>
      </c>
      <c r="H946" s="1774" t="s">
        <v>22</v>
      </c>
      <c r="I946" s="1774" t="s">
        <v>906</v>
      </c>
    </row>
    <row r="947" spans="1:9" ht="11.25" customHeight="1">
      <c r="A947" s="1774" t="s">
        <v>2245</v>
      </c>
      <c r="B947" s="1774" t="s">
        <v>16</v>
      </c>
      <c r="C947" s="1774" t="s">
        <v>2737</v>
      </c>
      <c r="D947" s="1774" t="s">
        <v>2738</v>
      </c>
      <c r="E947" s="1774" t="s">
        <v>2739</v>
      </c>
      <c r="F947" s="1774" t="s">
        <v>2686</v>
      </c>
      <c r="G947" s="1774" t="s">
        <v>22</v>
      </c>
      <c r="H947" s="1774" t="s">
        <v>22</v>
      </c>
      <c r="I947" s="1774" t="s">
        <v>906</v>
      </c>
    </row>
    <row r="948" spans="1:9" ht="11.25" customHeight="1">
      <c r="A948" s="1774" t="s">
        <v>2245</v>
      </c>
      <c r="B948" s="1774" t="s">
        <v>16</v>
      </c>
      <c r="C948" s="1774" t="s">
        <v>2740</v>
      </c>
      <c r="D948" s="1774" t="s">
        <v>2741</v>
      </c>
      <c r="E948" s="1774" t="s">
        <v>2742</v>
      </c>
      <c r="F948" s="1774" t="s">
        <v>2686</v>
      </c>
      <c r="G948" s="1774" t="s">
        <v>22</v>
      </c>
      <c r="H948" s="1774" t="s">
        <v>22</v>
      </c>
      <c r="I948" s="1774" t="s">
        <v>906</v>
      </c>
    </row>
    <row r="949" spans="1:9" ht="11.25" customHeight="1">
      <c r="A949" s="1774" t="s">
        <v>2245</v>
      </c>
      <c r="B949" s="1774" t="s">
        <v>16</v>
      </c>
      <c r="C949" s="1774" t="s">
        <v>2743</v>
      </c>
      <c r="D949" s="1774" t="s">
        <v>2744</v>
      </c>
      <c r="E949" s="1774" t="s">
        <v>2745</v>
      </c>
      <c r="F949" s="1774" t="s">
        <v>2686</v>
      </c>
      <c r="G949" s="1774" t="s">
        <v>22</v>
      </c>
      <c r="H949" s="1774" t="s">
        <v>2746</v>
      </c>
      <c r="I949" s="1774" t="s">
        <v>906</v>
      </c>
    </row>
    <row r="950" spans="1:9" ht="11.25" customHeight="1">
      <c r="A950" s="1774" t="s">
        <v>2245</v>
      </c>
      <c r="B950" s="1774" t="s">
        <v>16</v>
      </c>
      <c r="C950" s="1774" t="s">
        <v>2747</v>
      </c>
      <c r="D950" s="1774" t="s">
        <v>2748</v>
      </c>
      <c r="E950" s="1774" t="s">
        <v>2749</v>
      </c>
      <c r="F950" s="1774" t="s">
        <v>2686</v>
      </c>
      <c r="G950" s="1774" t="s">
        <v>22</v>
      </c>
      <c r="H950" s="1774" t="s">
        <v>22</v>
      </c>
      <c r="I950" s="1774" t="s">
        <v>906</v>
      </c>
    </row>
    <row r="951" spans="1:9" ht="11.25" customHeight="1">
      <c r="A951" s="1774" t="s">
        <v>2245</v>
      </c>
      <c r="B951" s="1774" t="s">
        <v>16</v>
      </c>
      <c r="C951" s="1774" t="s">
        <v>2750</v>
      </c>
      <c r="D951" s="1774" t="s">
        <v>2751</v>
      </c>
      <c r="E951" s="1774" t="s">
        <v>2752</v>
      </c>
      <c r="F951" s="1774" t="s">
        <v>2348</v>
      </c>
      <c r="G951" s="1774" t="s">
        <v>22</v>
      </c>
      <c r="H951" s="1774" t="s">
        <v>22</v>
      </c>
      <c r="I951" s="1774" t="s">
        <v>906</v>
      </c>
    </row>
    <row r="952" spans="1:9" ht="11.25" customHeight="1">
      <c r="A952" s="1774" t="s">
        <v>2245</v>
      </c>
      <c r="B952" s="1774" t="s">
        <v>16</v>
      </c>
      <c r="C952" s="1774" t="s">
        <v>2753</v>
      </c>
      <c r="D952" s="1774" t="s">
        <v>2754</v>
      </c>
      <c r="E952" s="1774" t="s">
        <v>2755</v>
      </c>
      <c r="F952" s="1774" t="s">
        <v>2686</v>
      </c>
      <c r="G952" s="1774" t="s">
        <v>22</v>
      </c>
      <c r="H952" s="1774" t="s">
        <v>22</v>
      </c>
      <c r="I952" s="1774" t="s">
        <v>906</v>
      </c>
    </row>
    <row r="953" spans="1:9" ht="11.25" customHeight="1">
      <c r="A953" s="1774" t="s">
        <v>2245</v>
      </c>
      <c r="B953" s="1774" t="s">
        <v>16</v>
      </c>
      <c r="C953" s="1774" t="s">
        <v>2756</v>
      </c>
      <c r="D953" s="1774" t="s">
        <v>2757</v>
      </c>
      <c r="E953" s="1774" t="s">
        <v>2758</v>
      </c>
      <c r="F953" s="1774" t="s">
        <v>2759</v>
      </c>
      <c r="G953" s="1774" t="s">
        <v>22</v>
      </c>
      <c r="H953" s="1774" t="s">
        <v>22</v>
      </c>
      <c r="I953" s="1774" t="s">
        <v>906</v>
      </c>
    </row>
    <row r="954" spans="1:9" ht="11.25" customHeight="1">
      <c r="A954" s="1774" t="s">
        <v>2245</v>
      </c>
      <c r="B954" s="1774" t="s">
        <v>16</v>
      </c>
      <c r="C954" s="1774" t="s">
        <v>2760</v>
      </c>
      <c r="D954" s="1774" t="s">
        <v>2761</v>
      </c>
      <c r="E954" s="1774" t="s">
        <v>2762</v>
      </c>
      <c r="F954" s="1774" t="s">
        <v>2686</v>
      </c>
      <c r="G954" s="1774" t="s">
        <v>22</v>
      </c>
      <c r="H954" s="1774" t="s">
        <v>22</v>
      </c>
      <c r="I954" s="1774" t="s">
        <v>906</v>
      </c>
    </row>
    <row r="955" spans="1:9" ht="11.25" customHeight="1">
      <c r="A955" s="1774" t="s">
        <v>2245</v>
      </c>
      <c r="B955" s="1774" t="s">
        <v>16</v>
      </c>
      <c r="C955" s="1774" t="s">
        <v>2763</v>
      </c>
      <c r="D955" s="1774" t="s">
        <v>2764</v>
      </c>
      <c r="E955" s="1774" t="s">
        <v>2765</v>
      </c>
      <c r="F955" s="1774" t="s">
        <v>2766</v>
      </c>
      <c r="G955" s="1774" t="s">
        <v>22</v>
      </c>
      <c r="H955" s="1774" t="s">
        <v>22</v>
      </c>
      <c r="I955" s="1774" t="s">
        <v>906</v>
      </c>
    </row>
    <row r="956" spans="1:9" ht="11.25" customHeight="1">
      <c r="A956" s="1774" t="s">
        <v>2245</v>
      </c>
      <c r="B956" s="1774" t="s">
        <v>16</v>
      </c>
      <c r="C956" s="1774" t="s">
        <v>2767</v>
      </c>
      <c r="D956" s="1774" t="s">
        <v>2768</v>
      </c>
      <c r="E956" s="1774" t="s">
        <v>2769</v>
      </c>
      <c r="F956" s="1774" t="s">
        <v>2508</v>
      </c>
      <c r="G956" s="1774" t="s">
        <v>22</v>
      </c>
      <c r="H956" s="1774" t="s">
        <v>22</v>
      </c>
      <c r="I956" s="1774" t="s">
        <v>906</v>
      </c>
    </row>
    <row r="957" spans="1:9" ht="11.25" customHeight="1">
      <c r="A957" s="1774" t="s">
        <v>2245</v>
      </c>
      <c r="B957" s="1774" t="s">
        <v>16</v>
      </c>
      <c r="C957" s="1774" t="s">
        <v>2770</v>
      </c>
      <c r="D957" s="1774" t="s">
        <v>2771</v>
      </c>
      <c r="E957" s="1774" t="s">
        <v>2772</v>
      </c>
      <c r="F957" s="1774" t="s">
        <v>2531</v>
      </c>
      <c r="G957" s="1774" t="s">
        <v>22</v>
      </c>
      <c r="H957" s="1774" t="s">
        <v>22</v>
      </c>
      <c r="I957" s="1774" t="s">
        <v>906</v>
      </c>
    </row>
    <row r="958" spans="1:9" ht="11.25" customHeight="1">
      <c r="A958" s="1774" t="s">
        <v>2245</v>
      </c>
      <c r="B958" s="1774" t="s">
        <v>16</v>
      </c>
      <c r="C958" s="1774" t="s">
        <v>2773</v>
      </c>
      <c r="D958" s="1774" t="s">
        <v>2774</v>
      </c>
      <c r="E958" s="1774" t="s">
        <v>2775</v>
      </c>
      <c r="F958" s="1774" t="s">
        <v>2298</v>
      </c>
      <c r="G958" s="1774" t="s">
        <v>22</v>
      </c>
      <c r="H958" s="1774" t="s">
        <v>22</v>
      </c>
      <c r="I958" s="1774" t="s">
        <v>906</v>
      </c>
    </row>
    <row r="959" spans="1:9" ht="11.25" customHeight="1">
      <c r="A959" s="1774" t="s">
        <v>2245</v>
      </c>
      <c r="B959" s="1774" t="s">
        <v>16</v>
      </c>
      <c r="C959" s="1774" t="s">
        <v>3825</v>
      </c>
      <c r="D959" s="1774" t="s">
        <v>3826</v>
      </c>
      <c r="E959" s="1774" t="s">
        <v>3827</v>
      </c>
      <c r="F959" s="1774" t="s">
        <v>2823</v>
      </c>
      <c r="G959" s="1774" t="s">
        <v>22</v>
      </c>
      <c r="H959" s="1774" t="s">
        <v>22</v>
      </c>
      <c r="I959" s="1774" t="s">
        <v>906</v>
      </c>
    </row>
    <row r="960" spans="1:9" ht="11.25" customHeight="1">
      <c r="A960" s="1774" t="s">
        <v>2245</v>
      </c>
      <c r="B960" s="1774" t="s">
        <v>16</v>
      </c>
      <c r="C960" s="1774" t="s">
        <v>2780</v>
      </c>
      <c r="D960" s="1774" t="s">
        <v>2781</v>
      </c>
      <c r="E960" s="1774" t="s">
        <v>2782</v>
      </c>
      <c r="F960" s="1774" t="s">
        <v>2535</v>
      </c>
      <c r="G960" s="1774" t="s">
        <v>22</v>
      </c>
      <c r="H960" s="1774" t="s">
        <v>22</v>
      </c>
      <c r="I960" s="1774" t="s">
        <v>906</v>
      </c>
    </row>
    <row r="961" spans="1:9" ht="11.25" customHeight="1">
      <c r="A961" s="1774" t="s">
        <v>2245</v>
      </c>
      <c r="B961" s="1774" t="s">
        <v>16</v>
      </c>
      <c r="C961" s="1774" t="s">
        <v>2786</v>
      </c>
      <c r="D961" s="1774" t="s">
        <v>2787</v>
      </c>
      <c r="E961" s="1774" t="s">
        <v>2788</v>
      </c>
      <c r="F961" s="1774" t="s">
        <v>2531</v>
      </c>
      <c r="G961" s="1774" t="s">
        <v>22</v>
      </c>
      <c r="H961" s="1774" t="s">
        <v>22</v>
      </c>
      <c r="I961" s="1774" t="s">
        <v>906</v>
      </c>
    </row>
    <row r="962" spans="1:9" ht="11.25" customHeight="1">
      <c r="A962" s="1774" t="s">
        <v>2245</v>
      </c>
      <c r="B962" s="1774" t="s">
        <v>16</v>
      </c>
      <c r="C962" s="1774" t="s">
        <v>3832</v>
      </c>
      <c r="D962" s="1774" t="s">
        <v>3833</v>
      </c>
      <c r="E962" s="1774" t="s">
        <v>3834</v>
      </c>
      <c r="F962" s="1774" t="s">
        <v>2515</v>
      </c>
      <c r="G962" s="1774" t="s">
        <v>22</v>
      </c>
      <c r="H962" s="1774" t="s">
        <v>22</v>
      </c>
      <c r="I962" s="1774" t="s">
        <v>906</v>
      </c>
    </row>
    <row r="963" spans="1:9" ht="11.25" customHeight="1">
      <c r="A963" s="1774" t="s">
        <v>2245</v>
      </c>
      <c r="B963" s="1774" t="s">
        <v>16</v>
      </c>
      <c r="C963" s="1774" t="s">
        <v>3835</v>
      </c>
      <c r="D963" s="1774" t="s">
        <v>3836</v>
      </c>
      <c r="E963" s="1774" t="s">
        <v>3837</v>
      </c>
      <c r="F963" s="1774" t="s">
        <v>2515</v>
      </c>
      <c r="G963" s="1774" t="s">
        <v>22</v>
      </c>
      <c r="H963" s="1774" t="s">
        <v>22</v>
      </c>
      <c r="I963" s="1774" t="s">
        <v>906</v>
      </c>
    </row>
    <row r="964" spans="1:9" ht="11.25" customHeight="1">
      <c r="A964" s="1774" t="s">
        <v>2245</v>
      </c>
      <c r="B964" s="1774" t="s">
        <v>16</v>
      </c>
      <c r="C964" s="1774" t="s">
        <v>2792</v>
      </c>
      <c r="D964" s="1774" t="s">
        <v>2793</v>
      </c>
      <c r="E964" s="1774" t="s">
        <v>2794</v>
      </c>
      <c r="F964" s="1774" t="s">
        <v>2298</v>
      </c>
      <c r="G964" s="1774" t="s">
        <v>22</v>
      </c>
      <c r="H964" s="1774" t="s">
        <v>22</v>
      </c>
      <c r="I964" s="1774" t="s">
        <v>906</v>
      </c>
    </row>
    <row r="965" spans="1:9" ht="11.25" customHeight="1">
      <c r="A965" s="1774" t="s">
        <v>2245</v>
      </c>
      <c r="B965" s="1774" t="s">
        <v>16</v>
      </c>
      <c r="C965" s="1774" t="s">
        <v>2795</v>
      </c>
      <c r="D965" s="1774" t="s">
        <v>2796</v>
      </c>
      <c r="E965" s="1774" t="s">
        <v>2797</v>
      </c>
      <c r="F965" s="1774" t="s">
        <v>2298</v>
      </c>
      <c r="G965" s="1774" t="s">
        <v>22</v>
      </c>
      <c r="H965" s="1774" t="s">
        <v>22</v>
      </c>
      <c r="I965" s="1774" t="s">
        <v>906</v>
      </c>
    </row>
    <row r="966" spans="1:9" ht="11.25" customHeight="1">
      <c r="A966" s="1774" t="s">
        <v>2245</v>
      </c>
      <c r="B966" s="1774" t="s">
        <v>16</v>
      </c>
      <c r="C966" s="1774" t="s">
        <v>3838</v>
      </c>
      <c r="D966" s="1774" t="s">
        <v>3839</v>
      </c>
      <c r="E966" s="1774" t="s">
        <v>3840</v>
      </c>
      <c r="F966" s="1774" t="s">
        <v>2531</v>
      </c>
      <c r="G966" s="1774" t="s">
        <v>22</v>
      </c>
      <c r="H966" s="1774" t="s">
        <v>22</v>
      </c>
      <c r="I966" s="1774" t="s">
        <v>906</v>
      </c>
    </row>
    <row r="967" spans="1:9" ht="11.25" customHeight="1">
      <c r="A967" s="1774" t="s">
        <v>2245</v>
      </c>
      <c r="B967" s="1774" t="s">
        <v>16</v>
      </c>
      <c r="C967" s="1774" t="s">
        <v>3841</v>
      </c>
      <c r="D967" s="1774" t="s">
        <v>3842</v>
      </c>
      <c r="E967" s="1774" t="s">
        <v>3843</v>
      </c>
      <c r="F967" s="1774" t="s">
        <v>2630</v>
      </c>
      <c r="G967" s="1774" t="s">
        <v>3844</v>
      </c>
      <c r="H967" s="1774" t="s">
        <v>22</v>
      </c>
      <c r="I967" s="1774" t="s">
        <v>906</v>
      </c>
    </row>
    <row r="968" spans="1:9" ht="11.25" customHeight="1">
      <c r="A968" s="1774" t="s">
        <v>2245</v>
      </c>
      <c r="B968" s="1774" t="s">
        <v>16</v>
      </c>
      <c r="C968" s="1774" t="s">
        <v>2804</v>
      </c>
      <c r="D968" s="1774" t="s">
        <v>2805</v>
      </c>
      <c r="E968" s="1774" t="s">
        <v>2806</v>
      </c>
      <c r="F968" s="1774" t="s">
        <v>2527</v>
      </c>
      <c r="G968" s="1774" t="s">
        <v>22</v>
      </c>
      <c r="H968" s="1774" t="s">
        <v>22</v>
      </c>
      <c r="I968" s="1774" t="s">
        <v>906</v>
      </c>
    </row>
    <row r="969" spans="1:9" ht="11.25" customHeight="1">
      <c r="A969" s="1774" t="s">
        <v>2245</v>
      </c>
      <c r="B969" s="1774" t="s">
        <v>16</v>
      </c>
      <c r="C969" s="1774" t="s">
        <v>2807</v>
      </c>
      <c r="D969" s="1774" t="s">
        <v>2808</v>
      </c>
      <c r="E969" s="1774" t="s">
        <v>2809</v>
      </c>
      <c r="F969" s="1774" t="s">
        <v>2523</v>
      </c>
      <c r="G969" s="1774" t="s">
        <v>22</v>
      </c>
      <c r="H969" s="1774" t="s">
        <v>22</v>
      </c>
      <c r="I969" s="1774" t="s">
        <v>906</v>
      </c>
    </row>
    <row r="970" spans="1:9" ht="11.25" customHeight="1">
      <c r="A970" s="1774" t="s">
        <v>2245</v>
      </c>
      <c r="B970" s="1774" t="s">
        <v>16</v>
      </c>
      <c r="C970" s="1774" t="s">
        <v>2810</v>
      </c>
      <c r="D970" s="1774" t="s">
        <v>2811</v>
      </c>
      <c r="E970" s="1774" t="s">
        <v>2812</v>
      </c>
      <c r="F970" s="1774" t="s">
        <v>2686</v>
      </c>
      <c r="G970" s="1774" t="s">
        <v>22</v>
      </c>
      <c r="H970" s="1774" t="s">
        <v>22</v>
      </c>
      <c r="I970" s="1774" t="s">
        <v>906</v>
      </c>
    </row>
    <row r="971" spans="1:9" ht="11.25" customHeight="1">
      <c r="A971" s="1774" t="s">
        <v>2245</v>
      </c>
      <c r="B971" s="1774" t="s">
        <v>16</v>
      </c>
      <c r="C971" s="1774" t="s">
        <v>2813</v>
      </c>
      <c r="D971" s="1774" t="s">
        <v>2814</v>
      </c>
      <c r="E971" s="1774" t="s">
        <v>2815</v>
      </c>
      <c r="F971" s="1774" t="s">
        <v>2816</v>
      </c>
      <c r="G971" s="1774" t="s">
        <v>22</v>
      </c>
      <c r="H971" s="1774" t="s">
        <v>22</v>
      </c>
      <c r="I971" s="1774" t="s">
        <v>906</v>
      </c>
    </row>
    <row r="972" spans="1:9" ht="11.25" customHeight="1">
      <c r="A972" s="1774" t="s">
        <v>2245</v>
      </c>
      <c r="B972" s="1774" t="s">
        <v>16</v>
      </c>
      <c r="C972" s="1774" t="s">
        <v>2817</v>
      </c>
      <c r="D972" s="1774" t="s">
        <v>2818</v>
      </c>
      <c r="E972" s="1774" t="s">
        <v>2819</v>
      </c>
      <c r="F972" s="1774" t="s">
        <v>2306</v>
      </c>
      <c r="G972" s="1774" t="s">
        <v>22</v>
      </c>
      <c r="H972" s="1774" t="s">
        <v>22</v>
      </c>
      <c r="I972" s="1774" t="s">
        <v>906</v>
      </c>
    </row>
    <row r="973" spans="1:9" ht="11.25" customHeight="1">
      <c r="A973" s="1774" t="s">
        <v>2245</v>
      </c>
      <c r="B973" s="1774" t="s">
        <v>16</v>
      </c>
      <c r="C973" s="1774" t="s">
        <v>2820</v>
      </c>
      <c r="D973" s="1774" t="s">
        <v>2821</v>
      </c>
      <c r="E973" s="1774" t="s">
        <v>2822</v>
      </c>
      <c r="F973" s="1774" t="s">
        <v>2823</v>
      </c>
      <c r="G973" s="1774" t="s">
        <v>22</v>
      </c>
      <c r="H973" s="1774" t="s">
        <v>22</v>
      </c>
      <c r="I973" s="1774" t="s">
        <v>906</v>
      </c>
    </row>
    <row r="974" spans="1:9" ht="11.25" customHeight="1">
      <c r="A974" s="1774" t="s">
        <v>2245</v>
      </c>
      <c r="B974" s="1774" t="s">
        <v>16</v>
      </c>
      <c r="C974" s="1774" t="s">
        <v>2824</v>
      </c>
      <c r="D974" s="1774" t="s">
        <v>2825</v>
      </c>
      <c r="E974" s="1774" t="s">
        <v>2826</v>
      </c>
      <c r="F974" s="1774" t="s">
        <v>2686</v>
      </c>
      <c r="G974" s="1774" t="s">
        <v>22</v>
      </c>
      <c r="H974" s="1774" t="s">
        <v>22</v>
      </c>
      <c r="I974" s="1774" t="s">
        <v>906</v>
      </c>
    </row>
    <row r="975" spans="1:9" ht="11.25" customHeight="1">
      <c r="A975" s="1774" t="s">
        <v>2245</v>
      </c>
      <c r="B975" s="1774" t="s">
        <v>16</v>
      </c>
      <c r="C975" s="1774" t="s">
        <v>2830</v>
      </c>
      <c r="D975" s="1774" t="s">
        <v>2831</v>
      </c>
      <c r="E975" s="1774" t="s">
        <v>2832</v>
      </c>
      <c r="F975" s="1774" t="s">
        <v>2704</v>
      </c>
      <c r="G975" s="1774" t="s">
        <v>22</v>
      </c>
      <c r="H975" s="1774" t="s">
        <v>22</v>
      </c>
      <c r="I975" s="1774" t="s">
        <v>906</v>
      </c>
    </row>
    <row r="976" spans="1:9" ht="11.25" customHeight="1">
      <c r="A976" s="1774" t="s">
        <v>2245</v>
      </c>
      <c r="B976" s="1774" t="s">
        <v>16</v>
      </c>
      <c r="C976" s="1774" t="s">
        <v>2833</v>
      </c>
      <c r="D976" s="1774" t="s">
        <v>2834</v>
      </c>
      <c r="E976" s="1774" t="s">
        <v>2835</v>
      </c>
      <c r="F976" s="1774" t="s">
        <v>2836</v>
      </c>
      <c r="G976" s="1774" t="s">
        <v>22</v>
      </c>
      <c r="H976" s="1774" t="s">
        <v>22</v>
      </c>
      <c r="I976" s="1774" t="s">
        <v>906</v>
      </c>
    </row>
    <row r="977" spans="1:9" ht="11.25" customHeight="1">
      <c r="A977" s="1774" t="s">
        <v>2245</v>
      </c>
      <c r="B977" s="1774" t="s">
        <v>16</v>
      </c>
      <c r="C977" s="1774" t="s">
        <v>3848</v>
      </c>
      <c r="D977" s="1774" t="s">
        <v>3849</v>
      </c>
      <c r="E977" s="1774" t="s">
        <v>3850</v>
      </c>
      <c r="F977" s="1774" t="s">
        <v>2892</v>
      </c>
      <c r="G977" s="1774" t="s">
        <v>22</v>
      </c>
      <c r="H977" s="1774" t="s">
        <v>22</v>
      </c>
      <c r="I977" s="1774" t="s">
        <v>906</v>
      </c>
    </row>
    <row r="978" spans="1:9" ht="11.25" customHeight="1">
      <c r="A978" s="1774" t="s">
        <v>2245</v>
      </c>
      <c r="B978" s="1774" t="s">
        <v>16</v>
      </c>
      <c r="C978" s="1774" t="s">
        <v>2837</v>
      </c>
      <c r="D978" s="1774" t="s">
        <v>2838</v>
      </c>
      <c r="E978" s="1774" t="s">
        <v>2839</v>
      </c>
      <c r="F978" s="1774" t="s">
        <v>2542</v>
      </c>
      <c r="G978" s="1774" t="s">
        <v>22</v>
      </c>
      <c r="H978" s="1774" t="s">
        <v>22</v>
      </c>
      <c r="I978" s="1774" t="s">
        <v>906</v>
      </c>
    </row>
    <row r="979" spans="1:9" ht="11.25" customHeight="1">
      <c r="A979" s="1774" t="s">
        <v>2245</v>
      </c>
      <c r="B979" s="1774" t="s">
        <v>16</v>
      </c>
      <c r="C979" s="1774" t="s">
        <v>2840</v>
      </c>
      <c r="D979" s="1774" t="s">
        <v>2841</v>
      </c>
      <c r="E979" s="1774" t="s">
        <v>2842</v>
      </c>
      <c r="F979" s="1774" t="s">
        <v>2843</v>
      </c>
      <c r="G979" s="1774" t="s">
        <v>22</v>
      </c>
      <c r="H979" s="1774" t="s">
        <v>22</v>
      </c>
      <c r="I979" s="1774" t="s">
        <v>906</v>
      </c>
    </row>
    <row r="980" spans="1:9" ht="11.25" customHeight="1">
      <c r="A980" s="1774" t="s">
        <v>2245</v>
      </c>
      <c r="B980" s="1774" t="s">
        <v>16</v>
      </c>
      <c r="C980" s="1774" t="s">
        <v>2844</v>
      </c>
      <c r="D980" s="1774" t="s">
        <v>2845</v>
      </c>
      <c r="E980" s="1774" t="s">
        <v>2846</v>
      </c>
      <c r="F980" s="1774" t="s">
        <v>2317</v>
      </c>
      <c r="G980" s="1774" t="s">
        <v>22</v>
      </c>
      <c r="H980" s="1774" t="s">
        <v>22</v>
      </c>
      <c r="I980" s="1774" t="s">
        <v>906</v>
      </c>
    </row>
    <row r="981" spans="1:9" ht="11.25" customHeight="1">
      <c r="A981" s="1774" t="s">
        <v>2245</v>
      </c>
      <c r="B981" s="1774" t="s">
        <v>16</v>
      </c>
      <c r="C981" s="1774" t="s">
        <v>3858</v>
      </c>
      <c r="D981" s="1774" t="s">
        <v>3859</v>
      </c>
      <c r="E981" s="1774" t="s">
        <v>3860</v>
      </c>
      <c r="F981" s="1774" t="s">
        <v>2535</v>
      </c>
      <c r="G981" s="1774" t="s">
        <v>22</v>
      </c>
      <c r="H981" s="1774" t="s">
        <v>22</v>
      </c>
      <c r="I981" s="1774" t="s">
        <v>906</v>
      </c>
    </row>
    <row r="982" spans="1:9" ht="11.25" customHeight="1">
      <c r="A982" s="1774" t="s">
        <v>2245</v>
      </c>
      <c r="B982" s="1774" t="s">
        <v>16</v>
      </c>
      <c r="C982" s="1774" t="s">
        <v>2847</v>
      </c>
      <c r="D982" s="1774" t="s">
        <v>2848</v>
      </c>
      <c r="E982" s="1774" t="s">
        <v>2849</v>
      </c>
      <c r="F982" s="1774" t="s">
        <v>2519</v>
      </c>
      <c r="G982" s="1774" t="s">
        <v>22</v>
      </c>
      <c r="H982" s="1774" t="s">
        <v>22</v>
      </c>
      <c r="I982" s="1774" t="s">
        <v>906</v>
      </c>
    </row>
    <row r="983" spans="1:9" ht="11.25" customHeight="1">
      <c r="A983" s="1774" t="s">
        <v>2245</v>
      </c>
      <c r="B983" s="1774" t="s">
        <v>16</v>
      </c>
      <c r="C983" s="1774" t="s">
        <v>2850</v>
      </c>
      <c r="D983" s="1774" t="s">
        <v>2851</v>
      </c>
      <c r="E983" s="1774" t="s">
        <v>2852</v>
      </c>
      <c r="F983" s="1774" t="s">
        <v>2638</v>
      </c>
      <c r="G983" s="1774" t="s">
        <v>2853</v>
      </c>
      <c r="H983" s="1774" t="s">
        <v>22</v>
      </c>
      <c r="I983" s="1774" t="s">
        <v>906</v>
      </c>
    </row>
    <row r="984" spans="1:9" ht="11.25" customHeight="1">
      <c r="A984" s="1774" t="s">
        <v>2245</v>
      </c>
      <c r="B984" s="1774" t="s">
        <v>16</v>
      </c>
      <c r="C984" s="1774" t="s">
        <v>2854</v>
      </c>
      <c r="D984" s="1774" t="s">
        <v>2855</v>
      </c>
      <c r="E984" s="1774" t="s">
        <v>2856</v>
      </c>
      <c r="F984" s="1774" t="s">
        <v>2697</v>
      </c>
      <c r="G984" s="1774" t="s">
        <v>22</v>
      </c>
      <c r="H984" s="1774" t="s">
        <v>22</v>
      </c>
      <c r="I984" s="1774" t="s">
        <v>906</v>
      </c>
    </row>
    <row r="985" spans="1:9" ht="11.25" customHeight="1">
      <c r="A985" s="1774" t="s">
        <v>2245</v>
      </c>
      <c r="B985" s="1774" t="s">
        <v>16</v>
      </c>
      <c r="C985" s="1774" t="s">
        <v>2857</v>
      </c>
      <c r="D985" s="1774" t="s">
        <v>2858</v>
      </c>
      <c r="E985" s="1774" t="s">
        <v>2859</v>
      </c>
      <c r="F985" s="1774" t="s">
        <v>2527</v>
      </c>
      <c r="G985" s="1774" t="s">
        <v>22</v>
      </c>
      <c r="H985" s="1774" t="s">
        <v>22</v>
      </c>
      <c r="I985" s="1774" t="s">
        <v>906</v>
      </c>
    </row>
    <row r="986" spans="1:9" ht="11.25" customHeight="1">
      <c r="A986" s="1774" t="s">
        <v>2245</v>
      </c>
      <c r="B986" s="1774" t="s">
        <v>16</v>
      </c>
      <c r="C986" s="1774" t="s">
        <v>2860</v>
      </c>
      <c r="D986" s="1774" t="s">
        <v>2861</v>
      </c>
      <c r="E986" s="1774" t="s">
        <v>2862</v>
      </c>
      <c r="F986" s="1774" t="s">
        <v>2863</v>
      </c>
      <c r="G986" s="1774" t="s">
        <v>22</v>
      </c>
      <c r="H986" s="1774" t="s">
        <v>22</v>
      </c>
      <c r="I986" s="1774" t="s">
        <v>906</v>
      </c>
    </row>
    <row r="987" spans="1:9" ht="11.25" customHeight="1">
      <c r="A987" s="1774" t="s">
        <v>2245</v>
      </c>
      <c r="B987" s="1774" t="s">
        <v>16</v>
      </c>
      <c r="C987" s="1774" t="s">
        <v>2864</v>
      </c>
      <c r="D987" s="1774" t="s">
        <v>2865</v>
      </c>
      <c r="E987" s="1774" t="s">
        <v>2866</v>
      </c>
      <c r="F987" s="1774" t="s">
        <v>2867</v>
      </c>
      <c r="G987" s="1774" t="s">
        <v>22</v>
      </c>
      <c r="H987" s="1774" t="s">
        <v>22</v>
      </c>
      <c r="I987" s="1774" t="s">
        <v>906</v>
      </c>
    </row>
    <row r="988" spans="1:9" ht="11.25" customHeight="1">
      <c r="A988" s="1774" t="s">
        <v>2245</v>
      </c>
      <c r="B988" s="1774" t="s">
        <v>16</v>
      </c>
      <c r="C988" s="1774" t="s">
        <v>2868</v>
      </c>
      <c r="D988" s="1774" t="s">
        <v>2869</v>
      </c>
      <c r="E988" s="1774" t="s">
        <v>2870</v>
      </c>
      <c r="F988" s="1774" t="s">
        <v>2535</v>
      </c>
      <c r="G988" s="1774" t="s">
        <v>2871</v>
      </c>
      <c r="H988" s="1774" t="s">
        <v>22</v>
      </c>
      <c r="I988" s="1774" t="s">
        <v>906</v>
      </c>
    </row>
    <row r="989" spans="1:9" ht="11.25" customHeight="1">
      <c r="A989" s="1774" t="s">
        <v>2245</v>
      </c>
      <c r="B989" s="1774" t="s">
        <v>16</v>
      </c>
      <c r="C989" s="1774" t="s">
        <v>2872</v>
      </c>
      <c r="D989" s="1774" t="s">
        <v>2873</v>
      </c>
      <c r="E989" s="1774" t="s">
        <v>2874</v>
      </c>
      <c r="F989" s="1774" t="s">
        <v>2535</v>
      </c>
      <c r="G989" s="1774" t="s">
        <v>22</v>
      </c>
      <c r="H989" s="1774" t="s">
        <v>22</v>
      </c>
      <c r="I989" s="1774" t="s">
        <v>906</v>
      </c>
    </row>
    <row r="990" spans="1:9" ht="11.25" customHeight="1">
      <c r="A990" s="1774" t="s">
        <v>2245</v>
      </c>
      <c r="B990" s="1774" t="s">
        <v>16</v>
      </c>
      <c r="C990" s="1774" t="s">
        <v>2875</v>
      </c>
      <c r="D990" s="1774" t="s">
        <v>2876</v>
      </c>
      <c r="E990" s="1774" t="s">
        <v>2877</v>
      </c>
      <c r="F990" s="1774" t="s">
        <v>2878</v>
      </c>
      <c r="G990" s="1774" t="s">
        <v>22</v>
      </c>
      <c r="H990" s="1774" t="s">
        <v>22</v>
      </c>
      <c r="I990" s="1774" t="s">
        <v>906</v>
      </c>
    </row>
    <row r="991" spans="1:9" ht="11.25" customHeight="1">
      <c r="A991" s="1774" t="s">
        <v>2245</v>
      </c>
      <c r="B991" s="1774" t="s">
        <v>16</v>
      </c>
      <c r="C991" s="1774" t="s">
        <v>2879</v>
      </c>
      <c r="D991" s="1774" t="s">
        <v>2880</v>
      </c>
      <c r="E991" s="1774" t="s">
        <v>2881</v>
      </c>
      <c r="F991" s="1774" t="s">
        <v>2686</v>
      </c>
      <c r="G991" s="1774" t="s">
        <v>22</v>
      </c>
      <c r="H991" s="1774" t="s">
        <v>2746</v>
      </c>
      <c r="I991" s="1774" t="s">
        <v>906</v>
      </c>
    </row>
    <row r="992" spans="1:9" ht="11.25" customHeight="1">
      <c r="A992" s="1774" t="s">
        <v>2245</v>
      </c>
      <c r="B992" s="1774" t="s">
        <v>16</v>
      </c>
      <c r="C992" s="1774" t="s">
        <v>2882</v>
      </c>
      <c r="D992" s="1774" t="s">
        <v>2883</v>
      </c>
      <c r="E992" s="1774" t="s">
        <v>2884</v>
      </c>
      <c r="F992" s="1774" t="s">
        <v>2496</v>
      </c>
      <c r="G992" s="1774" t="s">
        <v>2885</v>
      </c>
      <c r="H992" s="1774" t="s">
        <v>22</v>
      </c>
      <c r="I992" s="1774" t="s">
        <v>906</v>
      </c>
    </row>
    <row r="993" spans="1:9" ht="11.25" customHeight="1">
      <c r="A993" s="1774" t="s">
        <v>2245</v>
      </c>
      <c r="B993" s="1774" t="s">
        <v>16</v>
      </c>
      <c r="C993" s="1774" t="s">
        <v>2889</v>
      </c>
      <c r="D993" s="1774" t="s">
        <v>2890</v>
      </c>
      <c r="E993" s="1774" t="s">
        <v>2891</v>
      </c>
      <c r="F993" s="1774" t="s">
        <v>2892</v>
      </c>
      <c r="G993" s="1774" t="s">
        <v>22</v>
      </c>
      <c r="H993" s="1774" t="s">
        <v>22</v>
      </c>
      <c r="I993" s="1774" t="s">
        <v>906</v>
      </c>
    </row>
    <row r="994" spans="1:9" ht="11.25" customHeight="1">
      <c r="A994" s="1774" t="s">
        <v>2245</v>
      </c>
      <c r="B994" s="1774" t="s">
        <v>16</v>
      </c>
      <c r="C994" s="1774" t="s">
        <v>2893</v>
      </c>
      <c r="D994" s="1774" t="s">
        <v>2894</v>
      </c>
      <c r="E994" s="1774" t="s">
        <v>2895</v>
      </c>
      <c r="F994" s="1774" t="s">
        <v>2843</v>
      </c>
      <c r="G994" s="1774" t="s">
        <v>22</v>
      </c>
      <c r="H994" s="1774" t="s">
        <v>22</v>
      </c>
      <c r="I994" s="1774" t="s">
        <v>906</v>
      </c>
    </row>
    <row r="995" spans="1:9" ht="11.25" customHeight="1">
      <c r="A995" s="1774" t="s">
        <v>2245</v>
      </c>
      <c r="B995" s="1774" t="s">
        <v>16</v>
      </c>
      <c r="C995" s="1774" t="s">
        <v>2896</v>
      </c>
      <c r="D995" s="1774" t="s">
        <v>2897</v>
      </c>
      <c r="E995" s="1774" t="s">
        <v>2898</v>
      </c>
      <c r="F995" s="1774" t="s">
        <v>2638</v>
      </c>
      <c r="G995" s="1774" t="s">
        <v>2899</v>
      </c>
      <c r="H995" s="1774" t="s">
        <v>2900</v>
      </c>
      <c r="I995" s="1774" t="s">
        <v>906</v>
      </c>
    </row>
    <row r="996" spans="1:9" ht="11.25" customHeight="1">
      <c r="A996" s="1774" t="s">
        <v>2245</v>
      </c>
      <c r="B996" s="1774" t="s">
        <v>16</v>
      </c>
      <c r="C996" s="1774" t="s">
        <v>3861</v>
      </c>
      <c r="D996" s="1774" t="s">
        <v>3862</v>
      </c>
      <c r="E996" s="1774" t="s">
        <v>3863</v>
      </c>
      <c r="F996" s="1774" t="s">
        <v>2892</v>
      </c>
      <c r="G996" s="1774" t="s">
        <v>22</v>
      </c>
      <c r="H996" s="1774" t="s">
        <v>22</v>
      </c>
      <c r="I996" s="1774" t="s">
        <v>906</v>
      </c>
    </row>
    <row r="997" spans="1:9" ht="11.25" customHeight="1">
      <c r="A997" s="1774" t="s">
        <v>2245</v>
      </c>
      <c r="B997" s="1774" t="s">
        <v>16</v>
      </c>
      <c r="C997" s="1774" t="s">
        <v>2901</v>
      </c>
      <c r="D997" s="1774" t="s">
        <v>2902</v>
      </c>
      <c r="E997" s="1774" t="s">
        <v>2903</v>
      </c>
      <c r="F997" s="1774" t="s">
        <v>2496</v>
      </c>
      <c r="G997" s="1774" t="s">
        <v>2904</v>
      </c>
      <c r="H997" s="1774" t="s">
        <v>2451</v>
      </c>
      <c r="I997" s="1774" t="s">
        <v>906</v>
      </c>
    </row>
    <row r="998" spans="1:9" ht="11.25" customHeight="1">
      <c r="A998" s="1774" t="s">
        <v>2245</v>
      </c>
      <c r="B998" s="1774" t="s">
        <v>16</v>
      </c>
      <c r="C998" s="1774" t="s">
        <v>2920</v>
      </c>
      <c r="D998" s="1774" t="s">
        <v>2921</v>
      </c>
      <c r="E998" s="1774" t="s">
        <v>2922</v>
      </c>
      <c r="F998" s="1774" t="s">
        <v>2496</v>
      </c>
      <c r="G998" s="1774" t="s">
        <v>22</v>
      </c>
      <c r="H998" s="1774" t="s">
        <v>22</v>
      </c>
      <c r="I998" s="1774" t="s">
        <v>906</v>
      </c>
    </row>
    <row r="999" spans="1:9" ht="11.25" customHeight="1">
      <c r="A999" s="1774" t="s">
        <v>2245</v>
      </c>
      <c r="B999" s="1774" t="s">
        <v>16</v>
      </c>
      <c r="C999" s="1774" t="s">
        <v>2929</v>
      </c>
      <c r="D999" s="1774" t="s">
        <v>2930</v>
      </c>
      <c r="E999" s="1774" t="s">
        <v>2931</v>
      </c>
      <c r="F999" s="1774" t="s">
        <v>2932</v>
      </c>
      <c r="G999" s="1774" t="s">
        <v>22</v>
      </c>
      <c r="H999" s="1774" t="s">
        <v>22</v>
      </c>
      <c r="I999" s="1774" t="s">
        <v>906</v>
      </c>
    </row>
    <row r="1000" spans="1:9" ht="11.25" customHeight="1">
      <c r="A1000" s="1774" t="s">
        <v>2245</v>
      </c>
      <c r="B1000" s="1774" t="s">
        <v>16</v>
      </c>
      <c r="C1000" s="1774" t="s">
        <v>3867</v>
      </c>
      <c r="D1000" s="1774" t="s">
        <v>3868</v>
      </c>
      <c r="E1000" s="1774" t="s">
        <v>3869</v>
      </c>
      <c r="F1000" s="1774" t="s">
        <v>2535</v>
      </c>
      <c r="G1000" s="1774" t="s">
        <v>22</v>
      </c>
      <c r="H1000" s="1774" t="s">
        <v>22</v>
      </c>
      <c r="I1000" s="1774" t="s">
        <v>906</v>
      </c>
    </row>
    <row r="1001" spans="1:9" ht="11.25" customHeight="1">
      <c r="A1001" s="1774" t="s">
        <v>2245</v>
      </c>
      <c r="B1001" s="1774" t="s">
        <v>16</v>
      </c>
      <c r="C1001" s="1774" t="s">
        <v>4043</v>
      </c>
      <c r="D1001" s="1774" t="s">
        <v>4044</v>
      </c>
      <c r="E1001" s="1774" t="s">
        <v>4045</v>
      </c>
      <c r="F1001" s="1774" t="s">
        <v>2280</v>
      </c>
      <c r="G1001" s="1774" t="s">
        <v>22</v>
      </c>
      <c r="H1001" s="1774" t="s">
        <v>22</v>
      </c>
      <c r="I1001" s="1774" t="s">
        <v>906</v>
      </c>
    </row>
    <row r="1002" spans="1:9" ht="11.25" customHeight="1">
      <c r="A1002" s="1774" t="s">
        <v>2245</v>
      </c>
      <c r="B1002" s="1774" t="s">
        <v>16</v>
      </c>
      <c r="C1002" s="1774" t="s">
        <v>4046</v>
      </c>
      <c r="D1002" s="1774" t="s">
        <v>4047</v>
      </c>
      <c r="E1002" s="1774" t="s">
        <v>4048</v>
      </c>
      <c r="F1002" s="1774" t="s">
        <v>2280</v>
      </c>
      <c r="G1002" s="1774" t="s">
        <v>22</v>
      </c>
      <c r="H1002" s="1774" t="s">
        <v>22</v>
      </c>
      <c r="I1002" s="1774" t="s">
        <v>906</v>
      </c>
    </row>
    <row r="1003" spans="1:9" ht="11.25" customHeight="1">
      <c r="A1003" s="1774" t="s">
        <v>2245</v>
      </c>
      <c r="B1003" s="1774" t="s">
        <v>16</v>
      </c>
      <c r="C1003" s="1774" t="s">
        <v>2948</v>
      </c>
      <c r="D1003" s="1774" t="s">
        <v>2949</v>
      </c>
      <c r="E1003" s="1774" t="s">
        <v>2950</v>
      </c>
      <c r="F1003" s="1774" t="s">
        <v>2313</v>
      </c>
      <c r="G1003" s="1774" t="s">
        <v>22</v>
      </c>
      <c r="H1003" s="1774" t="s">
        <v>22</v>
      </c>
      <c r="I1003" s="1774" t="s">
        <v>906</v>
      </c>
    </row>
    <row r="1004" spans="1:9" ht="11.25" customHeight="1">
      <c r="A1004" s="1774" t="s">
        <v>2245</v>
      </c>
      <c r="B1004" s="1774" t="s">
        <v>16</v>
      </c>
      <c r="C1004" s="1774" t="s">
        <v>2951</v>
      </c>
      <c r="D1004" s="1774" t="s">
        <v>2952</v>
      </c>
      <c r="E1004" s="1774" t="s">
        <v>2953</v>
      </c>
      <c r="F1004" s="1774" t="s">
        <v>2327</v>
      </c>
      <c r="G1004" s="1774" t="s">
        <v>22</v>
      </c>
      <c r="H1004" s="1774" t="s">
        <v>22</v>
      </c>
      <c r="I1004" s="1774" t="s">
        <v>906</v>
      </c>
    </row>
    <row r="1005" spans="1:9" ht="11.25" customHeight="1">
      <c r="A1005" s="1774" t="s">
        <v>2245</v>
      </c>
      <c r="B1005" s="1774" t="s">
        <v>16</v>
      </c>
      <c r="C1005" s="1774" t="s">
        <v>2957</v>
      </c>
      <c r="D1005" s="1774" t="s">
        <v>2958</v>
      </c>
      <c r="E1005" s="1774" t="s">
        <v>2959</v>
      </c>
      <c r="F1005" s="1774" t="s">
        <v>2535</v>
      </c>
      <c r="G1005" s="1774" t="s">
        <v>22</v>
      </c>
      <c r="H1005" s="1774" t="s">
        <v>2960</v>
      </c>
      <c r="I1005" s="1774" t="s">
        <v>906</v>
      </c>
    </row>
    <row r="1006" spans="1:9" ht="11.25" customHeight="1">
      <c r="A1006" s="1774" t="s">
        <v>2245</v>
      </c>
      <c r="B1006" s="1774" t="s">
        <v>16</v>
      </c>
      <c r="C1006" s="1774" t="s">
        <v>2965</v>
      </c>
      <c r="D1006" s="1774" t="s">
        <v>2966</v>
      </c>
      <c r="E1006" s="1774" t="s">
        <v>2967</v>
      </c>
      <c r="F1006" s="1774" t="s">
        <v>2708</v>
      </c>
      <c r="G1006" s="1774" t="s">
        <v>22</v>
      </c>
      <c r="H1006" s="1774" t="s">
        <v>22</v>
      </c>
      <c r="I1006" s="1774" t="s">
        <v>906</v>
      </c>
    </row>
    <row r="1007" spans="1:9" ht="11.25" customHeight="1">
      <c r="A1007" s="1774" t="s">
        <v>2245</v>
      </c>
      <c r="B1007" s="1774" t="s">
        <v>16</v>
      </c>
      <c r="C1007" s="1774" t="s">
        <v>2968</v>
      </c>
      <c r="D1007" s="1774" t="s">
        <v>2969</v>
      </c>
      <c r="E1007" s="1774" t="s">
        <v>2970</v>
      </c>
      <c r="F1007" s="1774" t="s">
        <v>2348</v>
      </c>
      <c r="G1007" s="1774" t="s">
        <v>22</v>
      </c>
      <c r="H1007" s="1774" t="s">
        <v>22</v>
      </c>
      <c r="I1007" s="1774" t="s">
        <v>906</v>
      </c>
    </row>
    <row r="1008" spans="1:9" ht="11.25" customHeight="1">
      <c r="A1008" s="1774" t="s">
        <v>2245</v>
      </c>
      <c r="B1008" s="1774" t="s">
        <v>16</v>
      </c>
      <c r="C1008" s="1774" t="s">
        <v>2971</v>
      </c>
      <c r="D1008" s="1774" t="s">
        <v>2972</v>
      </c>
      <c r="E1008" s="1774" t="s">
        <v>2973</v>
      </c>
      <c r="F1008" s="1774" t="s">
        <v>2306</v>
      </c>
      <c r="G1008" s="1774" t="s">
        <v>22</v>
      </c>
      <c r="H1008" s="1774" t="s">
        <v>22</v>
      </c>
      <c r="I1008" s="1774" t="s">
        <v>906</v>
      </c>
    </row>
    <row r="1009" spans="1:9" ht="11.25" customHeight="1">
      <c r="A1009" s="1774" t="s">
        <v>2245</v>
      </c>
      <c r="B1009" s="1774" t="s">
        <v>16</v>
      </c>
      <c r="C1009" s="1774" t="s">
        <v>2980</v>
      </c>
      <c r="D1009" s="1774" t="s">
        <v>2981</v>
      </c>
      <c r="E1009" s="1774" t="s">
        <v>2982</v>
      </c>
      <c r="F1009" s="1774" t="s">
        <v>2686</v>
      </c>
      <c r="G1009" s="1774" t="s">
        <v>22</v>
      </c>
      <c r="H1009" s="1774" t="s">
        <v>22</v>
      </c>
      <c r="I1009" s="1774" t="s">
        <v>906</v>
      </c>
    </row>
    <row r="1010" spans="1:9" ht="11.25" customHeight="1">
      <c r="A1010" s="1774" t="s">
        <v>2245</v>
      </c>
      <c r="B1010" s="1774" t="s">
        <v>16</v>
      </c>
      <c r="C1010" s="1774" t="s">
        <v>4049</v>
      </c>
      <c r="D1010" s="1774" t="s">
        <v>4050</v>
      </c>
      <c r="E1010" s="1774" t="s">
        <v>4051</v>
      </c>
      <c r="F1010" s="1774" t="s">
        <v>2892</v>
      </c>
      <c r="G1010" s="1774" t="s">
        <v>22</v>
      </c>
      <c r="H1010" s="1774" t="s">
        <v>22</v>
      </c>
      <c r="I1010" s="1774" t="s">
        <v>906</v>
      </c>
    </row>
    <row r="1011" spans="1:9" ht="11.25" customHeight="1">
      <c r="A1011" s="1774" t="s">
        <v>2245</v>
      </c>
      <c r="B1011" s="1774" t="s">
        <v>16</v>
      </c>
      <c r="C1011" s="1774" t="s">
        <v>2989</v>
      </c>
      <c r="D1011" s="1774" t="s">
        <v>2990</v>
      </c>
      <c r="E1011" s="1774" t="s">
        <v>2566</v>
      </c>
      <c r="F1011" s="1774" t="s">
        <v>2991</v>
      </c>
      <c r="G1011" s="1774" t="s">
        <v>22</v>
      </c>
      <c r="H1011" s="1774" t="s">
        <v>22</v>
      </c>
      <c r="I1011" s="1774" t="s">
        <v>906</v>
      </c>
    </row>
    <row r="1012" spans="1:9" ht="11.25" customHeight="1">
      <c r="A1012" s="1774" t="s">
        <v>2245</v>
      </c>
      <c r="B1012" s="1774" t="s">
        <v>16</v>
      </c>
      <c r="C1012" s="1774" t="s">
        <v>2995</v>
      </c>
      <c r="D1012" s="1774" t="s">
        <v>2996</v>
      </c>
      <c r="E1012" s="1774" t="s">
        <v>2997</v>
      </c>
      <c r="F1012" s="1774" t="s">
        <v>2270</v>
      </c>
      <c r="G1012" s="1774" t="s">
        <v>22</v>
      </c>
      <c r="H1012" s="1774" t="s">
        <v>22</v>
      </c>
      <c r="I1012" s="1774" t="s">
        <v>906</v>
      </c>
    </row>
    <row r="1013" spans="1:9" ht="11.25" customHeight="1">
      <c r="A1013" s="1774" t="s">
        <v>2245</v>
      </c>
      <c r="B1013" s="1774" t="s">
        <v>16</v>
      </c>
      <c r="C1013" s="1774" t="s">
        <v>3873</v>
      </c>
      <c r="D1013" s="1774" t="s">
        <v>3874</v>
      </c>
      <c r="E1013" s="1774" t="s">
        <v>3875</v>
      </c>
      <c r="F1013" s="1774" t="s">
        <v>2313</v>
      </c>
      <c r="G1013" s="1774" t="s">
        <v>22</v>
      </c>
      <c r="H1013" s="1774" t="s">
        <v>22</v>
      </c>
      <c r="I1013" s="1774" t="s">
        <v>906</v>
      </c>
    </row>
    <row r="1014" spans="1:9" ht="11.25" customHeight="1">
      <c r="A1014" s="1774" t="s">
        <v>2245</v>
      </c>
      <c r="B1014" s="1774" t="s">
        <v>16</v>
      </c>
      <c r="C1014" s="1774" t="s">
        <v>3001</v>
      </c>
      <c r="D1014" s="1774" t="s">
        <v>3002</v>
      </c>
      <c r="E1014" s="1774" t="s">
        <v>3003</v>
      </c>
      <c r="F1014" s="1774" t="s">
        <v>2253</v>
      </c>
      <c r="G1014" s="1774" t="s">
        <v>22</v>
      </c>
      <c r="H1014" s="1774" t="s">
        <v>22</v>
      </c>
      <c r="I1014" s="1774" t="s">
        <v>906</v>
      </c>
    </row>
    <row r="1015" spans="1:9" ht="11.25" customHeight="1">
      <c r="A1015" s="1774" t="s">
        <v>2245</v>
      </c>
      <c r="B1015" s="1774" t="s">
        <v>16</v>
      </c>
      <c r="C1015" s="1774" t="s">
        <v>3004</v>
      </c>
      <c r="D1015" s="1774" t="s">
        <v>3005</v>
      </c>
      <c r="E1015" s="1774" t="s">
        <v>3006</v>
      </c>
      <c r="F1015" s="1774" t="s">
        <v>2519</v>
      </c>
      <c r="G1015" s="1774" t="s">
        <v>22</v>
      </c>
      <c r="H1015" s="1774" t="s">
        <v>22</v>
      </c>
      <c r="I1015" s="1774" t="s">
        <v>906</v>
      </c>
    </row>
    <row r="1016" spans="1:9" ht="11.25" customHeight="1">
      <c r="A1016" s="1774" t="s">
        <v>2245</v>
      </c>
      <c r="B1016" s="1774" t="s">
        <v>16</v>
      </c>
      <c r="C1016" s="1774" t="s">
        <v>3007</v>
      </c>
      <c r="D1016" s="1774" t="s">
        <v>3008</v>
      </c>
      <c r="E1016" s="1774" t="s">
        <v>3009</v>
      </c>
      <c r="F1016" s="1774" t="s">
        <v>3010</v>
      </c>
      <c r="G1016" s="1774" t="s">
        <v>22</v>
      </c>
      <c r="H1016" s="1774" t="s">
        <v>22</v>
      </c>
      <c r="I1016" s="1774" t="s">
        <v>906</v>
      </c>
    </row>
    <row r="1017" spans="1:9" ht="11.25" customHeight="1">
      <c r="A1017" s="1774" t="s">
        <v>2245</v>
      </c>
      <c r="B1017" s="1774" t="s">
        <v>16</v>
      </c>
      <c r="C1017" s="1774" t="s">
        <v>4052</v>
      </c>
      <c r="D1017" s="1774" t="s">
        <v>4053</v>
      </c>
      <c r="E1017" s="1774" t="s">
        <v>4054</v>
      </c>
      <c r="F1017" s="1774" t="s">
        <v>2253</v>
      </c>
      <c r="G1017" s="1774" t="s">
        <v>22</v>
      </c>
      <c r="H1017" s="1774" t="s">
        <v>22</v>
      </c>
      <c r="I1017" s="1774" t="s">
        <v>906</v>
      </c>
    </row>
    <row r="1018" spans="1:9" ht="11.25" customHeight="1">
      <c r="A1018" s="1774" t="s">
        <v>2245</v>
      </c>
      <c r="B1018" s="1774" t="s">
        <v>16</v>
      </c>
      <c r="C1018" s="1774" t="s">
        <v>3876</v>
      </c>
      <c r="D1018" s="1774" t="s">
        <v>3877</v>
      </c>
      <c r="E1018" s="1774" t="s">
        <v>3878</v>
      </c>
      <c r="F1018" s="1774" t="s">
        <v>2270</v>
      </c>
      <c r="G1018" s="1774" t="s">
        <v>3879</v>
      </c>
      <c r="H1018" s="1774" t="s">
        <v>22</v>
      </c>
      <c r="I1018" s="1774" t="s">
        <v>906</v>
      </c>
    </row>
    <row r="1019" spans="1:9" ht="11.25" customHeight="1">
      <c r="A1019" s="1774" t="s">
        <v>2245</v>
      </c>
      <c r="B1019" s="1774" t="s">
        <v>16</v>
      </c>
      <c r="C1019" s="1774" t="s">
        <v>3880</v>
      </c>
      <c r="D1019" s="1774" t="s">
        <v>3881</v>
      </c>
      <c r="E1019" s="1774" t="s">
        <v>3882</v>
      </c>
      <c r="F1019" s="1774" t="s">
        <v>2450</v>
      </c>
      <c r="G1019" s="1774" t="s">
        <v>22</v>
      </c>
      <c r="H1019" s="1774" t="s">
        <v>22</v>
      </c>
      <c r="I1019" s="1774" t="s">
        <v>906</v>
      </c>
    </row>
    <row r="1020" spans="1:9" ht="11.25" customHeight="1">
      <c r="A1020" s="1774" t="s">
        <v>2245</v>
      </c>
      <c r="B1020" s="1774" t="s">
        <v>16</v>
      </c>
      <c r="C1020" s="1774" t="s">
        <v>4055</v>
      </c>
      <c r="D1020" s="1774" t="s">
        <v>4056</v>
      </c>
      <c r="E1020" s="1774" t="s">
        <v>4057</v>
      </c>
      <c r="F1020" s="1774" t="s">
        <v>2280</v>
      </c>
      <c r="G1020" s="1774" t="s">
        <v>22</v>
      </c>
      <c r="H1020" s="1774" t="s">
        <v>22</v>
      </c>
      <c r="I1020" s="1774" t="s">
        <v>906</v>
      </c>
    </row>
    <row r="1021" spans="1:9" ht="11.25" customHeight="1">
      <c r="A1021" s="1774" t="s">
        <v>2245</v>
      </c>
      <c r="B1021" s="1774" t="s">
        <v>16</v>
      </c>
      <c r="C1021" s="1774" t="s">
        <v>4058</v>
      </c>
      <c r="D1021" s="1774" t="s">
        <v>4059</v>
      </c>
      <c r="E1021" s="1774" t="s">
        <v>4060</v>
      </c>
      <c r="F1021" s="1774" t="s">
        <v>2298</v>
      </c>
      <c r="G1021" s="1774" t="s">
        <v>22</v>
      </c>
      <c r="H1021" s="1774" t="s">
        <v>22</v>
      </c>
      <c r="I1021" s="1774" t="s">
        <v>906</v>
      </c>
    </row>
    <row r="1022" spans="1:9" ht="11.25" customHeight="1">
      <c r="A1022" s="1774" t="s">
        <v>2245</v>
      </c>
      <c r="B1022" s="1774" t="s">
        <v>16</v>
      </c>
      <c r="C1022" s="1774" t="s">
        <v>3883</v>
      </c>
      <c r="D1022" s="1774" t="s">
        <v>3884</v>
      </c>
      <c r="E1022" s="1774" t="s">
        <v>3885</v>
      </c>
      <c r="F1022" s="1774" t="s">
        <v>3073</v>
      </c>
      <c r="G1022" s="1774" t="s">
        <v>22</v>
      </c>
      <c r="H1022" s="1774" t="s">
        <v>22</v>
      </c>
      <c r="I1022" s="1774" t="s">
        <v>906</v>
      </c>
    </row>
    <row r="1023" spans="1:9" ht="11.25" customHeight="1">
      <c r="A1023" s="1774" t="s">
        <v>2245</v>
      </c>
      <c r="B1023" s="1774" t="s">
        <v>16</v>
      </c>
      <c r="C1023" s="1774" t="s">
        <v>3886</v>
      </c>
      <c r="D1023" s="1774" t="s">
        <v>3887</v>
      </c>
      <c r="E1023" s="1774" t="s">
        <v>3888</v>
      </c>
      <c r="F1023" s="1774" t="s">
        <v>2646</v>
      </c>
      <c r="G1023" s="1774" t="s">
        <v>22</v>
      </c>
      <c r="H1023" s="1774" t="s">
        <v>22</v>
      </c>
      <c r="I1023" s="1774" t="s">
        <v>906</v>
      </c>
    </row>
    <row r="1024" spans="1:9" ht="11.25" customHeight="1">
      <c r="A1024" s="1774" t="s">
        <v>2245</v>
      </c>
      <c r="B1024" s="1774" t="s">
        <v>16</v>
      </c>
      <c r="C1024" s="1774" t="s">
        <v>4061</v>
      </c>
      <c r="D1024" s="1774" t="s">
        <v>4062</v>
      </c>
      <c r="E1024" s="1774" t="s">
        <v>4063</v>
      </c>
      <c r="F1024" s="1774" t="s">
        <v>2376</v>
      </c>
      <c r="G1024" s="1774" t="s">
        <v>4064</v>
      </c>
      <c r="H1024" s="1774" t="s">
        <v>22</v>
      </c>
      <c r="I1024" s="1774" t="s">
        <v>906</v>
      </c>
    </row>
    <row r="1025" spans="1:9" ht="11.25" customHeight="1">
      <c r="A1025" s="1774" t="s">
        <v>2245</v>
      </c>
      <c r="B1025" s="1774" t="s">
        <v>16</v>
      </c>
      <c r="C1025" s="1774" t="s">
        <v>3892</v>
      </c>
      <c r="D1025" s="1774" t="s">
        <v>3893</v>
      </c>
      <c r="E1025" s="1774" t="s">
        <v>3894</v>
      </c>
      <c r="F1025" s="1774" t="s">
        <v>2892</v>
      </c>
      <c r="G1025" s="1774" t="s">
        <v>22</v>
      </c>
      <c r="H1025" s="1774" t="s">
        <v>22</v>
      </c>
      <c r="I1025" s="1774" t="s">
        <v>906</v>
      </c>
    </row>
    <row r="1026" spans="1:9" ht="11.25" customHeight="1">
      <c r="A1026" s="1774" t="s">
        <v>2245</v>
      </c>
      <c r="B1026" s="1774" t="s">
        <v>16</v>
      </c>
      <c r="C1026" s="1774" t="s">
        <v>3895</v>
      </c>
      <c r="D1026" s="1774" t="s">
        <v>3896</v>
      </c>
      <c r="E1026" s="1774" t="s">
        <v>3897</v>
      </c>
      <c r="F1026" s="1774" t="s">
        <v>2634</v>
      </c>
      <c r="G1026" s="1774" t="s">
        <v>22</v>
      </c>
      <c r="H1026" s="1774" t="s">
        <v>22</v>
      </c>
      <c r="I1026" s="1774" t="s">
        <v>906</v>
      </c>
    </row>
    <row r="1027" spans="1:9" ht="11.25" customHeight="1">
      <c r="A1027" s="1774" t="s">
        <v>2245</v>
      </c>
      <c r="B1027" s="1774" t="s">
        <v>16</v>
      </c>
      <c r="C1027" s="1774" t="s">
        <v>3898</v>
      </c>
      <c r="D1027" s="1774" t="s">
        <v>3899</v>
      </c>
      <c r="E1027" s="1774" t="s">
        <v>3900</v>
      </c>
      <c r="F1027" s="1774" t="s">
        <v>2496</v>
      </c>
      <c r="G1027" s="1774" t="s">
        <v>22</v>
      </c>
      <c r="H1027" s="1774" t="s">
        <v>22</v>
      </c>
      <c r="I1027" s="1774" t="s">
        <v>906</v>
      </c>
    </row>
    <row r="1028" spans="1:9" ht="11.25" customHeight="1">
      <c r="A1028" s="1774" t="s">
        <v>2245</v>
      </c>
      <c r="B1028" s="1774" t="s">
        <v>16</v>
      </c>
      <c r="C1028" s="1774" t="s">
        <v>4065</v>
      </c>
      <c r="D1028" s="1774" t="s">
        <v>4066</v>
      </c>
      <c r="E1028" s="1774" t="s">
        <v>4067</v>
      </c>
      <c r="F1028" s="1774" t="s">
        <v>4068</v>
      </c>
      <c r="G1028" s="1774" t="s">
        <v>4069</v>
      </c>
      <c r="H1028" s="1774" t="s">
        <v>22</v>
      </c>
      <c r="I1028" s="1774" t="s">
        <v>906</v>
      </c>
    </row>
    <row r="1029" spans="1:9" ht="11.25" customHeight="1">
      <c r="A1029" s="1774" t="s">
        <v>2245</v>
      </c>
      <c r="B1029" s="1774" t="s">
        <v>16</v>
      </c>
      <c r="C1029" s="1774" t="s">
        <v>3903</v>
      </c>
      <c r="D1029" s="1774" t="s">
        <v>3904</v>
      </c>
      <c r="E1029" s="1774" t="s">
        <v>3905</v>
      </c>
      <c r="F1029" s="1774" t="s">
        <v>2298</v>
      </c>
      <c r="G1029" s="1774" t="s">
        <v>22</v>
      </c>
      <c r="H1029" s="1774" t="s">
        <v>22</v>
      </c>
      <c r="I1029" s="1774" t="s">
        <v>906</v>
      </c>
    </row>
    <row r="1030" spans="1:9" ht="11.25" customHeight="1">
      <c r="A1030" s="1774" t="s">
        <v>2245</v>
      </c>
      <c r="B1030" s="1774" t="s">
        <v>16</v>
      </c>
      <c r="C1030" s="1774" t="s">
        <v>3099</v>
      </c>
      <c r="D1030" s="1774" t="s">
        <v>3100</v>
      </c>
      <c r="E1030" s="1774" t="s">
        <v>3101</v>
      </c>
      <c r="F1030" s="1774" t="s">
        <v>2527</v>
      </c>
      <c r="G1030" s="1774" t="s">
        <v>22</v>
      </c>
      <c r="H1030" s="1774" t="s">
        <v>22</v>
      </c>
      <c r="I1030" s="1774" t="s">
        <v>906</v>
      </c>
    </row>
    <row r="1031" spans="1:9" ht="11.25" customHeight="1">
      <c r="A1031" s="1774" t="s">
        <v>2245</v>
      </c>
      <c r="B1031" s="1774" t="s">
        <v>16</v>
      </c>
      <c r="C1031" s="1774" t="s">
        <v>3906</v>
      </c>
      <c r="D1031" s="1774" t="s">
        <v>3907</v>
      </c>
      <c r="E1031" s="1774" t="s">
        <v>3908</v>
      </c>
      <c r="F1031" s="1774" t="s">
        <v>3909</v>
      </c>
      <c r="G1031" s="1774" t="s">
        <v>22</v>
      </c>
      <c r="H1031" s="1774" t="s">
        <v>22</v>
      </c>
      <c r="I1031" s="1774" t="s">
        <v>906</v>
      </c>
    </row>
    <row r="1032" spans="1:9" ht="11.25" customHeight="1">
      <c r="A1032" s="1774" t="s">
        <v>2245</v>
      </c>
      <c r="B1032" s="1774" t="s">
        <v>16</v>
      </c>
      <c r="C1032" s="1774" t="s">
        <v>4070</v>
      </c>
      <c r="D1032" s="1774" t="s">
        <v>4071</v>
      </c>
      <c r="E1032" s="1774" t="s">
        <v>4072</v>
      </c>
      <c r="F1032" s="1774" t="s">
        <v>2253</v>
      </c>
      <c r="G1032" s="1774" t="s">
        <v>22</v>
      </c>
      <c r="H1032" s="1774" t="s">
        <v>22</v>
      </c>
      <c r="I1032" s="1774" t="s">
        <v>906</v>
      </c>
    </row>
    <row r="1033" spans="1:9" ht="11.25" customHeight="1">
      <c r="A1033" s="1774" t="s">
        <v>2245</v>
      </c>
      <c r="B1033" s="1774" t="s">
        <v>16</v>
      </c>
      <c r="C1033" s="1774" t="s">
        <v>3133</v>
      </c>
      <c r="D1033" s="1774" t="s">
        <v>3134</v>
      </c>
      <c r="E1033" s="1774" t="s">
        <v>3135</v>
      </c>
      <c r="F1033" s="1774" t="s">
        <v>2327</v>
      </c>
      <c r="G1033" s="1774" t="s">
        <v>22</v>
      </c>
      <c r="H1033" s="1774" t="s">
        <v>22</v>
      </c>
      <c r="I1033" s="1774" t="s">
        <v>906</v>
      </c>
    </row>
    <row r="1034" spans="1:9" ht="11.25" customHeight="1">
      <c r="A1034" s="1774" t="s">
        <v>2245</v>
      </c>
      <c r="B1034" s="1774" t="s">
        <v>16</v>
      </c>
      <c r="C1034" s="1774" t="s">
        <v>3910</v>
      </c>
      <c r="D1034" s="1774" t="s">
        <v>3911</v>
      </c>
      <c r="E1034" s="1774" t="s">
        <v>3912</v>
      </c>
      <c r="F1034" s="1774" t="s">
        <v>2306</v>
      </c>
      <c r="G1034" s="1774" t="s">
        <v>22</v>
      </c>
      <c r="H1034" s="1774" t="s">
        <v>22</v>
      </c>
      <c r="I1034" s="1774" t="s">
        <v>906</v>
      </c>
    </row>
    <row r="1035" spans="1:9" ht="11.25" customHeight="1">
      <c r="A1035" s="1774" t="s">
        <v>2245</v>
      </c>
      <c r="B1035" s="1774" t="s">
        <v>16</v>
      </c>
      <c r="C1035" s="1774" t="s">
        <v>3136</v>
      </c>
      <c r="D1035" s="1774" t="s">
        <v>3137</v>
      </c>
      <c r="E1035" s="1774" t="s">
        <v>3138</v>
      </c>
      <c r="F1035" s="1774" t="s">
        <v>2450</v>
      </c>
      <c r="G1035" s="1774" t="s">
        <v>22</v>
      </c>
      <c r="H1035" s="1774" t="s">
        <v>22</v>
      </c>
      <c r="I1035" s="1774" t="s">
        <v>906</v>
      </c>
    </row>
    <row r="1036" spans="1:9" ht="11.25" customHeight="1">
      <c r="A1036" s="1774" t="s">
        <v>2245</v>
      </c>
      <c r="B1036" s="1774" t="s">
        <v>16</v>
      </c>
      <c r="C1036" s="1774" t="s">
        <v>3913</v>
      </c>
      <c r="D1036" s="1774" t="s">
        <v>3914</v>
      </c>
      <c r="E1036" s="1774" t="s">
        <v>3915</v>
      </c>
      <c r="F1036" s="1774" t="s">
        <v>2892</v>
      </c>
      <c r="G1036" s="1774" t="s">
        <v>22</v>
      </c>
      <c r="H1036" s="1774" t="s">
        <v>22</v>
      </c>
      <c r="I1036" s="1774" t="s">
        <v>906</v>
      </c>
    </row>
    <row r="1037" spans="1:9" ht="11.25" customHeight="1">
      <c r="A1037" s="1774" t="s">
        <v>2245</v>
      </c>
      <c r="B1037" s="1774" t="s">
        <v>16</v>
      </c>
      <c r="C1037" s="1774" t="s">
        <v>3143</v>
      </c>
      <c r="D1037" s="1774" t="s">
        <v>3144</v>
      </c>
      <c r="E1037" s="1774" t="s">
        <v>3145</v>
      </c>
      <c r="F1037" s="1774" t="s">
        <v>2265</v>
      </c>
      <c r="G1037" s="1774" t="s">
        <v>22</v>
      </c>
      <c r="H1037" s="1774" t="s">
        <v>22</v>
      </c>
      <c r="I1037" s="1774" t="s">
        <v>906</v>
      </c>
    </row>
    <row r="1038" spans="1:9" ht="11.25" customHeight="1">
      <c r="A1038" s="1774" t="s">
        <v>2245</v>
      </c>
      <c r="B1038" s="1774" t="s">
        <v>16</v>
      </c>
      <c r="C1038" s="1774" t="s">
        <v>3146</v>
      </c>
      <c r="D1038" s="1774" t="s">
        <v>3147</v>
      </c>
      <c r="E1038" s="1774" t="s">
        <v>3148</v>
      </c>
      <c r="F1038" s="1774" t="s">
        <v>2478</v>
      </c>
      <c r="G1038" s="1774" t="s">
        <v>22</v>
      </c>
      <c r="H1038" s="1774" t="s">
        <v>22</v>
      </c>
      <c r="I1038" s="1774" t="s">
        <v>906</v>
      </c>
    </row>
    <row r="1039" spans="1:9" ht="11.25" customHeight="1">
      <c r="A1039" s="1774" t="s">
        <v>2245</v>
      </c>
      <c r="B1039" s="1774" t="s">
        <v>16</v>
      </c>
      <c r="C1039" s="1774" t="s">
        <v>3916</v>
      </c>
      <c r="D1039" s="1774" t="s">
        <v>3917</v>
      </c>
      <c r="E1039" s="1774" t="s">
        <v>3918</v>
      </c>
      <c r="F1039" s="1774" t="s">
        <v>2313</v>
      </c>
      <c r="G1039" s="1774" t="s">
        <v>22</v>
      </c>
      <c r="H1039" s="1774" t="s">
        <v>22</v>
      </c>
      <c r="I1039" s="1774" t="s">
        <v>906</v>
      </c>
    </row>
    <row r="1040" spans="1:9" ht="11.25" customHeight="1">
      <c r="A1040" s="1774" t="s">
        <v>2245</v>
      </c>
      <c r="B1040" s="1774" t="s">
        <v>16</v>
      </c>
      <c r="C1040" s="1774" t="s">
        <v>3919</v>
      </c>
      <c r="D1040" s="1774" t="s">
        <v>3920</v>
      </c>
      <c r="E1040" s="1774" t="s">
        <v>3921</v>
      </c>
      <c r="F1040" s="1774" t="s">
        <v>2313</v>
      </c>
      <c r="G1040" s="1774" t="s">
        <v>22</v>
      </c>
      <c r="H1040" s="1774" t="s">
        <v>22</v>
      </c>
      <c r="I1040" s="1774" t="s">
        <v>906</v>
      </c>
    </row>
    <row r="1041" spans="1:9" ht="11.25" customHeight="1">
      <c r="A1041" s="1774" t="s">
        <v>2245</v>
      </c>
      <c r="B1041" s="1774" t="s">
        <v>16</v>
      </c>
      <c r="C1041" s="1774" t="s">
        <v>3922</v>
      </c>
      <c r="D1041" s="1774" t="s">
        <v>3923</v>
      </c>
      <c r="E1041" s="1774" t="s">
        <v>3924</v>
      </c>
      <c r="F1041" s="1774" t="s">
        <v>2327</v>
      </c>
      <c r="G1041" s="1774" t="s">
        <v>22</v>
      </c>
      <c r="H1041" s="1774" t="s">
        <v>22</v>
      </c>
      <c r="I1041" s="1774" t="s">
        <v>906</v>
      </c>
    </row>
    <row r="1042" spans="1:9" ht="11.25" customHeight="1">
      <c r="A1042" s="1774" t="s">
        <v>2245</v>
      </c>
      <c r="B1042" s="1774" t="s">
        <v>16</v>
      </c>
      <c r="C1042" s="1774" t="s">
        <v>3165</v>
      </c>
      <c r="D1042" s="1774" t="s">
        <v>3166</v>
      </c>
      <c r="E1042" s="1774" t="s">
        <v>3167</v>
      </c>
      <c r="F1042" s="1774" t="s">
        <v>2386</v>
      </c>
      <c r="G1042" s="1774" t="s">
        <v>3168</v>
      </c>
      <c r="H1042" s="1774" t="s">
        <v>22</v>
      </c>
      <c r="I1042" s="1774" t="s">
        <v>906</v>
      </c>
    </row>
    <row r="1043" spans="1:9" ht="11.25" customHeight="1">
      <c r="A1043" s="1774" t="s">
        <v>2245</v>
      </c>
      <c r="B1043" s="1774" t="s">
        <v>16</v>
      </c>
      <c r="C1043" s="1774" t="s">
        <v>3925</v>
      </c>
      <c r="D1043" s="1774" t="s">
        <v>3926</v>
      </c>
      <c r="E1043" s="1774" t="s">
        <v>3927</v>
      </c>
      <c r="F1043" s="1774" t="s">
        <v>2766</v>
      </c>
      <c r="G1043" s="1774" t="s">
        <v>22</v>
      </c>
      <c r="H1043" s="1774" t="s">
        <v>22</v>
      </c>
      <c r="I1043" s="1774" t="s">
        <v>906</v>
      </c>
    </row>
    <row r="1044" spans="1:9" ht="11.25" customHeight="1">
      <c r="A1044" s="1774" t="s">
        <v>2245</v>
      </c>
      <c r="B1044" s="1774" t="s">
        <v>16</v>
      </c>
      <c r="C1044" s="1774" t="s">
        <v>3169</v>
      </c>
      <c r="D1044" s="1774" t="s">
        <v>3170</v>
      </c>
      <c r="E1044" s="1774" t="s">
        <v>3171</v>
      </c>
      <c r="F1044" s="1774" t="s">
        <v>2291</v>
      </c>
      <c r="G1044" s="1774" t="s">
        <v>22</v>
      </c>
      <c r="H1044" s="1774" t="s">
        <v>22</v>
      </c>
      <c r="I1044" s="1774" t="s">
        <v>906</v>
      </c>
    </row>
    <row r="1045" spans="1:9" ht="11.25" customHeight="1">
      <c r="A1045" s="1774" t="s">
        <v>2245</v>
      </c>
      <c r="B1045" s="1774" t="s">
        <v>16</v>
      </c>
      <c r="C1045" s="1774" t="s">
        <v>3189</v>
      </c>
      <c r="D1045" s="1774" t="s">
        <v>3190</v>
      </c>
      <c r="E1045" s="1774" t="s">
        <v>3191</v>
      </c>
      <c r="F1045" s="1774" t="s">
        <v>2386</v>
      </c>
      <c r="G1045" s="1774" t="s">
        <v>22</v>
      </c>
      <c r="H1045" s="1774" t="s">
        <v>22</v>
      </c>
      <c r="I1045" s="1774" t="s">
        <v>906</v>
      </c>
    </row>
    <row r="1046" spans="1:9" ht="11.25" customHeight="1">
      <c r="A1046" s="1774" t="s">
        <v>2245</v>
      </c>
      <c r="B1046" s="1774" t="s">
        <v>16</v>
      </c>
      <c r="C1046" s="1774" t="s">
        <v>3928</v>
      </c>
      <c r="D1046" s="1774" t="s">
        <v>3190</v>
      </c>
      <c r="E1046" s="1774" t="s">
        <v>3929</v>
      </c>
      <c r="F1046" s="1774" t="s">
        <v>2253</v>
      </c>
      <c r="G1046" s="1774" t="s">
        <v>22</v>
      </c>
      <c r="H1046" s="1774" t="s">
        <v>22</v>
      </c>
      <c r="I1046" s="1774" t="s">
        <v>906</v>
      </c>
    </row>
    <row r="1047" spans="1:9" ht="11.25" customHeight="1">
      <c r="A1047" s="1774" t="s">
        <v>2245</v>
      </c>
      <c r="B1047" s="1774" t="s">
        <v>16</v>
      </c>
      <c r="C1047" s="1774" t="s">
        <v>3192</v>
      </c>
      <c r="D1047" s="1774" t="s">
        <v>3193</v>
      </c>
      <c r="E1047" s="1774" t="s">
        <v>3194</v>
      </c>
      <c r="F1047" s="1774" t="s">
        <v>2542</v>
      </c>
      <c r="G1047" s="1774" t="s">
        <v>22</v>
      </c>
      <c r="H1047" s="1774" t="s">
        <v>22</v>
      </c>
      <c r="I1047" s="1774" t="s">
        <v>906</v>
      </c>
    </row>
    <row r="1048" spans="1:9" ht="11.25" customHeight="1">
      <c r="A1048" s="1774" t="s">
        <v>2245</v>
      </c>
      <c r="B1048" s="1774" t="s">
        <v>16</v>
      </c>
      <c r="C1048" s="1774" t="s">
        <v>3930</v>
      </c>
      <c r="D1048" s="1774" t="s">
        <v>3931</v>
      </c>
      <c r="E1048" s="1774" t="s">
        <v>3932</v>
      </c>
      <c r="F1048" s="1774" t="s">
        <v>2712</v>
      </c>
      <c r="G1048" s="1774" t="s">
        <v>22</v>
      </c>
      <c r="H1048" s="1774" t="s">
        <v>22</v>
      </c>
      <c r="I1048" s="1774" t="s">
        <v>906</v>
      </c>
    </row>
    <row r="1049" spans="1:9" ht="11.25" customHeight="1">
      <c r="A1049" s="1774" t="s">
        <v>2245</v>
      </c>
      <c r="B1049" s="1774" t="s">
        <v>16</v>
      </c>
      <c r="C1049" s="1774" t="s">
        <v>3933</v>
      </c>
      <c r="D1049" s="1774" t="s">
        <v>3934</v>
      </c>
      <c r="E1049" s="1774" t="s">
        <v>3935</v>
      </c>
      <c r="F1049" s="1774" t="s">
        <v>2686</v>
      </c>
      <c r="G1049" s="1774" t="s">
        <v>22</v>
      </c>
      <c r="H1049" s="1774" t="s">
        <v>22</v>
      </c>
      <c r="I1049" s="1774" t="s">
        <v>906</v>
      </c>
    </row>
    <row r="1050" spans="1:9" ht="11.25" customHeight="1">
      <c r="A1050" s="1774" t="s">
        <v>2245</v>
      </c>
      <c r="B1050" s="1774" t="s">
        <v>16</v>
      </c>
      <c r="C1050" s="1774" t="s">
        <v>3208</v>
      </c>
      <c r="D1050" s="1774" t="s">
        <v>3209</v>
      </c>
      <c r="E1050" s="1774" t="s">
        <v>3210</v>
      </c>
      <c r="F1050" s="1774" t="s">
        <v>2816</v>
      </c>
      <c r="G1050" s="1774" t="s">
        <v>3211</v>
      </c>
      <c r="H1050" s="1774" t="s">
        <v>22</v>
      </c>
      <c r="I1050" s="1774" t="s">
        <v>906</v>
      </c>
    </row>
    <row r="1051" spans="1:9" ht="11.25" customHeight="1">
      <c r="A1051" s="1774" t="s">
        <v>2245</v>
      </c>
      <c r="B1051" s="1774" t="s">
        <v>16</v>
      </c>
      <c r="C1051" s="1774" t="s">
        <v>4073</v>
      </c>
      <c r="D1051" s="1774" t="s">
        <v>4074</v>
      </c>
      <c r="E1051" s="1774" t="s">
        <v>4075</v>
      </c>
      <c r="F1051" s="1774" t="s">
        <v>51</v>
      </c>
      <c r="G1051" s="1774" t="s">
        <v>22</v>
      </c>
      <c r="H1051" s="1774" t="s">
        <v>22</v>
      </c>
      <c r="I1051" s="1774" t="s">
        <v>906</v>
      </c>
    </row>
    <row r="1052" spans="1:9" ht="11.25" customHeight="1">
      <c r="A1052" s="1774" t="s">
        <v>2245</v>
      </c>
      <c r="B1052" s="1774" t="s">
        <v>16</v>
      </c>
      <c r="C1052" s="1774" t="s">
        <v>3940</v>
      </c>
      <c r="D1052" s="1774" t="s">
        <v>3941</v>
      </c>
      <c r="E1052" s="1774" t="s">
        <v>3942</v>
      </c>
      <c r="F1052" s="1774" t="s">
        <v>2964</v>
      </c>
      <c r="G1052" s="1774" t="s">
        <v>22</v>
      </c>
      <c r="H1052" s="1774" t="s">
        <v>22</v>
      </c>
      <c r="I1052" s="1774" t="s">
        <v>906</v>
      </c>
    </row>
    <row r="1053" spans="1:9" ht="11.25" customHeight="1">
      <c r="A1053" s="1774" t="s">
        <v>2245</v>
      </c>
      <c r="B1053" s="1774" t="s">
        <v>16</v>
      </c>
      <c r="C1053" s="1774" t="s">
        <v>3234</v>
      </c>
      <c r="D1053" s="1774" t="s">
        <v>3235</v>
      </c>
      <c r="E1053" s="1774" t="s">
        <v>3236</v>
      </c>
      <c r="F1053" s="1774" t="s">
        <v>2261</v>
      </c>
      <c r="G1053" s="1774" t="s">
        <v>22</v>
      </c>
      <c r="H1053" s="1774" t="s">
        <v>22</v>
      </c>
      <c r="I1053" s="1774" t="s">
        <v>906</v>
      </c>
    </row>
    <row r="1054" spans="1:9" ht="11.25" customHeight="1">
      <c r="A1054" s="1774" t="s">
        <v>2245</v>
      </c>
      <c r="B1054" s="1774" t="s">
        <v>16</v>
      </c>
      <c r="C1054" s="1774" t="s">
        <v>4076</v>
      </c>
      <c r="D1054" s="1774" t="s">
        <v>4077</v>
      </c>
      <c r="E1054" s="1774" t="s">
        <v>4078</v>
      </c>
      <c r="F1054" s="1774" t="s">
        <v>4079</v>
      </c>
      <c r="G1054" s="1774" t="s">
        <v>22</v>
      </c>
      <c r="H1054" s="1774" t="s">
        <v>22</v>
      </c>
      <c r="I1054" s="1774" t="s">
        <v>906</v>
      </c>
    </row>
    <row r="1055" spans="1:9" ht="11.25" customHeight="1">
      <c r="A1055" s="1774" t="s">
        <v>2245</v>
      </c>
      <c r="B1055" s="1774" t="s">
        <v>16</v>
      </c>
      <c r="C1055" s="1774" t="s">
        <v>4080</v>
      </c>
      <c r="D1055" s="1774" t="s">
        <v>4081</v>
      </c>
      <c r="E1055" s="1774" t="s">
        <v>4082</v>
      </c>
      <c r="F1055" s="1774" t="s">
        <v>2697</v>
      </c>
      <c r="G1055" s="1774" t="s">
        <v>22</v>
      </c>
      <c r="H1055" s="1774" t="s">
        <v>22</v>
      </c>
      <c r="I1055" s="1774" t="s">
        <v>906</v>
      </c>
    </row>
    <row r="1056" spans="1:9" ht="11.25" customHeight="1">
      <c r="A1056" s="1774" t="s">
        <v>2245</v>
      </c>
      <c r="B1056" s="1774" t="s">
        <v>16</v>
      </c>
      <c r="C1056" s="1774" t="s">
        <v>3306</v>
      </c>
      <c r="D1056" s="1774" t="s">
        <v>3307</v>
      </c>
      <c r="E1056" s="1774" t="s">
        <v>3308</v>
      </c>
      <c r="F1056" s="1774" t="s">
        <v>3309</v>
      </c>
      <c r="G1056" s="1774" t="s">
        <v>22</v>
      </c>
      <c r="H1056" s="1774" t="s">
        <v>22</v>
      </c>
      <c r="I1056" s="1774" t="s">
        <v>906</v>
      </c>
    </row>
    <row r="1057" spans="1:9" ht="11.25" customHeight="1">
      <c r="A1057" s="1774" t="s">
        <v>2245</v>
      </c>
      <c r="B1057" s="1774" t="s">
        <v>16</v>
      </c>
      <c r="C1057" s="1774" t="s">
        <v>3953</v>
      </c>
      <c r="D1057" s="1774" t="s">
        <v>3954</v>
      </c>
      <c r="E1057" s="1774" t="s">
        <v>3955</v>
      </c>
      <c r="F1057" s="1774" t="s">
        <v>2270</v>
      </c>
      <c r="G1057" s="1774" t="s">
        <v>22</v>
      </c>
      <c r="H1057" s="1774" t="s">
        <v>22</v>
      </c>
      <c r="I1057" s="1774" t="s">
        <v>906</v>
      </c>
    </row>
    <row r="1058" spans="1:9" ht="11.25" customHeight="1">
      <c r="A1058" s="1774" t="s">
        <v>2245</v>
      </c>
      <c r="B1058" s="1774" t="s">
        <v>16</v>
      </c>
      <c r="C1058" s="1774" t="s">
        <v>3956</v>
      </c>
      <c r="D1058" s="1774" t="s">
        <v>3957</v>
      </c>
      <c r="E1058" s="1774" t="s">
        <v>3958</v>
      </c>
      <c r="F1058" s="1774" t="s">
        <v>3301</v>
      </c>
      <c r="G1058" s="1774" t="s">
        <v>22</v>
      </c>
      <c r="H1058" s="1774" t="s">
        <v>22</v>
      </c>
      <c r="I1058" s="1774" t="s">
        <v>906</v>
      </c>
    </row>
    <row r="1059" spans="1:9" ht="11.25" customHeight="1">
      <c r="A1059" s="1774" t="s">
        <v>2245</v>
      </c>
      <c r="B1059" s="1774" t="s">
        <v>16</v>
      </c>
      <c r="C1059" s="1774" t="s">
        <v>3959</v>
      </c>
      <c r="D1059" s="1774" t="s">
        <v>3960</v>
      </c>
      <c r="E1059" s="1774" t="s">
        <v>3961</v>
      </c>
      <c r="F1059" s="1774" t="s">
        <v>2313</v>
      </c>
      <c r="G1059" s="1774" t="s">
        <v>3962</v>
      </c>
      <c r="H1059" s="1774" t="s">
        <v>22</v>
      </c>
      <c r="I1059" s="1774" t="s">
        <v>906</v>
      </c>
    </row>
    <row r="1060" spans="1:9" ht="11.25" customHeight="1">
      <c r="A1060" s="1774" t="s">
        <v>2245</v>
      </c>
      <c r="B1060" s="1774" t="s">
        <v>16</v>
      </c>
      <c r="C1060" s="1774" t="s">
        <v>3966</v>
      </c>
      <c r="D1060" s="1774" t="s">
        <v>3967</v>
      </c>
      <c r="E1060" s="1774" t="s">
        <v>3968</v>
      </c>
      <c r="F1060" s="1774" t="s">
        <v>2816</v>
      </c>
      <c r="G1060" s="1774" t="s">
        <v>3969</v>
      </c>
      <c r="H1060" s="1774" t="s">
        <v>22</v>
      </c>
      <c r="I1060" s="1774" t="s">
        <v>906</v>
      </c>
    </row>
    <row r="1061" spans="1:9" ht="11.25" customHeight="1">
      <c r="A1061" s="1774" t="s">
        <v>2245</v>
      </c>
      <c r="B1061" s="1774" t="s">
        <v>16</v>
      </c>
      <c r="C1061" s="1774" t="s">
        <v>3327</v>
      </c>
      <c r="D1061" s="1774" t="s">
        <v>3328</v>
      </c>
      <c r="E1061" s="1774" t="s">
        <v>3329</v>
      </c>
      <c r="F1061" s="1774" t="s">
        <v>2306</v>
      </c>
      <c r="G1061" s="1774" t="s">
        <v>22</v>
      </c>
      <c r="H1061" s="1774" t="s">
        <v>22</v>
      </c>
      <c r="I1061" s="1774" t="s">
        <v>906</v>
      </c>
    </row>
    <row r="1062" spans="1:9" ht="11.25" customHeight="1">
      <c r="A1062" s="1774" t="s">
        <v>2245</v>
      </c>
      <c r="B1062" s="1774" t="s">
        <v>16</v>
      </c>
      <c r="C1062" s="1774" t="s">
        <v>3330</v>
      </c>
      <c r="D1062" s="1774" t="s">
        <v>3331</v>
      </c>
      <c r="E1062" s="1774" t="s">
        <v>3332</v>
      </c>
      <c r="F1062" s="1774" t="s">
        <v>2508</v>
      </c>
      <c r="G1062" s="1774" t="s">
        <v>22</v>
      </c>
      <c r="H1062" s="1774" t="s">
        <v>22</v>
      </c>
      <c r="I1062" s="1774" t="s">
        <v>906</v>
      </c>
    </row>
    <row r="1063" spans="1:9" ht="11.25" customHeight="1">
      <c r="A1063" s="1774" t="s">
        <v>2245</v>
      </c>
      <c r="B1063" s="1774" t="s">
        <v>16</v>
      </c>
      <c r="C1063" s="1774" t="s">
        <v>4083</v>
      </c>
      <c r="D1063" s="1774" t="s">
        <v>4084</v>
      </c>
      <c r="E1063" s="1774" t="s">
        <v>4085</v>
      </c>
      <c r="F1063" s="1774" t="s">
        <v>2313</v>
      </c>
      <c r="G1063" s="1774" t="s">
        <v>22</v>
      </c>
      <c r="H1063" s="1774" t="s">
        <v>22</v>
      </c>
      <c r="I1063" s="1774" t="s">
        <v>906</v>
      </c>
    </row>
    <row r="1064" spans="1:9" ht="11.25" customHeight="1">
      <c r="A1064" s="1774" t="s">
        <v>2245</v>
      </c>
      <c r="B1064" s="1774" t="s">
        <v>16</v>
      </c>
      <c r="C1064" s="1774" t="s">
        <v>4086</v>
      </c>
      <c r="D1064" s="1774" t="s">
        <v>4087</v>
      </c>
      <c r="E1064" s="1774" t="s">
        <v>4088</v>
      </c>
      <c r="F1064" s="1774" t="s">
        <v>2261</v>
      </c>
      <c r="G1064" s="1774" t="s">
        <v>22</v>
      </c>
      <c r="H1064" s="1774" t="s">
        <v>22</v>
      </c>
      <c r="I1064" s="1774" t="s">
        <v>906</v>
      </c>
    </row>
    <row r="1065" spans="1:9" ht="11.25" customHeight="1">
      <c r="A1065" s="1774" t="s">
        <v>2245</v>
      </c>
      <c r="B1065" s="1774" t="s">
        <v>16</v>
      </c>
      <c r="C1065" s="1774" t="s">
        <v>4089</v>
      </c>
      <c r="D1065" s="1774" t="s">
        <v>4090</v>
      </c>
      <c r="E1065" s="1774" t="s">
        <v>4091</v>
      </c>
      <c r="F1065" s="1774" t="s">
        <v>2376</v>
      </c>
      <c r="G1065" s="1774" t="s">
        <v>22</v>
      </c>
      <c r="H1065" s="1774" t="s">
        <v>22</v>
      </c>
      <c r="I1065" s="1774" t="s">
        <v>906</v>
      </c>
    </row>
    <row r="1066" spans="1:9" ht="11.25" customHeight="1">
      <c r="A1066" s="1774" t="s">
        <v>2245</v>
      </c>
      <c r="B1066" s="1774" t="s">
        <v>16</v>
      </c>
      <c r="C1066" s="1774" t="s">
        <v>3353</v>
      </c>
      <c r="D1066" s="1774" t="s">
        <v>3354</v>
      </c>
      <c r="E1066" s="1774" t="s">
        <v>3355</v>
      </c>
      <c r="F1066" s="1774" t="s">
        <v>2686</v>
      </c>
      <c r="G1066" s="1774" t="s">
        <v>3356</v>
      </c>
      <c r="H1066" s="1774" t="s">
        <v>22</v>
      </c>
      <c r="I1066" s="1774" t="s">
        <v>906</v>
      </c>
    </row>
    <row r="1067" spans="1:9" ht="11.25" customHeight="1">
      <c r="A1067" s="1774" t="s">
        <v>2245</v>
      </c>
      <c r="B1067" s="1774" t="s">
        <v>16</v>
      </c>
      <c r="C1067" s="1774" t="s">
        <v>3970</v>
      </c>
      <c r="D1067" s="1774" t="s">
        <v>3971</v>
      </c>
      <c r="E1067" s="1774" t="s">
        <v>3972</v>
      </c>
      <c r="F1067" s="1774" t="s">
        <v>2704</v>
      </c>
      <c r="G1067" s="1774" t="s">
        <v>22</v>
      </c>
      <c r="H1067" s="1774" t="s">
        <v>22</v>
      </c>
      <c r="I1067" s="1774" t="s">
        <v>906</v>
      </c>
    </row>
    <row r="1068" spans="1:9" ht="11.25" customHeight="1">
      <c r="A1068" s="1774" t="s">
        <v>2245</v>
      </c>
      <c r="B1068" s="1774" t="s">
        <v>16</v>
      </c>
      <c r="C1068" s="1774" t="s">
        <v>3369</v>
      </c>
      <c r="D1068" s="1774" t="s">
        <v>3370</v>
      </c>
      <c r="E1068" s="1774" t="s">
        <v>3371</v>
      </c>
      <c r="F1068" s="1774" t="s">
        <v>2450</v>
      </c>
      <c r="G1068" s="1774" t="s">
        <v>22</v>
      </c>
      <c r="H1068" s="1774" t="s">
        <v>22</v>
      </c>
      <c r="I1068" s="1774" t="s">
        <v>906</v>
      </c>
    </row>
    <row r="1069" spans="1:9" ht="11.25" customHeight="1">
      <c r="A1069" s="1774" t="s">
        <v>2245</v>
      </c>
      <c r="B1069" s="1774" t="s">
        <v>16</v>
      </c>
      <c r="C1069" s="1774" t="s">
        <v>3372</v>
      </c>
      <c r="D1069" s="1774" t="s">
        <v>3373</v>
      </c>
      <c r="E1069" s="1774" t="s">
        <v>3374</v>
      </c>
      <c r="F1069" s="1774" t="s">
        <v>2317</v>
      </c>
      <c r="G1069" s="1774" t="s">
        <v>22</v>
      </c>
      <c r="H1069" s="1774" t="s">
        <v>22</v>
      </c>
      <c r="I1069" s="1774" t="s">
        <v>906</v>
      </c>
    </row>
    <row r="1070" spans="1:9" ht="11.25" customHeight="1">
      <c r="A1070" s="1774" t="s">
        <v>2245</v>
      </c>
      <c r="B1070" s="1774" t="s">
        <v>16</v>
      </c>
      <c r="C1070" s="1774" t="s">
        <v>3378</v>
      </c>
      <c r="D1070" s="1774" t="s">
        <v>3379</v>
      </c>
      <c r="E1070" s="1774" t="s">
        <v>3380</v>
      </c>
      <c r="F1070" s="1774" t="s">
        <v>2386</v>
      </c>
      <c r="G1070" s="1774" t="s">
        <v>22</v>
      </c>
      <c r="H1070" s="1774" t="s">
        <v>22</v>
      </c>
      <c r="I1070" s="1774" t="s">
        <v>906</v>
      </c>
    </row>
    <row r="1071" spans="1:9" ht="11.25" customHeight="1">
      <c r="A1071" s="1774" t="s">
        <v>2245</v>
      </c>
      <c r="B1071" s="1774" t="s">
        <v>16</v>
      </c>
      <c r="C1071" s="1774" t="s">
        <v>3396</v>
      </c>
      <c r="D1071" s="1774" t="s">
        <v>3397</v>
      </c>
      <c r="E1071" s="1774" t="s">
        <v>3398</v>
      </c>
      <c r="F1071" s="1774" t="s">
        <v>2298</v>
      </c>
      <c r="G1071" s="1774" t="s">
        <v>22</v>
      </c>
      <c r="H1071" s="1774" t="s">
        <v>22</v>
      </c>
      <c r="I1071" s="1774" t="s">
        <v>906</v>
      </c>
    </row>
    <row r="1072" spans="1:9" ht="11.25" customHeight="1">
      <c r="A1072" s="1774" t="s">
        <v>2245</v>
      </c>
      <c r="B1072" s="1774" t="s">
        <v>16</v>
      </c>
      <c r="C1072" s="1774" t="s">
        <v>3408</v>
      </c>
      <c r="D1072" s="1774" t="s">
        <v>3409</v>
      </c>
      <c r="E1072" s="1774" t="s">
        <v>3410</v>
      </c>
      <c r="F1072" s="1774" t="s">
        <v>2317</v>
      </c>
      <c r="G1072" s="1774" t="s">
        <v>22</v>
      </c>
      <c r="H1072" s="1774" t="s">
        <v>22</v>
      </c>
      <c r="I1072" s="1774" t="s">
        <v>906</v>
      </c>
    </row>
    <row r="1073" spans="1:9" ht="11.25" customHeight="1">
      <c r="A1073" s="1774" t="s">
        <v>2245</v>
      </c>
      <c r="B1073" s="1774" t="s">
        <v>16</v>
      </c>
      <c r="C1073" s="1774" t="s">
        <v>4092</v>
      </c>
      <c r="D1073" s="1774" t="s">
        <v>4093</v>
      </c>
      <c r="E1073" s="1774" t="s">
        <v>4094</v>
      </c>
      <c r="F1073" s="1774" t="s">
        <v>2892</v>
      </c>
      <c r="G1073" s="1774" t="s">
        <v>22</v>
      </c>
      <c r="H1073" s="1774" t="s">
        <v>22</v>
      </c>
      <c r="I1073" s="1774" t="s">
        <v>906</v>
      </c>
    </row>
    <row r="1074" spans="1:9" ht="11.25" customHeight="1">
      <c r="A1074" s="1774" t="s">
        <v>2245</v>
      </c>
      <c r="B1074" s="1774" t="s">
        <v>16</v>
      </c>
      <c r="C1074" s="1774" t="s">
        <v>3976</v>
      </c>
      <c r="D1074" s="1774" t="s">
        <v>3977</v>
      </c>
      <c r="E1074" s="1774" t="s">
        <v>3978</v>
      </c>
      <c r="F1074" s="1774" t="s">
        <v>2535</v>
      </c>
      <c r="G1074" s="1774" t="s">
        <v>22</v>
      </c>
      <c r="H1074" s="1774" t="s">
        <v>22</v>
      </c>
      <c r="I1074" s="1774" t="s">
        <v>906</v>
      </c>
    </row>
    <row r="1075" spans="1:9" ht="11.25" customHeight="1">
      <c r="A1075" s="1774" t="s">
        <v>2245</v>
      </c>
      <c r="B1075" s="1774" t="s">
        <v>16</v>
      </c>
      <c r="C1075" s="1774" t="s">
        <v>4095</v>
      </c>
      <c r="D1075" s="1774" t="s">
        <v>4096</v>
      </c>
      <c r="E1075" s="1774" t="s">
        <v>4097</v>
      </c>
      <c r="F1075" s="1774" t="s">
        <v>2313</v>
      </c>
      <c r="G1075" s="1774" t="s">
        <v>22</v>
      </c>
      <c r="H1075" s="1774" t="s">
        <v>22</v>
      </c>
      <c r="I1075" s="1774" t="s">
        <v>906</v>
      </c>
    </row>
    <row r="1076" spans="1:9" ht="11.25" customHeight="1">
      <c r="A1076" s="1774" t="s">
        <v>2245</v>
      </c>
      <c r="B1076" s="1774" t="s">
        <v>16</v>
      </c>
      <c r="C1076" s="1774" t="s">
        <v>3982</v>
      </c>
      <c r="D1076" s="1774" t="s">
        <v>3983</v>
      </c>
      <c r="E1076" s="1774" t="s">
        <v>3984</v>
      </c>
      <c r="F1076" s="1774" t="s">
        <v>2542</v>
      </c>
      <c r="G1076" s="1774" t="s">
        <v>22</v>
      </c>
      <c r="H1076" s="1774" t="s">
        <v>22</v>
      </c>
      <c r="I1076" s="1774" t="s">
        <v>906</v>
      </c>
    </row>
    <row r="1077" spans="1:9" ht="11.25" customHeight="1">
      <c r="A1077" s="1774" t="s">
        <v>2245</v>
      </c>
      <c r="B1077" s="1774" t="s">
        <v>16</v>
      </c>
      <c r="C1077" s="1774" t="s">
        <v>4098</v>
      </c>
      <c r="D1077" s="1774" t="s">
        <v>4099</v>
      </c>
      <c r="E1077" s="1774" t="s">
        <v>4100</v>
      </c>
      <c r="F1077" s="1774" t="s">
        <v>2478</v>
      </c>
      <c r="G1077" s="1774" t="s">
        <v>22</v>
      </c>
      <c r="H1077" s="1774" t="s">
        <v>22</v>
      </c>
      <c r="I1077" s="1774" t="s">
        <v>906</v>
      </c>
    </row>
    <row r="1078" spans="1:9" ht="11.25" customHeight="1">
      <c r="A1078" s="1774" t="s">
        <v>2245</v>
      </c>
      <c r="B1078" s="1774" t="s">
        <v>16</v>
      </c>
      <c r="C1078" s="1774" t="s">
        <v>3985</v>
      </c>
      <c r="D1078" s="1774" t="s">
        <v>3986</v>
      </c>
      <c r="E1078" s="1774" t="s">
        <v>3987</v>
      </c>
      <c r="F1078" s="1774" t="s">
        <v>2313</v>
      </c>
      <c r="G1078" s="1774" t="s">
        <v>22</v>
      </c>
      <c r="H1078" s="1774" t="s">
        <v>22</v>
      </c>
      <c r="I1078" s="1774" t="s">
        <v>906</v>
      </c>
    </row>
    <row r="1079" spans="1:9" ht="11.25" customHeight="1">
      <c r="A1079" s="1774" t="s">
        <v>2245</v>
      </c>
      <c r="B1079" s="1774" t="s">
        <v>16</v>
      </c>
      <c r="C1079" s="1774" t="s">
        <v>3479</v>
      </c>
      <c r="D1079" s="1774" t="s">
        <v>3480</v>
      </c>
      <c r="E1079" s="1774" t="s">
        <v>3481</v>
      </c>
      <c r="F1079" s="1774" t="s">
        <v>2261</v>
      </c>
      <c r="G1079" s="1774" t="s">
        <v>22</v>
      </c>
      <c r="H1079" s="1774" t="s">
        <v>22</v>
      </c>
      <c r="I1079" s="1774" t="s">
        <v>906</v>
      </c>
    </row>
    <row r="1080" spans="1:9" ht="11.25" customHeight="1">
      <c r="A1080" s="1774" t="s">
        <v>2245</v>
      </c>
      <c r="B1080" s="1774" t="s">
        <v>16</v>
      </c>
      <c r="C1080" s="1774" t="s">
        <v>3988</v>
      </c>
      <c r="D1080" s="1774" t="s">
        <v>3989</v>
      </c>
      <c r="E1080" s="1774" t="s">
        <v>3990</v>
      </c>
      <c r="F1080" s="1774" t="s">
        <v>51</v>
      </c>
      <c r="G1080" s="1774" t="s">
        <v>22</v>
      </c>
      <c r="H1080" s="1774" t="s">
        <v>22</v>
      </c>
      <c r="I1080" s="1774" t="s">
        <v>906</v>
      </c>
    </row>
    <row r="1081" spans="1:9" ht="11.25" customHeight="1">
      <c r="A1081" s="1774" t="s">
        <v>2245</v>
      </c>
      <c r="B1081" s="1774" t="s">
        <v>16</v>
      </c>
      <c r="C1081" s="1774" t="s">
        <v>3991</v>
      </c>
      <c r="D1081" s="1774" t="s">
        <v>3992</v>
      </c>
      <c r="E1081" s="1774" t="s">
        <v>3993</v>
      </c>
      <c r="F1081" s="1774" t="s">
        <v>2964</v>
      </c>
      <c r="G1081" s="1774" t="s">
        <v>22</v>
      </c>
      <c r="H1081" s="1774" t="s">
        <v>22</v>
      </c>
      <c r="I1081" s="1774" t="s">
        <v>906</v>
      </c>
    </row>
    <row r="1082" spans="1:9" ht="11.25" customHeight="1">
      <c r="A1082" s="1774" t="s">
        <v>2245</v>
      </c>
      <c r="B1082" s="1774" t="s">
        <v>16</v>
      </c>
      <c r="C1082" s="1774" t="s">
        <v>3994</v>
      </c>
      <c r="D1082" s="1774" t="s">
        <v>3995</v>
      </c>
      <c r="E1082" s="1774" t="s">
        <v>3996</v>
      </c>
      <c r="F1082" s="1774" t="s">
        <v>2535</v>
      </c>
      <c r="G1082" s="1774" t="s">
        <v>22</v>
      </c>
      <c r="H1082" s="1774" t="s">
        <v>22</v>
      </c>
      <c r="I1082" s="1774" t="s">
        <v>906</v>
      </c>
    </row>
    <row r="1083" spans="1:9" ht="11.25" customHeight="1">
      <c r="A1083" s="1774" t="s">
        <v>2245</v>
      </c>
      <c r="B1083" s="1774" t="s">
        <v>16</v>
      </c>
      <c r="C1083" s="1774" t="s">
        <v>3997</v>
      </c>
      <c r="D1083" s="1774" t="s">
        <v>3998</v>
      </c>
      <c r="E1083" s="1774" t="s">
        <v>3999</v>
      </c>
      <c r="F1083" s="1774" t="s">
        <v>2646</v>
      </c>
      <c r="G1083" s="1774" t="s">
        <v>22</v>
      </c>
      <c r="H1083" s="1774" t="s">
        <v>22</v>
      </c>
      <c r="I1083" s="1774" t="s">
        <v>906</v>
      </c>
    </row>
    <row r="1084" spans="1:9" ht="11.25" customHeight="1">
      <c r="A1084" s="1774" t="s">
        <v>2245</v>
      </c>
      <c r="B1084" s="1774" t="s">
        <v>16</v>
      </c>
      <c r="C1084" s="1774" t="s">
        <v>3554</v>
      </c>
      <c r="D1084" s="1774" t="s">
        <v>3555</v>
      </c>
      <c r="E1084" s="1774" t="s">
        <v>2301</v>
      </c>
      <c r="F1084" s="1774" t="s">
        <v>3556</v>
      </c>
      <c r="G1084" s="1774" t="s">
        <v>22</v>
      </c>
      <c r="H1084" s="1774" t="s">
        <v>22</v>
      </c>
      <c r="I1084" s="1774" t="s">
        <v>906</v>
      </c>
    </row>
    <row r="1085" spans="1:9" ht="11.25" customHeight="1">
      <c r="A1085" s="1774" t="s">
        <v>2245</v>
      </c>
      <c r="B1085" s="1774" t="s">
        <v>16</v>
      </c>
      <c r="C1085" s="1774" t="s">
        <v>3561</v>
      </c>
      <c r="D1085" s="1774" t="s">
        <v>3562</v>
      </c>
      <c r="E1085" s="1774" t="s">
        <v>3563</v>
      </c>
      <c r="F1085" s="1774" t="s">
        <v>2686</v>
      </c>
      <c r="G1085" s="1774" t="s">
        <v>22</v>
      </c>
      <c r="H1085" s="1774" t="s">
        <v>22</v>
      </c>
      <c r="I1085" s="1774" t="s">
        <v>906</v>
      </c>
    </row>
    <row r="1086" spans="1:9" ht="11.25" customHeight="1">
      <c r="A1086" s="1774" t="s">
        <v>2245</v>
      </c>
      <c r="B1086" s="1774" t="s">
        <v>16</v>
      </c>
      <c r="C1086" s="1774" t="s">
        <v>3564</v>
      </c>
      <c r="D1086" s="1774" t="s">
        <v>3565</v>
      </c>
      <c r="E1086" s="1774" t="s">
        <v>3566</v>
      </c>
      <c r="F1086" s="1774" t="s">
        <v>2327</v>
      </c>
      <c r="G1086" s="1774" t="s">
        <v>22</v>
      </c>
      <c r="H1086" s="1774" t="s">
        <v>22</v>
      </c>
      <c r="I1086" s="1774" t="s">
        <v>906</v>
      </c>
    </row>
    <row r="1087" spans="1:9" ht="11.25" customHeight="1">
      <c r="A1087" s="1774" t="s">
        <v>2245</v>
      </c>
      <c r="B1087" s="1774" t="s">
        <v>16</v>
      </c>
      <c r="C1087" s="1774" t="s">
        <v>4101</v>
      </c>
      <c r="D1087" s="1774" t="s">
        <v>4102</v>
      </c>
      <c r="E1087" s="1774" t="s">
        <v>4103</v>
      </c>
      <c r="F1087" s="1774" t="s">
        <v>2306</v>
      </c>
      <c r="G1087" s="1774" t="s">
        <v>22</v>
      </c>
      <c r="H1087" s="1774" t="s">
        <v>22</v>
      </c>
      <c r="I1087" s="1774" t="s">
        <v>906</v>
      </c>
    </row>
    <row r="1088" spans="1:9" ht="11.25" customHeight="1">
      <c r="A1088" s="1774" t="s">
        <v>2245</v>
      </c>
      <c r="B1088" s="1774" t="s">
        <v>16</v>
      </c>
      <c r="C1088" s="1774" t="s">
        <v>3574</v>
      </c>
      <c r="D1088" s="1774" t="s">
        <v>3575</v>
      </c>
      <c r="E1088" s="1774" t="s">
        <v>3576</v>
      </c>
      <c r="F1088" s="1774" t="s">
        <v>2436</v>
      </c>
      <c r="G1088" s="1774" t="s">
        <v>22</v>
      </c>
      <c r="H1088" s="1774" t="s">
        <v>22</v>
      </c>
      <c r="I1088" s="1774" t="s">
        <v>906</v>
      </c>
    </row>
    <row r="1089" spans="1:9" ht="11.25" customHeight="1">
      <c r="A1089" s="1774" t="s">
        <v>2245</v>
      </c>
      <c r="B1089" s="1774" t="s">
        <v>16</v>
      </c>
      <c r="C1089" s="1774" t="s">
        <v>3577</v>
      </c>
      <c r="D1089" s="1774" t="s">
        <v>3578</v>
      </c>
      <c r="E1089" s="1774" t="s">
        <v>3579</v>
      </c>
      <c r="F1089" s="1774" t="s">
        <v>2306</v>
      </c>
      <c r="G1089" s="1774" t="s">
        <v>22</v>
      </c>
      <c r="H1089" s="1774" t="s">
        <v>22</v>
      </c>
      <c r="I1089" s="1774" t="s">
        <v>906</v>
      </c>
    </row>
    <row r="1090" spans="1:9" ht="11.25" customHeight="1">
      <c r="A1090" s="1774" t="s">
        <v>2245</v>
      </c>
      <c r="B1090" s="1774" t="s">
        <v>16</v>
      </c>
      <c r="C1090" s="1774" t="s">
        <v>3583</v>
      </c>
      <c r="D1090" s="1774" t="s">
        <v>3584</v>
      </c>
      <c r="E1090" s="1774" t="s">
        <v>3585</v>
      </c>
      <c r="F1090" s="1774" t="s">
        <v>2630</v>
      </c>
      <c r="G1090" s="1774" t="s">
        <v>22</v>
      </c>
      <c r="H1090" s="1774" t="s">
        <v>22</v>
      </c>
      <c r="I1090" s="1774" t="s">
        <v>906</v>
      </c>
    </row>
    <row r="1091" spans="1:9" ht="11.25" customHeight="1">
      <c r="A1091" s="1774" t="s">
        <v>2245</v>
      </c>
      <c r="B1091" s="1774" t="s">
        <v>16</v>
      </c>
      <c r="C1091" s="1774" t="s">
        <v>3595</v>
      </c>
      <c r="D1091" s="1774" t="s">
        <v>3596</v>
      </c>
      <c r="E1091" s="1774" t="s">
        <v>3597</v>
      </c>
      <c r="F1091" s="1774" t="s">
        <v>2450</v>
      </c>
      <c r="G1091" s="1774" t="s">
        <v>22</v>
      </c>
      <c r="H1091" s="1774" t="s">
        <v>22</v>
      </c>
      <c r="I1091" s="1774" t="s">
        <v>906</v>
      </c>
    </row>
    <row r="1092" spans="1:9" ht="11.25" customHeight="1">
      <c r="A1092" s="1774" t="s">
        <v>2245</v>
      </c>
      <c r="B1092" s="1774" t="s">
        <v>16</v>
      </c>
      <c r="C1092" s="1774" t="s">
        <v>3598</v>
      </c>
      <c r="D1092" s="1774" t="s">
        <v>3599</v>
      </c>
      <c r="E1092" s="1774" t="s">
        <v>3600</v>
      </c>
      <c r="F1092" s="1774" t="s">
        <v>2697</v>
      </c>
      <c r="G1092" s="1774" t="s">
        <v>22</v>
      </c>
      <c r="H1092" s="1774" t="s">
        <v>22</v>
      </c>
      <c r="I1092" s="1774" t="s">
        <v>906</v>
      </c>
    </row>
    <row r="1093" spans="1:9" ht="11.25" customHeight="1">
      <c r="A1093" s="1774" t="s">
        <v>2245</v>
      </c>
      <c r="B1093" s="1774" t="s">
        <v>16</v>
      </c>
      <c r="C1093" s="1774" t="s">
        <v>22</v>
      </c>
      <c r="D1093" s="1774" t="s">
        <v>3601</v>
      </c>
      <c r="E1093" s="1774" t="s">
        <v>3602</v>
      </c>
      <c r="F1093" s="1774" t="s">
        <v>2253</v>
      </c>
      <c r="G1093" s="1774" t="s">
        <v>22</v>
      </c>
      <c r="H1093" s="1774" t="s">
        <v>22</v>
      </c>
      <c r="I1093" s="1774" t="s">
        <v>906</v>
      </c>
    </row>
    <row r="1094" spans="1:9" ht="11.25" customHeight="1">
      <c r="A1094" s="1774" t="s">
        <v>2245</v>
      </c>
      <c r="B1094" s="1774" t="s">
        <v>16</v>
      </c>
      <c r="C1094" s="1774" t="s">
        <v>4003</v>
      </c>
      <c r="D1094" s="1774" t="s">
        <v>4004</v>
      </c>
      <c r="E1094" s="1774" t="s">
        <v>4005</v>
      </c>
      <c r="F1094" s="1774" t="s">
        <v>2892</v>
      </c>
      <c r="G1094" s="1774" t="s">
        <v>22</v>
      </c>
      <c r="H1094" s="1774" t="s">
        <v>22</v>
      </c>
      <c r="I1094" s="1774" t="s">
        <v>906</v>
      </c>
    </row>
    <row r="1095" spans="1:9" ht="11.25" customHeight="1">
      <c r="A1095" s="1774" t="s">
        <v>2245</v>
      </c>
      <c r="B1095" s="1774" t="s">
        <v>16</v>
      </c>
      <c r="C1095" s="1774" t="s">
        <v>3606</v>
      </c>
      <c r="D1095" s="1774" t="s">
        <v>3607</v>
      </c>
      <c r="E1095" s="1774" t="s">
        <v>3608</v>
      </c>
      <c r="F1095" s="1774" t="s">
        <v>2496</v>
      </c>
      <c r="G1095" s="1774" t="s">
        <v>3609</v>
      </c>
      <c r="H1095" s="1774" t="s">
        <v>22</v>
      </c>
      <c r="I1095" s="1774" t="s">
        <v>906</v>
      </c>
    </row>
    <row r="1096" spans="1:9" ht="11.25" customHeight="1">
      <c r="A1096" s="1774" t="s">
        <v>2245</v>
      </c>
      <c r="B1096" s="1774" t="s">
        <v>16</v>
      </c>
      <c r="C1096" s="1774" t="s">
        <v>3610</v>
      </c>
      <c r="D1096" s="1774" t="s">
        <v>3611</v>
      </c>
      <c r="E1096" s="1774" t="s">
        <v>3612</v>
      </c>
      <c r="F1096" s="1774" t="s">
        <v>2496</v>
      </c>
      <c r="G1096" s="1774" t="s">
        <v>22</v>
      </c>
      <c r="H1096" s="1774" t="s">
        <v>22</v>
      </c>
      <c r="I1096" s="1774" t="s">
        <v>906</v>
      </c>
    </row>
    <row r="1097" spans="1:9" ht="11.25" customHeight="1">
      <c r="A1097" s="1774" t="s">
        <v>2245</v>
      </c>
      <c r="B1097" s="1774" t="s">
        <v>16</v>
      </c>
      <c r="C1097" s="1774" t="s">
        <v>3622</v>
      </c>
      <c r="D1097" s="1774" t="s">
        <v>3623</v>
      </c>
      <c r="E1097" s="1774" t="s">
        <v>3624</v>
      </c>
      <c r="F1097" s="1774" t="s">
        <v>3556</v>
      </c>
      <c r="G1097" s="1774" t="s">
        <v>22</v>
      </c>
      <c r="H1097" s="1774" t="s">
        <v>22</v>
      </c>
      <c r="I1097" s="1774" t="s">
        <v>906</v>
      </c>
    </row>
    <row r="1098" spans="1:9" ht="11.25" customHeight="1">
      <c r="A1098" s="1774" t="s">
        <v>2245</v>
      </c>
      <c r="B1098" s="1774" t="s">
        <v>16</v>
      </c>
      <c r="C1098" s="1774" t="s">
        <v>3625</v>
      </c>
      <c r="D1098" s="1774" t="s">
        <v>3623</v>
      </c>
      <c r="E1098" s="1774" t="s">
        <v>3624</v>
      </c>
      <c r="F1098" s="1774" t="s">
        <v>2432</v>
      </c>
      <c r="G1098" s="1774" t="s">
        <v>22</v>
      </c>
      <c r="H1098" s="1774" t="s">
        <v>22</v>
      </c>
      <c r="I1098" s="1774" t="s">
        <v>906</v>
      </c>
    </row>
    <row r="1099" spans="1:9" ht="11.25" customHeight="1">
      <c r="A1099" s="1774" t="s">
        <v>2245</v>
      </c>
      <c r="B1099" s="1774" t="s">
        <v>16</v>
      </c>
      <c r="C1099" s="1774" t="s">
        <v>4015</v>
      </c>
      <c r="D1099" s="1774" t="s">
        <v>4016</v>
      </c>
      <c r="E1099" s="1774" t="s">
        <v>4017</v>
      </c>
      <c r="F1099" s="1774" t="s">
        <v>2964</v>
      </c>
      <c r="G1099" s="1774" t="s">
        <v>22</v>
      </c>
      <c r="H1099" s="1774" t="s">
        <v>22</v>
      </c>
      <c r="I1099" s="1774" t="s">
        <v>906</v>
      </c>
    </row>
    <row r="1100" spans="1:9" ht="11.25" customHeight="1">
      <c r="A1100" s="1774" t="s">
        <v>2245</v>
      </c>
      <c r="B1100" s="1774" t="s">
        <v>16</v>
      </c>
      <c r="C1100" s="1774" t="s">
        <v>3626</v>
      </c>
      <c r="D1100" s="1774" t="s">
        <v>3627</v>
      </c>
      <c r="E1100" s="1774" t="s">
        <v>3628</v>
      </c>
      <c r="F1100" s="1774" t="s">
        <v>2440</v>
      </c>
      <c r="G1100" s="1774" t="s">
        <v>22</v>
      </c>
      <c r="H1100" s="1774" t="s">
        <v>22</v>
      </c>
      <c r="I1100" s="1774" t="s">
        <v>906</v>
      </c>
    </row>
    <row r="1101" spans="1:9" ht="11.25" customHeight="1">
      <c r="A1101" s="1774" t="s">
        <v>2245</v>
      </c>
      <c r="B1101" s="1774" t="s">
        <v>16</v>
      </c>
      <c r="C1101" s="1774" t="s">
        <v>3633</v>
      </c>
      <c r="D1101" s="1774" t="s">
        <v>3634</v>
      </c>
      <c r="E1101" s="1774" t="s">
        <v>3635</v>
      </c>
      <c r="F1101" s="1774" t="s">
        <v>2313</v>
      </c>
      <c r="G1101" s="1774" t="s">
        <v>22</v>
      </c>
      <c r="H1101" s="1774" t="s">
        <v>22</v>
      </c>
      <c r="I1101" s="1774" t="s">
        <v>906</v>
      </c>
    </row>
    <row r="1102" spans="1:9" ht="11.25" customHeight="1">
      <c r="A1102" s="1774" t="s">
        <v>2245</v>
      </c>
      <c r="B1102" s="1774" t="s">
        <v>16</v>
      </c>
      <c r="C1102" s="1774" t="s">
        <v>4104</v>
      </c>
      <c r="D1102" s="1774" t="s">
        <v>4105</v>
      </c>
      <c r="E1102" s="1774" t="s">
        <v>4106</v>
      </c>
      <c r="F1102" s="1774" t="s">
        <v>2450</v>
      </c>
      <c r="G1102" s="1774" t="s">
        <v>22</v>
      </c>
      <c r="H1102" s="1774" t="s">
        <v>22</v>
      </c>
      <c r="I1102" s="1774" t="s">
        <v>906</v>
      </c>
    </row>
    <row r="1103" spans="1:9" ht="11.25" customHeight="1">
      <c r="A1103" s="1774" t="s">
        <v>2245</v>
      </c>
      <c r="B1103" s="1774" t="s">
        <v>16</v>
      </c>
      <c r="C1103" s="1774" t="s">
        <v>3656</v>
      </c>
      <c r="D1103" s="1774" t="s">
        <v>3657</v>
      </c>
      <c r="E1103" s="1774" t="s">
        <v>3658</v>
      </c>
      <c r="F1103" s="1774" t="s">
        <v>2653</v>
      </c>
      <c r="G1103" s="1774" t="s">
        <v>22</v>
      </c>
      <c r="H1103" s="1774" t="s">
        <v>22</v>
      </c>
      <c r="I1103" s="1774" t="s">
        <v>906</v>
      </c>
    </row>
    <row r="1104" spans="1:9" ht="11.25" customHeight="1">
      <c r="A1104" s="1774" t="s">
        <v>2245</v>
      </c>
      <c r="B1104" s="1774" t="s">
        <v>16</v>
      </c>
      <c r="C1104" s="1774" t="s">
        <v>3659</v>
      </c>
      <c r="D1104" s="1774" t="s">
        <v>3660</v>
      </c>
      <c r="E1104" s="1774" t="s">
        <v>3661</v>
      </c>
      <c r="F1104" s="1774" t="s">
        <v>2638</v>
      </c>
      <c r="G1104" s="1774" t="s">
        <v>3662</v>
      </c>
      <c r="H1104" s="1774" t="s">
        <v>22</v>
      </c>
      <c r="I1104" s="1774" t="s">
        <v>906</v>
      </c>
    </row>
    <row r="1105" spans="1:9" ht="11.25" customHeight="1">
      <c r="A1105" s="1774" t="s">
        <v>2245</v>
      </c>
      <c r="B1105" s="1774" t="s">
        <v>16</v>
      </c>
      <c r="C1105" s="1774" t="s">
        <v>3663</v>
      </c>
      <c r="D1105" s="1774" t="s">
        <v>3664</v>
      </c>
      <c r="E1105" s="1774" t="s">
        <v>3665</v>
      </c>
      <c r="F1105" s="1774" t="s">
        <v>2306</v>
      </c>
      <c r="G1105" s="1774" t="s">
        <v>22</v>
      </c>
      <c r="H1105" s="1774" t="s">
        <v>22</v>
      </c>
      <c r="I1105" s="1774" t="s">
        <v>906</v>
      </c>
    </row>
    <row r="1106" spans="1:9" ht="11.25" customHeight="1">
      <c r="A1106" s="1774" t="s">
        <v>2245</v>
      </c>
      <c r="B1106" s="1774" t="s">
        <v>16</v>
      </c>
      <c r="C1106" s="1774" t="s">
        <v>4107</v>
      </c>
      <c r="D1106" s="1774" t="s">
        <v>4108</v>
      </c>
      <c r="E1106" s="1774" t="s">
        <v>4109</v>
      </c>
      <c r="F1106" s="1774" t="s">
        <v>2253</v>
      </c>
      <c r="G1106" s="1774" t="s">
        <v>22</v>
      </c>
      <c r="H1106" s="1774" t="s">
        <v>22</v>
      </c>
      <c r="I1106" s="1774" t="s">
        <v>1618</v>
      </c>
    </row>
    <row r="1107" spans="1:9" ht="11.25" customHeight="1">
      <c r="A1107" s="1774" t="s">
        <v>2245</v>
      </c>
      <c r="B1107" s="1774" t="s">
        <v>16</v>
      </c>
      <c r="C1107" s="1774" t="s">
        <v>4110</v>
      </c>
      <c r="D1107" s="1774" t="s">
        <v>4111</v>
      </c>
      <c r="E1107" s="1774" t="s">
        <v>4112</v>
      </c>
      <c r="F1107" s="1774" t="s">
        <v>2450</v>
      </c>
      <c r="G1107" s="1774" t="s">
        <v>22</v>
      </c>
      <c r="H1107" s="1774" t="s">
        <v>22</v>
      </c>
      <c r="I1107" s="1774" t="s">
        <v>1618</v>
      </c>
    </row>
    <row r="1108" spans="1:9" ht="11.25" customHeight="1">
      <c r="A1108" s="1774" t="s">
        <v>2245</v>
      </c>
      <c r="B1108" s="1774" t="s">
        <v>16</v>
      </c>
      <c r="C1108" s="1774" t="s">
        <v>3771</v>
      </c>
      <c r="D1108" s="1774" t="s">
        <v>3772</v>
      </c>
      <c r="E1108" s="1774" t="s">
        <v>3773</v>
      </c>
      <c r="F1108" s="1774" t="s">
        <v>2666</v>
      </c>
      <c r="G1108" s="1774" t="s">
        <v>22</v>
      </c>
      <c r="H1108" s="1774" t="s">
        <v>22</v>
      </c>
      <c r="I1108" s="1774" t="s">
        <v>1618</v>
      </c>
    </row>
    <row r="1109" spans="1:9" ht="11.25" customHeight="1">
      <c r="A1109" s="1774" t="s">
        <v>2245</v>
      </c>
      <c r="B1109" s="1774" t="s">
        <v>16</v>
      </c>
      <c r="C1109" s="1774" t="s">
        <v>4113</v>
      </c>
      <c r="D1109" s="1774" t="s">
        <v>4114</v>
      </c>
      <c r="E1109" s="1774" t="s">
        <v>4115</v>
      </c>
      <c r="F1109" s="1774" t="s">
        <v>2440</v>
      </c>
      <c r="G1109" s="1774" t="s">
        <v>22</v>
      </c>
      <c r="H1109" s="1774" t="s">
        <v>22</v>
      </c>
      <c r="I1109" s="1774" t="s">
        <v>1618</v>
      </c>
    </row>
    <row r="1110" spans="1:9" ht="11.25" customHeight="1">
      <c r="A1110" s="1774" t="s">
        <v>2245</v>
      </c>
      <c r="B1110" s="1774" t="s">
        <v>16</v>
      </c>
      <c r="C1110" s="1774" t="s">
        <v>2767</v>
      </c>
      <c r="D1110" s="1774" t="s">
        <v>2768</v>
      </c>
      <c r="E1110" s="1774" t="s">
        <v>2769</v>
      </c>
      <c r="F1110" s="1774" t="s">
        <v>2508</v>
      </c>
      <c r="G1110" s="1774" t="s">
        <v>22</v>
      </c>
      <c r="H1110" s="1774" t="s">
        <v>22</v>
      </c>
      <c r="I1110" s="1774" t="s">
        <v>1618</v>
      </c>
    </row>
    <row r="1111" spans="1:9" ht="11.25" customHeight="1">
      <c r="A1111" s="1774" t="s">
        <v>2245</v>
      </c>
      <c r="B1111" s="1774" t="s">
        <v>16</v>
      </c>
      <c r="C1111" s="1774" t="s">
        <v>2770</v>
      </c>
      <c r="D1111" s="1774" t="s">
        <v>2771</v>
      </c>
      <c r="E1111" s="1774" t="s">
        <v>2772</v>
      </c>
      <c r="F1111" s="1774" t="s">
        <v>2531</v>
      </c>
      <c r="G1111" s="1774" t="s">
        <v>22</v>
      </c>
      <c r="H1111" s="1774" t="s">
        <v>22</v>
      </c>
      <c r="I1111" s="1774" t="s">
        <v>1618</v>
      </c>
    </row>
    <row r="1112" spans="1:9" ht="11.25" customHeight="1">
      <c r="A1112" s="1774" t="s">
        <v>2245</v>
      </c>
      <c r="B1112" s="1774" t="s">
        <v>16</v>
      </c>
      <c r="C1112" s="1774" t="s">
        <v>2776</v>
      </c>
      <c r="D1112" s="1774" t="s">
        <v>2777</v>
      </c>
      <c r="E1112" s="1774" t="s">
        <v>2778</v>
      </c>
      <c r="F1112" s="1774" t="s">
        <v>2779</v>
      </c>
      <c r="G1112" s="1774" t="s">
        <v>22</v>
      </c>
      <c r="H1112" s="1774" t="s">
        <v>22</v>
      </c>
      <c r="I1112" s="1774" t="s">
        <v>1618</v>
      </c>
    </row>
    <row r="1113" spans="1:9" ht="11.25" customHeight="1">
      <c r="A1113" s="1774" t="s">
        <v>2245</v>
      </c>
      <c r="B1113" s="1774" t="s">
        <v>16</v>
      </c>
      <c r="C1113" s="1774" t="s">
        <v>2807</v>
      </c>
      <c r="D1113" s="1774" t="s">
        <v>2808</v>
      </c>
      <c r="E1113" s="1774" t="s">
        <v>2809</v>
      </c>
      <c r="F1113" s="1774" t="s">
        <v>2523</v>
      </c>
      <c r="G1113" s="1774" t="s">
        <v>22</v>
      </c>
      <c r="H1113" s="1774" t="s">
        <v>22</v>
      </c>
      <c r="I1113" s="1774" t="s">
        <v>1618</v>
      </c>
    </row>
    <row r="1114" spans="1:9" ht="11.25" customHeight="1">
      <c r="A1114" s="1774" t="s">
        <v>2245</v>
      </c>
      <c r="B1114" s="1774" t="s">
        <v>16</v>
      </c>
      <c r="C1114" s="1774" t="s">
        <v>2840</v>
      </c>
      <c r="D1114" s="1774" t="s">
        <v>2841</v>
      </c>
      <c r="E1114" s="1774" t="s">
        <v>2842</v>
      </c>
      <c r="F1114" s="1774" t="s">
        <v>2843</v>
      </c>
      <c r="G1114" s="1774" t="s">
        <v>22</v>
      </c>
      <c r="H1114" s="1774" t="s">
        <v>22</v>
      </c>
      <c r="I1114" s="1774" t="s">
        <v>1618</v>
      </c>
    </row>
    <row r="1115" spans="1:9" ht="11.25" customHeight="1">
      <c r="A1115" s="1774" t="s">
        <v>2245</v>
      </c>
      <c r="B1115" s="1774" t="s">
        <v>16</v>
      </c>
      <c r="C1115" s="1774" t="s">
        <v>3004</v>
      </c>
      <c r="D1115" s="1774" t="s">
        <v>3005</v>
      </c>
      <c r="E1115" s="1774" t="s">
        <v>3006</v>
      </c>
      <c r="F1115" s="1774" t="s">
        <v>2519</v>
      </c>
      <c r="G1115" s="1774" t="s">
        <v>22</v>
      </c>
      <c r="H1115" s="1774" t="s">
        <v>22</v>
      </c>
      <c r="I1115" s="1774" t="s">
        <v>1618</v>
      </c>
    </row>
    <row r="1116" spans="1:9" ht="11.25" customHeight="1">
      <c r="A1116" s="1774" t="s">
        <v>2245</v>
      </c>
      <c r="B1116" s="1774" t="s">
        <v>16</v>
      </c>
      <c r="C1116" s="1774" t="s">
        <v>4116</v>
      </c>
      <c r="D1116" s="1774" t="s">
        <v>4117</v>
      </c>
      <c r="E1116" s="1774" t="s">
        <v>4118</v>
      </c>
      <c r="F1116" s="1774" t="s">
        <v>2291</v>
      </c>
      <c r="G1116" s="1774" t="s">
        <v>22</v>
      </c>
      <c r="H1116" s="1774" t="s">
        <v>22</v>
      </c>
      <c r="I1116" s="1774" t="s">
        <v>1618</v>
      </c>
    </row>
    <row r="1117" spans="1:9" ht="11.25" customHeight="1">
      <c r="A1117" s="1774" t="s">
        <v>2245</v>
      </c>
      <c r="B1117" s="1774" t="s">
        <v>16</v>
      </c>
      <c r="C1117" s="1774" t="s">
        <v>4119</v>
      </c>
      <c r="D1117" s="1774" t="s">
        <v>4120</v>
      </c>
      <c r="E1117" s="1774" t="s">
        <v>4121</v>
      </c>
      <c r="F1117" s="1774" t="s">
        <v>2327</v>
      </c>
      <c r="G1117" s="1774" t="s">
        <v>22</v>
      </c>
      <c r="H1117" s="1774" t="s">
        <v>22</v>
      </c>
      <c r="I1117" s="1774" t="s">
        <v>1618</v>
      </c>
    </row>
    <row r="1118" spans="1:9" ht="11.25" customHeight="1">
      <c r="A1118" s="1774" t="s">
        <v>2245</v>
      </c>
      <c r="B1118" s="1774" t="s">
        <v>16</v>
      </c>
      <c r="C1118" s="1774" t="s">
        <v>4122</v>
      </c>
      <c r="D1118" s="1774" t="s">
        <v>4123</v>
      </c>
      <c r="E1118" s="1774" t="s">
        <v>4124</v>
      </c>
      <c r="F1118" s="1774" t="s">
        <v>3010</v>
      </c>
      <c r="G1118" s="1774" t="s">
        <v>22</v>
      </c>
      <c r="H1118" s="1774" t="s">
        <v>22</v>
      </c>
      <c r="I1118" s="1774" t="s">
        <v>1618</v>
      </c>
    </row>
    <row r="1119" spans="1:9" ht="11.25" customHeight="1">
      <c r="A1119" s="1774" t="s">
        <v>2245</v>
      </c>
      <c r="B1119" s="1774" t="s">
        <v>16</v>
      </c>
      <c r="C1119" s="1774" t="s">
        <v>4125</v>
      </c>
      <c r="D1119" s="1774" t="s">
        <v>4126</v>
      </c>
      <c r="E1119" s="1774" t="s">
        <v>4127</v>
      </c>
      <c r="F1119" s="1774" t="s">
        <v>2284</v>
      </c>
      <c r="G1119" s="1774" t="s">
        <v>22</v>
      </c>
      <c r="H1119" s="1774" t="s">
        <v>22</v>
      </c>
      <c r="I1119" s="1774" t="s">
        <v>1618</v>
      </c>
    </row>
    <row r="1120" spans="1:9" ht="11.25" customHeight="1">
      <c r="A1120" s="1774" t="s">
        <v>2245</v>
      </c>
      <c r="B1120" s="1774" t="s">
        <v>16</v>
      </c>
      <c r="C1120" s="1774" t="s">
        <v>4128</v>
      </c>
      <c r="D1120" s="1774" t="s">
        <v>4129</v>
      </c>
      <c r="E1120" s="1774" t="s">
        <v>4130</v>
      </c>
      <c r="F1120" s="1774" t="s">
        <v>4131</v>
      </c>
      <c r="G1120" s="1774" t="s">
        <v>22</v>
      </c>
      <c r="H1120" s="1774" t="s">
        <v>22</v>
      </c>
      <c r="I1120" s="1774" t="s">
        <v>1618</v>
      </c>
    </row>
    <row r="1121" spans="1:9" ht="11.25" customHeight="1">
      <c r="A1121" s="1774" t="s">
        <v>2245</v>
      </c>
      <c r="B1121" s="1774" t="s">
        <v>16</v>
      </c>
      <c r="C1121" s="1774" t="s">
        <v>3898</v>
      </c>
      <c r="D1121" s="1774" t="s">
        <v>3899</v>
      </c>
      <c r="E1121" s="1774" t="s">
        <v>3900</v>
      </c>
      <c r="F1121" s="1774" t="s">
        <v>2496</v>
      </c>
      <c r="G1121" s="1774" t="s">
        <v>22</v>
      </c>
      <c r="H1121" s="1774" t="s">
        <v>22</v>
      </c>
      <c r="I1121" s="1774" t="s">
        <v>1618</v>
      </c>
    </row>
    <row r="1122" spans="1:9" ht="11.25" customHeight="1">
      <c r="A1122" s="1774" t="s">
        <v>2245</v>
      </c>
      <c r="B1122" s="1774" t="s">
        <v>16</v>
      </c>
      <c r="C1122" s="1774" t="s">
        <v>4132</v>
      </c>
      <c r="D1122" s="1774" t="s">
        <v>4133</v>
      </c>
      <c r="E1122" s="1774" t="s">
        <v>4134</v>
      </c>
      <c r="F1122" s="1774" t="s">
        <v>2372</v>
      </c>
      <c r="G1122" s="1774" t="s">
        <v>22</v>
      </c>
      <c r="H1122" s="1774" t="s">
        <v>22</v>
      </c>
      <c r="I1122" s="1774" t="s">
        <v>1618</v>
      </c>
    </row>
    <row r="1123" spans="1:9" ht="11.25" customHeight="1">
      <c r="A1123" s="1774" t="s">
        <v>2245</v>
      </c>
      <c r="B1123" s="1774" t="s">
        <v>16</v>
      </c>
      <c r="C1123" s="1774" t="s">
        <v>4135</v>
      </c>
      <c r="D1123" s="1774" t="s">
        <v>4136</v>
      </c>
      <c r="E1123" s="1774" t="s">
        <v>4137</v>
      </c>
      <c r="F1123" s="1774" t="s">
        <v>51</v>
      </c>
      <c r="G1123" s="1774" t="s">
        <v>22</v>
      </c>
      <c r="H1123" s="1774" t="s">
        <v>22</v>
      </c>
      <c r="I1123" s="1774" t="s">
        <v>1618</v>
      </c>
    </row>
    <row r="1124" spans="1:9" ht="11.25" customHeight="1">
      <c r="A1124" s="1774" t="s">
        <v>2245</v>
      </c>
      <c r="B1124" s="1774" t="s">
        <v>16</v>
      </c>
      <c r="C1124" s="1774" t="s">
        <v>4138</v>
      </c>
      <c r="D1124" s="1774" t="s">
        <v>4139</v>
      </c>
      <c r="E1124" s="1774" t="s">
        <v>4140</v>
      </c>
      <c r="F1124" s="1774" t="s">
        <v>4141</v>
      </c>
      <c r="G1124" s="1774" t="s">
        <v>4142</v>
      </c>
      <c r="H1124" s="1774" t="s">
        <v>22</v>
      </c>
      <c r="I1124" s="1774" t="s">
        <v>1618</v>
      </c>
    </row>
    <row r="1125" spans="1:9" ht="11.25" customHeight="1">
      <c r="A1125" s="1774" t="s">
        <v>2245</v>
      </c>
      <c r="B1125" s="1774" t="s">
        <v>16</v>
      </c>
      <c r="C1125" s="1774" t="s">
        <v>4143</v>
      </c>
      <c r="D1125" s="1774" t="s">
        <v>4144</v>
      </c>
      <c r="E1125" s="1774" t="s">
        <v>4145</v>
      </c>
      <c r="F1125" s="1774" t="s">
        <v>2261</v>
      </c>
      <c r="G1125" s="1774" t="s">
        <v>22</v>
      </c>
      <c r="H1125" s="1774" t="s">
        <v>22</v>
      </c>
      <c r="I1125" s="1774" t="s">
        <v>1618</v>
      </c>
    </row>
    <row r="1126" spans="1:9" ht="11.25" customHeight="1">
      <c r="A1126" s="1774" t="s">
        <v>2245</v>
      </c>
      <c r="B1126" s="1774" t="s">
        <v>16</v>
      </c>
      <c r="C1126" s="1774" t="s">
        <v>4146</v>
      </c>
      <c r="D1126" s="1774" t="s">
        <v>4147</v>
      </c>
      <c r="E1126" s="1774" t="s">
        <v>4148</v>
      </c>
      <c r="F1126" s="1774" t="s">
        <v>51</v>
      </c>
      <c r="G1126" s="1774" t="s">
        <v>22</v>
      </c>
      <c r="H1126" s="1774" t="s">
        <v>22</v>
      </c>
      <c r="I1126" s="1774" t="s">
        <v>1618</v>
      </c>
    </row>
    <row r="1127" spans="1:9" ht="11.25" customHeight="1">
      <c r="A1127" s="1774" t="s">
        <v>2245</v>
      </c>
      <c r="B1127" s="1774" t="s">
        <v>16</v>
      </c>
      <c r="C1127" s="1774" t="s">
        <v>4149</v>
      </c>
      <c r="D1127" s="1774" t="s">
        <v>4150</v>
      </c>
      <c r="E1127" s="1774" t="s">
        <v>4151</v>
      </c>
      <c r="F1127" s="1774" t="s">
        <v>2253</v>
      </c>
      <c r="G1127" s="1774" t="s">
        <v>22</v>
      </c>
      <c r="H1127" s="1774" t="s">
        <v>22</v>
      </c>
      <c r="I1127" s="1774" t="s">
        <v>1618</v>
      </c>
    </row>
    <row r="1128" spans="1:9" ht="11.25" customHeight="1">
      <c r="A1128" s="1774" t="s">
        <v>2245</v>
      </c>
      <c r="B1128" s="1774" t="s">
        <v>16</v>
      </c>
      <c r="C1128" s="1774" t="s">
        <v>4152</v>
      </c>
      <c r="D1128" s="1774" t="s">
        <v>4153</v>
      </c>
      <c r="E1128" s="1774" t="s">
        <v>4151</v>
      </c>
      <c r="F1128" s="1774" t="s">
        <v>4154</v>
      </c>
      <c r="G1128" s="1774" t="s">
        <v>22</v>
      </c>
      <c r="H1128" s="1774" t="s">
        <v>22</v>
      </c>
      <c r="I1128" s="1774" t="s">
        <v>1618</v>
      </c>
    </row>
    <row r="1129" spans="1:9" ht="11.25" customHeight="1">
      <c r="A1129" s="1774" t="s">
        <v>2245</v>
      </c>
      <c r="B1129" s="1774" t="s">
        <v>16</v>
      </c>
      <c r="C1129" s="1774" t="s">
        <v>4155</v>
      </c>
      <c r="D1129" s="1774" t="s">
        <v>4156</v>
      </c>
      <c r="E1129" s="1774" t="s">
        <v>4157</v>
      </c>
      <c r="F1129" s="1774" t="s">
        <v>2964</v>
      </c>
      <c r="G1129" s="1774" t="s">
        <v>22</v>
      </c>
      <c r="H1129" s="1774" t="s">
        <v>22</v>
      </c>
      <c r="I1129" s="1774" t="s">
        <v>1618</v>
      </c>
    </row>
    <row r="1130" spans="1:9" ht="11.25" customHeight="1">
      <c r="A1130" s="1774" t="s">
        <v>2245</v>
      </c>
      <c r="B1130" s="1774" t="s">
        <v>16</v>
      </c>
      <c r="C1130" s="1774" t="s">
        <v>4158</v>
      </c>
      <c r="D1130" s="1774" t="s">
        <v>4159</v>
      </c>
      <c r="E1130" s="1774" t="s">
        <v>4160</v>
      </c>
      <c r="F1130" s="1774" t="s">
        <v>51</v>
      </c>
      <c r="G1130" s="1774" t="s">
        <v>22</v>
      </c>
      <c r="H1130" s="1774" t="s">
        <v>22</v>
      </c>
      <c r="I1130" s="1774" t="s">
        <v>1618</v>
      </c>
    </row>
    <row r="1131" spans="1:9" ht="11.25" customHeight="1">
      <c r="A1131" s="1774" t="s">
        <v>2245</v>
      </c>
      <c r="B1131" s="1774" t="s">
        <v>16</v>
      </c>
      <c r="C1131" s="1774" t="s">
        <v>4161</v>
      </c>
      <c r="D1131" s="1774" t="s">
        <v>4162</v>
      </c>
      <c r="E1131" s="1774" t="s">
        <v>4163</v>
      </c>
      <c r="F1131" s="1774" t="s">
        <v>51</v>
      </c>
      <c r="G1131" s="1774" t="s">
        <v>22</v>
      </c>
      <c r="H1131" s="1774" t="s">
        <v>22</v>
      </c>
      <c r="I1131" s="1774" t="s">
        <v>1618</v>
      </c>
    </row>
    <row r="1132" spans="1:9" ht="11.25" customHeight="1">
      <c r="A1132" s="1774" t="s">
        <v>2245</v>
      </c>
      <c r="B1132" s="1774" t="s">
        <v>16</v>
      </c>
      <c r="C1132" s="1774" t="s">
        <v>4164</v>
      </c>
      <c r="D1132" s="1774" t="s">
        <v>4165</v>
      </c>
      <c r="E1132" s="1774" t="s">
        <v>4166</v>
      </c>
      <c r="F1132" s="1774" t="s">
        <v>2372</v>
      </c>
      <c r="G1132" s="1774" t="s">
        <v>22</v>
      </c>
      <c r="H1132" s="1774" t="s">
        <v>22</v>
      </c>
      <c r="I1132" s="1774" t="s">
        <v>1618</v>
      </c>
    </row>
    <row r="1133" spans="1:9" ht="11.25" customHeight="1">
      <c r="A1133" s="1774" t="s">
        <v>2245</v>
      </c>
      <c r="B1133" s="1774" t="s">
        <v>16</v>
      </c>
      <c r="C1133" s="1774" t="s">
        <v>4167</v>
      </c>
      <c r="D1133" s="1774" t="s">
        <v>4168</v>
      </c>
      <c r="E1133" s="1774" t="s">
        <v>4169</v>
      </c>
      <c r="F1133" s="1774" t="s">
        <v>2372</v>
      </c>
      <c r="G1133" s="1774" t="s">
        <v>22</v>
      </c>
      <c r="H1133" s="1774" t="s">
        <v>22</v>
      </c>
      <c r="I1133" s="1774" t="s">
        <v>1618</v>
      </c>
    </row>
    <row r="1134" spans="1:9" ht="11.25" customHeight="1">
      <c r="A1134" s="1774" t="s">
        <v>2245</v>
      </c>
      <c r="B1134" s="1774" t="s">
        <v>16</v>
      </c>
      <c r="C1134" s="1774" t="s">
        <v>4170</v>
      </c>
      <c r="D1134" s="1774" t="s">
        <v>4171</v>
      </c>
      <c r="E1134" s="1774" t="s">
        <v>4172</v>
      </c>
      <c r="F1134" s="1774" t="s">
        <v>2253</v>
      </c>
      <c r="G1134" s="1774" t="s">
        <v>22</v>
      </c>
      <c r="H1134" s="1774" t="s">
        <v>22</v>
      </c>
      <c r="I1134" s="1774" t="s">
        <v>1618</v>
      </c>
    </row>
    <row r="1135" spans="1:9" ht="11.25" customHeight="1">
      <c r="A1135" s="1774" t="s">
        <v>2245</v>
      </c>
      <c r="B1135" s="1774" t="s">
        <v>16</v>
      </c>
      <c r="C1135" s="1774" t="s">
        <v>4173</v>
      </c>
      <c r="D1135" s="1774" t="s">
        <v>4174</v>
      </c>
      <c r="E1135" s="1774" t="s">
        <v>4175</v>
      </c>
      <c r="F1135" s="1774" t="s">
        <v>4176</v>
      </c>
      <c r="G1135" s="1774" t="s">
        <v>22</v>
      </c>
      <c r="H1135" s="1774" t="s">
        <v>22</v>
      </c>
      <c r="I1135" s="1774" t="s">
        <v>1618</v>
      </c>
    </row>
    <row r="1136" spans="1:9" ht="11.25" customHeight="1">
      <c r="A1136" s="1774" t="s">
        <v>2245</v>
      </c>
      <c r="B1136" s="1774" t="s">
        <v>16</v>
      </c>
      <c r="C1136" s="1774" t="s">
        <v>4177</v>
      </c>
      <c r="D1136" s="1774" t="s">
        <v>4178</v>
      </c>
      <c r="E1136" s="1774" t="s">
        <v>4179</v>
      </c>
      <c r="F1136" s="1774" t="s">
        <v>4180</v>
      </c>
      <c r="G1136" s="1774" t="s">
        <v>22</v>
      </c>
      <c r="H1136" s="1774" t="s">
        <v>22</v>
      </c>
      <c r="I1136" s="1774" t="s">
        <v>1618</v>
      </c>
    </row>
    <row r="1137" spans="1:9" ht="11.25" customHeight="1">
      <c r="A1137" s="1774" t="s">
        <v>2245</v>
      </c>
      <c r="B1137" s="1774" t="s">
        <v>16</v>
      </c>
      <c r="C1137" s="1774" t="s">
        <v>4181</v>
      </c>
      <c r="D1137" s="1774" t="s">
        <v>4182</v>
      </c>
      <c r="E1137" s="1774" t="s">
        <v>4183</v>
      </c>
      <c r="F1137" s="1774" t="s">
        <v>2327</v>
      </c>
      <c r="G1137" s="1774" t="s">
        <v>4184</v>
      </c>
      <c r="H1137" s="1774" t="s">
        <v>22</v>
      </c>
      <c r="I1137" s="1774" t="s">
        <v>1618</v>
      </c>
    </row>
    <row r="1138" spans="1:9" ht="11.25" customHeight="1">
      <c r="A1138" s="1774" t="s">
        <v>2245</v>
      </c>
      <c r="B1138" s="1774" t="s">
        <v>16</v>
      </c>
      <c r="C1138" s="1774" t="s">
        <v>4185</v>
      </c>
      <c r="D1138" s="1774" t="s">
        <v>4186</v>
      </c>
      <c r="E1138" s="1774" t="s">
        <v>4187</v>
      </c>
      <c r="F1138" s="1774" t="s">
        <v>2253</v>
      </c>
      <c r="G1138" s="1774" t="s">
        <v>22</v>
      </c>
      <c r="H1138" s="1774" t="s">
        <v>22</v>
      </c>
      <c r="I1138" s="1774" t="s">
        <v>1618</v>
      </c>
    </row>
    <row r="1139" spans="1:9" ht="11.25" customHeight="1">
      <c r="A1139" s="1774" t="s">
        <v>2245</v>
      </c>
      <c r="B1139" s="1774" t="s">
        <v>16</v>
      </c>
      <c r="C1139" s="1774" t="s">
        <v>22</v>
      </c>
      <c r="D1139" s="1774" t="s">
        <v>3601</v>
      </c>
      <c r="E1139" s="1774" t="s">
        <v>3602</v>
      </c>
      <c r="F1139" s="1774" t="s">
        <v>2253</v>
      </c>
      <c r="G1139" s="1774" t="s">
        <v>22</v>
      </c>
      <c r="H1139" s="1774" t="s">
        <v>22</v>
      </c>
      <c r="I1139" s="1774" t="s">
        <v>1618</v>
      </c>
    </row>
  </sheetData>
  <sheetProtection formatColumns="0" formatRows="0" insertRows="0" deleteColumns="0" deleteRows="0" sort="0" autoFilter="0"/>
  <pageMargins left="0.75" right="0.75" top="1" bottom="1" header="0.5" footer="0.5"/>
  <pageSetup orientation="portrait"/>
  <headerFooter>
    <oddHeader>&amp;L&amp;C&amp;R</oddHeader>
    <oddFooter>&amp;L&amp;C&amp;R</oddFooter>
    <evenHeader>&amp;L&amp;C&amp;R</evenHeader>
    <evenFooter>&amp;L&amp;C&amp;R</evenFooter>
  </headerFooter>
</worksheet>
</file>

<file path=xl/worksheets/sheet7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CC99"/>
  </sheetPr>
  <dimension ref="A1:G52"/>
  <sheetViews>
    <sheetView showGridLines="0" workbookViewId="0"/>
  </sheetViews>
  <sheetFormatPr defaultRowHeight="11.25" customHeight="1"/>
  <cols>
    <col min="1" max="1" width="9.140625" style="1774"/>
  </cols>
  <sheetData>
    <row r="1" spans="1:7" ht="11.25" customHeight="1">
      <c r="A1" s="308" t="s">
        <v>4188</v>
      </c>
      <c r="B1" s="2" t="s">
        <v>4189</v>
      </c>
      <c r="C1" s="2" t="s">
        <v>4190</v>
      </c>
      <c r="D1" s="2" t="s">
        <v>4191</v>
      </c>
      <c r="E1" t="s">
        <v>4192</v>
      </c>
      <c r="F1" t="s">
        <v>4193</v>
      </c>
      <c r="G1" t="s">
        <v>4194</v>
      </c>
    </row>
    <row r="2" spans="1:7" ht="11.25" customHeight="1">
      <c r="A2" s="308" t="s">
        <v>16</v>
      </c>
      <c r="B2" t="s">
        <v>4195</v>
      </c>
      <c r="C2" t="s">
        <v>4196</v>
      </c>
      <c r="D2" t="s">
        <v>4195</v>
      </c>
      <c r="E2" t="s">
        <v>4196</v>
      </c>
      <c r="F2" t="s">
        <v>4197</v>
      </c>
      <c r="G2" t="s">
        <v>109</v>
      </c>
    </row>
    <row r="3" spans="1:7" ht="11.25" customHeight="1">
      <c r="A3" s="308" t="s">
        <v>16</v>
      </c>
      <c r="B3" t="s">
        <v>4198</v>
      </c>
      <c r="C3" t="s">
        <v>4199</v>
      </c>
      <c r="D3" t="s">
        <v>4198</v>
      </c>
      <c r="E3" t="s">
        <v>4199</v>
      </c>
      <c r="F3" t="s">
        <v>4197</v>
      </c>
      <c r="G3" t="s">
        <v>110</v>
      </c>
    </row>
    <row r="4" spans="1:7" ht="11.25" customHeight="1">
      <c r="A4" s="308" t="s">
        <v>16</v>
      </c>
      <c r="B4" t="s">
        <v>4200</v>
      </c>
      <c r="C4" t="s">
        <v>4201</v>
      </c>
      <c r="D4" t="s">
        <v>4200</v>
      </c>
      <c r="E4" t="s">
        <v>4201</v>
      </c>
      <c r="F4" t="s">
        <v>4197</v>
      </c>
      <c r="G4" t="s">
        <v>90</v>
      </c>
    </row>
    <row r="5" spans="1:7" ht="11.25" customHeight="1">
      <c r="A5" s="308" t="s">
        <v>16</v>
      </c>
      <c r="B5" t="s">
        <v>4202</v>
      </c>
      <c r="C5" t="s">
        <v>4203</v>
      </c>
      <c r="D5" t="s">
        <v>4202</v>
      </c>
      <c r="E5" t="s">
        <v>4203</v>
      </c>
      <c r="F5" t="s">
        <v>4197</v>
      </c>
      <c r="G5" t="s">
        <v>91</v>
      </c>
    </row>
    <row r="6" spans="1:7" ht="11.25" customHeight="1">
      <c r="A6" s="308" t="s">
        <v>16</v>
      </c>
      <c r="B6" t="s">
        <v>4204</v>
      </c>
      <c r="C6" t="s">
        <v>4205</v>
      </c>
      <c r="D6" t="s">
        <v>4204</v>
      </c>
      <c r="E6" t="s">
        <v>4205</v>
      </c>
      <c r="F6" t="s">
        <v>4197</v>
      </c>
      <c r="G6" t="s">
        <v>111</v>
      </c>
    </row>
    <row r="7" spans="1:7" ht="11.25" customHeight="1">
      <c r="A7" s="308" t="s">
        <v>16</v>
      </c>
      <c r="B7" t="s">
        <v>4206</v>
      </c>
      <c r="C7" t="s">
        <v>4207</v>
      </c>
      <c r="D7" t="s">
        <v>4206</v>
      </c>
      <c r="E7" t="s">
        <v>4207</v>
      </c>
      <c r="F7" t="s">
        <v>4197</v>
      </c>
      <c r="G7" t="s">
        <v>92</v>
      </c>
    </row>
    <row r="8" spans="1:7" ht="11.25" customHeight="1">
      <c r="A8" s="308" t="s">
        <v>16</v>
      </c>
      <c r="B8" t="s">
        <v>4208</v>
      </c>
      <c r="C8" t="s">
        <v>4209</v>
      </c>
      <c r="D8" t="s">
        <v>4208</v>
      </c>
      <c r="E8" t="s">
        <v>4209</v>
      </c>
      <c r="F8" t="s">
        <v>4197</v>
      </c>
      <c r="G8" t="s">
        <v>93</v>
      </c>
    </row>
    <row r="9" spans="1:7" ht="11.25" customHeight="1">
      <c r="A9" s="308" t="s">
        <v>16</v>
      </c>
      <c r="B9" t="s">
        <v>4210</v>
      </c>
      <c r="C9" t="s">
        <v>4211</v>
      </c>
      <c r="D9" t="s">
        <v>4210</v>
      </c>
      <c r="E9" t="s">
        <v>4211</v>
      </c>
      <c r="F9" t="s">
        <v>4197</v>
      </c>
      <c r="G9" t="s">
        <v>112</v>
      </c>
    </row>
    <row r="10" spans="1:7" ht="11.25" customHeight="1">
      <c r="A10" s="308" t="s">
        <v>16</v>
      </c>
      <c r="B10" t="s">
        <v>4212</v>
      </c>
      <c r="C10" t="s">
        <v>4213</v>
      </c>
      <c r="D10" t="s">
        <v>4212</v>
      </c>
      <c r="E10" t="s">
        <v>4213</v>
      </c>
      <c r="F10" t="s">
        <v>4197</v>
      </c>
      <c r="G10" t="s">
        <v>149</v>
      </c>
    </row>
    <row r="11" spans="1:7" ht="11.25" customHeight="1">
      <c r="A11" s="308" t="s">
        <v>16</v>
      </c>
      <c r="B11" t="s">
        <v>4214</v>
      </c>
      <c r="C11" t="s">
        <v>4215</v>
      </c>
      <c r="D11" t="s">
        <v>4214</v>
      </c>
      <c r="E11" t="s">
        <v>4215</v>
      </c>
      <c r="F11" t="s">
        <v>4197</v>
      </c>
      <c r="G11" t="s">
        <v>150</v>
      </c>
    </row>
    <row r="12" spans="1:7" ht="11.25" customHeight="1">
      <c r="A12" s="308" t="s">
        <v>16</v>
      </c>
      <c r="B12" t="s">
        <v>4216</v>
      </c>
      <c r="C12" t="s">
        <v>4217</v>
      </c>
      <c r="D12" t="s">
        <v>4216</v>
      </c>
      <c r="E12" t="s">
        <v>4217</v>
      </c>
      <c r="F12" t="s">
        <v>4197</v>
      </c>
      <c r="G12" t="s">
        <v>151</v>
      </c>
    </row>
    <row r="13" spans="1:7" ht="11.25" customHeight="1">
      <c r="A13" s="308" t="s">
        <v>16</v>
      </c>
      <c r="B13" t="s">
        <v>4218</v>
      </c>
      <c r="C13" t="s">
        <v>4219</v>
      </c>
      <c r="D13" t="s">
        <v>4218</v>
      </c>
      <c r="E13" t="s">
        <v>4219</v>
      </c>
      <c r="F13" t="s">
        <v>4197</v>
      </c>
      <c r="G13" t="s">
        <v>152</v>
      </c>
    </row>
    <row r="14" spans="1:7" ht="11.25" customHeight="1">
      <c r="A14" s="308" t="s">
        <v>16</v>
      </c>
      <c r="B14" t="s">
        <v>4220</v>
      </c>
      <c r="C14" t="s">
        <v>4221</v>
      </c>
      <c r="D14" t="s">
        <v>4220</v>
      </c>
      <c r="E14" t="s">
        <v>4221</v>
      </c>
      <c r="F14" t="s">
        <v>4222</v>
      </c>
      <c r="G14" t="s">
        <v>153</v>
      </c>
    </row>
    <row r="15" spans="1:7" ht="11.25" customHeight="1">
      <c r="A15" s="308" t="s">
        <v>16</v>
      </c>
      <c r="B15" t="s">
        <v>4223</v>
      </c>
      <c r="C15" t="s">
        <v>4224</v>
      </c>
      <c r="D15" t="s">
        <v>4223</v>
      </c>
      <c r="E15" t="s">
        <v>4224</v>
      </c>
      <c r="F15" t="s">
        <v>4197</v>
      </c>
      <c r="G15" t="s">
        <v>154</v>
      </c>
    </row>
    <row r="16" spans="1:7" ht="11.25" customHeight="1">
      <c r="A16" s="308" t="s">
        <v>16</v>
      </c>
      <c r="B16" t="s">
        <v>4225</v>
      </c>
      <c r="C16" t="s">
        <v>4226</v>
      </c>
      <c r="D16" t="s">
        <v>4225</v>
      </c>
      <c r="E16" t="s">
        <v>4226</v>
      </c>
      <c r="F16" t="s">
        <v>4197</v>
      </c>
      <c r="G16" t="s">
        <v>1462</v>
      </c>
    </row>
    <row r="17" spans="1:7" ht="11.25" customHeight="1">
      <c r="A17" s="308" t="s">
        <v>16</v>
      </c>
      <c r="B17" t="s">
        <v>4227</v>
      </c>
      <c r="C17" t="s">
        <v>4228</v>
      </c>
      <c r="D17" t="s">
        <v>4227</v>
      </c>
      <c r="E17" t="s">
        <v>4228</v>
      </c>
      <c r="F17" t="s">
        <v>4197</v>
      </c>
      <c r="G17" t="s">
        <v>1468</v>
      </c>
    </row>
    <row r="18" spans="1:7" ht="11.25" customHeight="1">
      <c r="A18" s="308" t="s">
        <v>16</v>
      </c>
      <c r="B18" t="s">
        <v>4229</v>
      </c>
      <c r="C18" t="s">
        <v>4230</v>
      </c>
      <c r="D18" t="s">
        <v>4229</v>
      </c>
      <c r="E18" t="s">
        <v>4230</v>
      </c>
      <c r="F18" t="s">
        <v>4197</v>
      </c>
      <c r="G18" t="s">
        <v>1480</v>
      </c>
    </row>
    <row r="19" spans="1:7" ht="11.25" customHeight="1">
      <c r="A19" s="308" t="s">
        <v>16</v>
      </c>
      <c r="B19" t="s">
        <v>4231</v>
      </c>
      <c r="C19" t="s">
        <v>4232</v>
      </c>
      <c r="D19" t="s">
        <v>4231</v>
      </c>
      <c r="E19" t="s">
        <v>4232</v>
      </c>
      <c r="F19" t="s">
        <v>4197</v>
      </c>
      <c r="G19" t="s">
        <v>1494</v>
      </c>
    </row>
    <row r="20" spans="1:7" ht="11.25" customHeight="1">
      <c r="A20" s="308" t="s">
        <v>16</v>
      </c>
      <c r="B20" t="s">
        <v>4233</v>
      </c>
      <c r="C20" t="s">
        <v>4234</v>
      </c>
      <c r="D20" t="s">
        <v>4233</v>
      </c>
      <c r="E20" t="s">
        <v>4234</v>
      </c>
      <c r="F20" t="s">
        <v>4222</v>
      </c>
      <c r="G20" t="s">
        <v>1506</v>
      </c>
    </row>
    <row r="21" spans="1:7" ht="11.25" customHeight="1">
      <c r="A21" s="308" t="s">
        <v>16</v>
      </c>
      <c r="B21" t="s">
        <v>4235</v>
      </c>
      <c r="C21" t="s">
        <v>4236</v>
      </c>
      <c r="D21" t="s">
        <v>4235</v>
      </c>
      <c r="E21" t="s">
        <v>4236</v>
      </c>
      <c r="F21" t="s">
        <v>4197</v>
      </c>
      <c r="G21" t="s">
        <v>1515</v>
      </c>
    </row>
    <row r="22" spans="1:7" ht="11.25" customHeight="1">
      <c r="A22" s="308" t="s">
        <v>16</v>
      </c>
      <c r="B22" t="s">
        <v>4237</v>
      </c>
      <c r="C22" t="s">
        <v>4238</v>
      </c>
      <c r="D22" t="s">
        <v>4237</v>
      </c>
      <c r="E22" t="s">
        <v>4238</v>
      </c>
      <c r="F22" t="s">
        <v>4197</v>
      </c>
      <c r="G22" t="s">
        <v>1531</v>
      </c>
    </row>
    <row r="23" spans="1:7" ht="11.25" customHeight="1">
      <c r="A23" s="308" t="s">
        <v>16</v>
      </c>
      <c r="B23" t="s">
        <v>4239</v>
      </c>
      <c r="C23" t="s">
        <v>4240</v>
      </c>
      <c r="D23" t="s">
        <v>4239</v>
      </c>
      <c r="E23" t="s">
        <v>4240</v>
      </c>
      <c r="F23" t="s">
        <v>4197</v>
      </c>
      <c r="G23" t="s">
        <v>1538</v>
      </c>
    </row>
    <row r="24" spans="1:7" ht="11.25" customHeight="1">
      <c r="A24" s="308" t="s">
        <v>16</v>
      </c>
      <c r="B24" t="s">
        <v>4241</v>
      </c>
      <c r="C24" t="s">
        <v>4242</v>
      </c>
      <c r="D24" t="s">
        <v>4241</v>
      </c>
      <c r="E24" t="s">
        <v>4242</v>
      </c>
      <c r="F24" t="s">
        <v>4197</v>
      </c>
      <c r="G24" t="s">
        <v>1546</v>
      </c>
    </row>
    <row r="25" spans="1:7" ht="11.25" customHeight="1">
      <c r="A25" s="308" t="s">
        <v>16</v>
      </c>
      <c r="B25" t="s">
        <v>4243</v>
      </c>
      <c r="C25" t="s">
        <v>4244</v>
      </c>
      <c r="D25" t="s">
        <v>4243</v>
      </c>
      <c r="E25" t="s">
        <v>4244</v>
      </c>
      <c r="F25" t="s">
        <v>4197</v>
      </c>
      <c r="G25" t="s">
        <v>1553</v>
      </c>
    </row>
    <row r="26" spans="1:7" ht="11.25" customHeight="1">
      <c r="A26" s="308" t="s">
        <v>16</v>
      </c>
      <c r="B26" t="s">
        <v>4245</v>
      </c>
      <c r="C26" t="s">
        <v>4246</v>
      </c>
      <c r="D26" t="s">
        <v>4245</v>
      </c>
      <c r="E26" t="s">
        <v>4246</v>
      </c>
      <c r="F26" t="s">
        <v>4197</v>
      </c>
      <c r="G26" t="s">
        <v>1557</v>
      </c>
    </row>
    <row r="27" spans="1:7" ht="11.25" customHeight="1">
      <c r="A27" s="308" t="s">
        <v>16</v>
      </c>
      <c r="B27" t="s">
        <v>4247</v>
      </c>
      <c r="C27" t="s">
        <v>4248</v>
      </c>
      <c r="D27" t="s">
        <v>4247</v>
      </c>
      <c r="E27" t="s">
        <v>4248</v>
      </c>
      <c r="F27" t="s">
        <v>4197</v>
      </c>
      <c r="G27" t="s">
        <v>1562</v>
      </c>
    </row>
    <row r="28" spans="1:7" ht="11.25" customHeight="1">
      <c r="A28" s="308" t="s">
        <v>16</v>
      </c>
      <c r="B28" t="s">
        <v>4249</v>
      </c>
      <c r="C28" t="s">
        <v>4250</v>
      </c>
      <c r="D28" t="s">
        <v>4249</v>
      </c>
      <c r="E28" t="s">
        <v>4250</v>
      </c>
      <c r="F28" t="s">
        <v>4222</v>
      </c>
      <c r="G28" t="s">
        <v>1570</v>
      </c>
    </row>
    <row r="29" spans="1:7" ht="11.25" customHeight="1">
      <c r="A29" s="308" t="s">
        <v>16</v>
      </c>
      <c r="B29" t="s">
        <v>4251</v>
      </c>
      <c r="C29" t="s">
        <v>4252</v>
      </c>
      <c r="D29" t="s">
        <v>4251</v>
      </c>
      <c r="E29" t="s">
        <v>4252</v>
      </c>
      <c r="F29" t="s">
        <v>4197</v>
      </c>
      <c r="G29" t="s">
        <v>1572</v>
      </c>
    </row>
    <row r="30" spans="1:7" ht="11.25" customHeight="1">
      <c r="A30" s="308" t="s">
        <v>16</v>
      </c>
      <c r="B30" t="s">
        <v>4253</v>
      </c>
      <c r="C30" t="s">
        <v>4254</v>
      </c>
      <c r="D30" t="s">
        <v>4253</v>
      </c>
      <c r="E30" t="s">
        <v>4254</v>
      </c>
      <c r="F30" t="s">
        <v>4222</v>
      </c>
      <c r="G30" t="s">
        <v>1575</v>
      </c>
    </row>
    <row r="31" spans="1:7" ht="11.25" customHeight="1">
      <c r="A31" s="308" t="s">
        <v>16</v>
      </c>
      <c r="B31" t="s">
        <v>4255</v>
      </c>
      <c r="C31" t="s">
        <v>4256</v>
      </c>
      <c r="D31" t="s">
        <v>4255</v>
      </c>
      <c r="E31" t="s">
        <v>4256</v>
      </c>
      <c r="F31" t="s">
        <v>4197</v>
      </c>
      <c r="G31" t="s">
        <v>1581</v>
      </c>
    </row>
    <row r="32" spans="1:7" ht="11.25" customHeight="1">
      <c r="A32" s="308" t="s">
        <v>16</v>
      </c>
      <c r="B32" t="s">
        <v>4257</v>
      </c>
      <c r="C32" t="s">
        <v>4258</v>
      </c>
      <c r="D32" t="s">
        <v>4257</v>
      </c>
      <c r="E32" t="s">
        <v>4258</v>
      </c>
      <c r="F32" t="s">
        <v>4197</v>
      </c>
      <c r="G32" t="s">
        <v>1583</v>
      </c>
    </row>
    <row r="33" spans="1:7" ht="11.25" customHeight="1">
      <c r="A33" s="308" t="s">
        <v>16</v>
      </c>
      <c r="B33" t="s">
        <v>4259</v>
      </c>
      <c r="C33" t="s">
        <v>4260</v>
      </c>
      <c r="D33" t="s">
        <v>4259</v>
      </c>
      <c r="E33" t="s">
        <v>4260</v>
      </c>
      <c r="F33" t="s">
        <v>4222</v>
      </c>
      <c r="G33" t="s">
        <v>1585</v>
      </c>
    </row>
    <row r="34" spans="1:7" ht="11.25" customHeight="1">
      <c r="A34" s="308" t="s">
        <v>16</v>
      </c>
      <c r="B34" t="s">
        <v>4261</v>
      </c>
      <c r="C34" t="s">
        <v>4262</v>
      </c>
      <c r="D34" t="s">
        <v>4261</v>
      </c>
      <c r="E34" t="s">
        <v>4262</v>
      </c>
      <c r="F34" t="s">
        <v>4197</v>
      </c>
      <c r="G34" t="s">
        <v>1587</v>
      </c>
    </row>
    <row r="35" spans="1:7" ht="11.25" customHeight="1">
      <c r="A35" s="308" t="s">
        <v>16</v>
      </c>
      <c r="B35" t="s">
        <v>4263</v>
      </c>
      <c r="C35" t="s">
        <v>4264</v>
      </c>
      <c r="D35" t="s">
        <v>4263</v>
      </c>
      <c r="E35" t="s">
        <v>4264</v>
      </c>
      <c r="F35" t="s">
        <v>4197</v>
      </c>
      <c r="G35" t="s">
        <v>1592</v>
      </c>
    </row>
    <row r="36" spans="1:7" ht="11.25" customHeight="1">
      <c r="A36" s="308" t="s">
        <v>16</v>
      </c>
      <c r="B36" t="s">
        <v>4265</v>
      </c>
      <c r="C36" t="s">
        <v>4266</v>
      </c>
      <c r="D36" t="s">
        <v>4265</v>
      </c>
      <c r="E36" t="s">
        <v>4266</v>
      </c>
      <c r="F36" t="s">
        <v>4222</v>
      </c>
      <c r="G36" t="s">
        <v>1597</v>
      </c>
    </row>
    <row r="37" spans="1:7" ht="11.25" customHeight="1">
      <c r="A37" s="308" t="s">
        <v>16</v>
      </c>
      <c r="B37" t="s">
        <v>4267</v>
      </c>
      <c r="C37" t="s">
        <v>4268</v>
      </c>
      <c r="D37" t="s">
        <v>4267</v>
      </c>
      <c r="E37" t="s">
        <v>4268</v>
      </c>
      <c r="F37" t="s">
        <v>4197</v>
      </c>
      <c r="G37" t="s">
        <v>1601</v>
      </c>
    </row>
    <row r="38" spans="1:7" ht="11.25" customHeight="1">
      <c r="A38" s="308" t="s">
        <v>16</v>
      </c>
      <c r="B38" t="s">
        <v>4269</v>
      </c>
      <c r="C38" t="s">
        <v>4270</v>
      </c>
      <c r="D38" t="s">
        <v>4269</v>
      </c>
      <c r="E38" t="s">
        <v>4270</v>
      </c>
      <c r="F38" t="s">
        <v>4197</v>
      </c>
      <c r="G38" t="s">
        <v>1609</v>
      </c>
    </row>
    <row r="39" spans="1:7" ht="11.25" customHeight="1">
      <c r="A39" s="308" t="s">
        <v>16</v>
      </c>
      <c r="B39" t="s">
        <v>4271</v>
      </c>
      <c r="C39" t="s">
        <v>4272</v>
      </c>
      <c r="D39" t="s">
        <v>4271</v>
      </c>
      <c r="E39" t="s">
        <v>4272</v>
      </c>
      <c r="F39" t="s">
        <v>4197</v>
      </c>
      <c r="G39" t="s">
        <v>1615</v>
      </c>
    </row>
    <row r="40" spans="1:7" ht="11.25" customHeight="1">
      <c r="A40" s="308" t="s">
        <v>16</v>
      </c>
      <c r="B40" t="s">
        <v>4273</v>
      </c>
      <c r="C40" t="s">
        <v>4274</v>
      </c>
      <c r="D40" t="s">
        <v>4273</v>
      </c>
      <c r="E40" t="s">
        <v>4274</v>
      </c>
      <c r="F40" t="s">
        <v>4197</v>
      </c>
      <c r="G40" t="s">
        <v>1619</v>
      </c>
    </row>
    <row r="41" spans="1:7" ht="11.25" customHeight="1">
      <c r="A41" s="308" t="s">
        <v>16</v>
      </c>
      <c r="B41" t="s">
        <v>4275</v>
      </c>
      <c r="C41" t="s">
        <v>4276</v>
      </c>
      <c r="D41" t="s">
        <v>4275</v>
      </c>
      <c r="E41" t="s">
        <v>4276</v>
      </c>
      <c r="F41" t="s">
        <v>4197</v>
      </c>
      <c r="G41" t="s">
        <v>1623</v>
      </c>
    </row>
    <row r="42" spans="1:7" ht="11.25" customHeight="1">
      <c r="A42" s="308" t="s">
        <v>16</v>
      </c>
      <c r="B42" t="s">
        <v>4277</v>
      </c>
      <c r="C42" t="s">
        <v>4278</v>
      </c>
      <c r="D42" t="s">
        <v>4277</v>
      </c>
      <c r="E42" t="s">
        <v>4278</v>
      </c>
      <c r="F42" t="s">
        <v>4197</v>
      </c>
      <c r="G42" t="s">
        <v>1626</v>
      </c>
    </row>
    <row r="43" spans="1:7" ht="11.25" customHeight="1">
      <c r="A43" s="308" t="s">
        <v>16</v>
      </c>
      <c r="B43" t="s">
        <v>4279</v>
      </c>
      <c r="C43" t="s">
        <v>4280</v>
      </c>
      <c r="D43" t="s">
        <v>4279</v>
      </c>
      <c r="E43" t="s">
        <v>4280</v>
      </c>
      <c r="F43" t="s">
        <v>4197</v>
      </c>
      <c r="G43" t="s">
        <v>1633</v>
      </c>
    </row>
    <row r="44" spans="1:7" ht="11.25" customHeight="1">
      <c r="A44" s="308" t="s">
        <v>16</v>
      </c>
      <c r="B44" t="s">
        <v>4281</v>
      </c>
      <c r="C44" t="s">
        <v>4282</v>
      </c>
      <c r="D44" t="s">
        <v>4281</v>
      </c>
      <c r="E44" t="s">
        <v>4282</v>
      </c>
      <c r="F44" t="s">
        <v>4222</v>
      </c>
      <c r="G44" t="s">
        <v>1642</v>
      </c>
    </row>
    <row r="45" spans="1:7" ht="11.25" customHeight="1">
      <c r="A45" s="308" t="s">
        <v>16</v>
      </c>
      <c r="B45" t="s">
        <v>4283</v>
      </c>
      <c r="C45" t="s">
        <v>4284</v>
      </c>
      <c r="D45" t="s">
        <v>4283</v>
      </c>
      <c r="E45" t="s">
        <v>4284</v>
      </c>
      <c r="F45" t="s">
        <v>4222</v>
      </c>
      <c r="G45" t="s">
        <v>1647</v>
      </c>
    </row>
    <row r="46" spans="1:7" ht="11.25" customHeight="1">
      <c r="A46" s="308" t="s">
        <v>16</v>
      </c>
      <c r="B46" t="s">
        <v>4285</v>
      </c>
      <c r="C46" t="s">
        <v>4286</v>
      </c>
      <c r="D46" t="s">
        <v>4285</v>
      </c>
      <c r="E46" t="s">
        <v>4286</v>
      </c>
      <c r="F46" t="s">
        <v>4222</v>
      </c>
      <c r="G46" t="s">
        <v>1650</v>
      </c>
    </row>
    <row r="47" spans="1:7" ht="11.25" customHeight="1">
      <c r="A47" s="308" t="s">
        <v>16</v>
      </c>
      <c r="B47" t="s">
        <v>4287</v>
      </c>
      <c r="C47" t="s">
        <v>4288</v>
      </c>
      <c r="D47" t="s">
        <v>4287</v>
      </c>
      <c r="E47" t="s">
        <v>4288</v>
      </c>
      <c r="F47" t="s">
        <v>4222</v>
      </c>
      <c r="G47" t="s">
        <v>1656</v>
      </c>
    </row>
    <row r="48" spans="1:7" ht="11.25" customHeight="1">
      <c r="A48" s="308" t="s">
        <v>16</v>
      </c>
      <c r="B48" t="s">
        <v>4289</v>
      </c>
      <c r="C48" t="s">
        <v>4290</v>
      </c>
      <c r="D48" t="s">
        <v>4289</v>
      </c>
      <c r="E48" t="s">
        <v>4290</v>
      </c>
      <c r="F48" t="s">
        <v>4222</v>
      </c>
      <c r="G48" t="s">
        <v>1661</v>
      </c>
    </row>
    <row r="49" spans="1:7" ht="11.25" customHeight="1">
      <c r="A49" s="308" t="s">
        <v>16</v>
      </c>
      <c r="B49" t="s">
        <v>100</v>
      </c>
      <c r="C49" t="s">
        <v>101</v>
      </c>
      <c r="D49" t="s">
        <v>100</v>
      </c>
      <c r="E49" t="s">
        <v>101</v>
      </c>
      <c r="F49" t="s">
        <v>4222</v>
      </c>
      <c r="G49" t="s">
        <v>99</v>
      </c>
    </row>
    <row r="50" spans="1:7" ht="11.25" customHeight="1">
      <c r="A50" s="308" t="s">
        <v>16</v>
      </c>
      <c r="B50" t="s">
        <v>4291</v>
      </c>
      <c r="C50" t="s">
        <v>4292</v>
      </c>
      <c r="D50" t="s">
        <v>4291</v>
      </c>
      <c r="E50" t="s">
        <v>4292</v>
      </c>
      <c r="F50" t="s">
        <v>4222</v>
      </c>
      <c r="G50" t="s">
        <v>1667</v>
      </c>
    </row>
    <row r="51" spans="1:7" ht="11.25" customHeight="1">
      <c r="A51" s="308" t="s">
        <v>16</v>
      </c>
      <c r="B51" t="s">
        <v>4293</v>
      </c>
      <c r="C51" t="s">
        <v>4294</v>
      </c>
      <c r="D51" t="s">
        <v>4293</v>
      </c>
      <c r="E51" t="s">
        <v>4294</v>
      </c>
      <c r="F51" t="s">
        <v>4222</v>
      </c>
      <c r="G51" t="s">
        <v>1672</v>
      </c>
    </row>
    <row r="52" spans="1:7" ht="11.25" customHeight="1">
      <c r="A52" s="308" t="s">
        <v>16</v>
      </c>
      <c r="B52" t="s">
        <v>4295</v>
      </c>
      <c r="C52" t="s">
        <v>4296</v>
      </c>
      <c r="D52" t="s">
        <v>4295</v>
      </c>
      <c r="E52" t="s">
        <v>4296</v>
      </c>
      <c r="F52" t="s">
        <v>4222</v>
      </c>
      <c r="G52" t="s">
        <v>1676</v>
      </c>
    </row>
  </sheetData>
  <sheetProtection insertRows="0" deleteColumns="0" deleteRows="0" sort="0" autoFilter="0"/>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7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CC99"/>
  </sheetPr>
  <dimension ref="A1:I21"/>
  <sheetViews>
    <sheetView showGridLines="0" workbookViewId="0"/>
  </sheetViews>
  <sheetFormatPr defaultColWidth="9.140625" defaultRowHeight="11.25" customHeight="1"/>
  <cols>
    <col min="1" max="1" width="13.85546875" style="1616" customWidth="1"/>
    <col min="2" max="2" width="10.42578125" style="1616" customWidth="1"/>
    <col min="3" max="3" width="7.5703125" style="1616" customWidth="1"/>
    <col min="4" max="4" width="13.85546875" style="1616" customWidth="1"/>
    <col min="5" max="5" width="11.5703125" style="1616" customWidth="1"/>
    <col min="6" max="6" width="16.28515625" style="1616" customWidth="1"/>
    <col min="7" max="7" width="16" style="1616" customWidth="1"/>
    <col min="8" max="9" width="16.140625" style="1616" customWidth="1"/>
  </cols>
  <sheetData>
    <row r="1" spans="1:9" ht="11.25" customHeight="1">
      <c r="A1" s="764" t="s">
        <v>4297</v>
      </c>
      <c r="B1" s="764" t="s">
        <v>4298</v>
      </c>
      <c r="C1" s="1084" t="s">
        <v>4299</v>
      </c>
      <c r="D1" s="764" t="s">
        <v>4300</v>
      </c>
      <c r="E1" s="764" t="s">
        <v>4301</v>
      </c>
      <c r="F1" s="1084" t="s">
        <v>4302</v>
      </c>
      <c r="G1" s="1084" t="s">
        <v>4303</v>
      </c>
      <c r="H1" s="1084" t="s">
        <v>4304</v>
      </c>
      <c r="I1" s="1084" t="s">
        <v>4305</v>
      </c>
    </row>
    <row r="2" spans="1:9" ht="11.25" customHeight="1">
      <c r="A2" s="1616" t="s">
        <v>109</v>
      </c>
      <c r="B2" s="1616" t="s">
        <v>4306</v>
      </c>
      <c r="C2" s="1616" t="s">
        <v>22</v>
      </c>
      <c r="D2" s="1616" t="s">
        <v>4307</v>
      </c>
      <c r="E2" s="1616" t="s">
        <v>4308</v>
      </c>
      <c r="F2" s="1616" t="s">
        <v>22</v>
      </c>
      <c r="G2" s="1616" t="s">
        <v>22</v>
      </c>
      <c r="H2" s="1616" t="s">
        <v>22</v>
      </c>
      <c r="I2" s="1616" t="s">
        <v>22</v>
      </c>
    </row>
    <row r="3" spans="1:9" ht="11.25" customHeight="1">
      <c r="A3" s="1616" t="s">
        <v>110</v>
      </c>
      <c r="B3" s="1616" t="s">
        <v>4309</v>
      </c>
      <c r="C3" s="1616" t="s">
        <v>22</v>
      </c>
      <c r="D3" s="1616" t="s">
        <v>4310</v>
      </c>
      <c r="E3" s="1616" t="s">
        <v>4308</v>
      </c>
      <c r="F3" s="1616" t="s">
        <v>22</v>
      </c>
      <c r="G3" s="1616" t="s">
        <v>22</v>
      </c>
      <c r="H3" s="1616" t="s">
        <v>22</v>
      </c>
      <c r="I3" s="1616" t="s">
        <v>22</v>
      </c>
    </row>
    <row r="4" spans="1:9" ht="11.25" customHeight="1">
      <c r="A4" s="1616" t="s">
        <v>90</v>
      </c>
      <c r="B4" s="1616" t="s">
        <v>4311</v>
      </c>
      <c r="C4" s="1616" t="s">
        <v>22</v>
      </c>
      <c r="D4" s="1616" t="s">
        <v>4312</v>
      </c>
      <c r="E4" s="1616" t="s">
        <v>4313</v>
      </c>
      <c r="F4" s="1616" t="s">
        <v>22</v>
      </c>
      <c r="G4" s="1616" t="s">
        <v>22</v>
      </c>
      <c r="H4" s="1616" t="s">
        <v>22</v>
      </c>
      <c r="I4" s="1616" t="s">
        <v>22</v>
      </c>
    </row>
    <row r="5" spans="1:9" ht="11.25" customHeight="1">
      <c r="A5" s="1616" t="s">
        <v>91</v>
      </c>
      <c r="B5" s="1616" t="s">
        <v>4314</v>
      </c>
      <c r="C5" s="1616" t="s">
        <v>22</v>
      </c>
      <c r="D5" s="1616" t="s">
        <v>4315</v>
      </c>
      <c r="E5" s="1616" t="s">
        <v>4316</v>
      </c>
      <c r="F5" s="1616" t="s">
        <v>22</v>
      </c>
      <c r="G5" s="1616" t="s">
        <v>22</v>
      </c>
      <c r="H5" s="1616" t="s">
        <v>22</v>
      </c>
      <c r="I5" s="1616" t="s">
        <v>22</v>
      </c>
    </row>
    <row r="6" spans="1:9" ht="11.25" customHeight="1">
      <c r="A6" s="1616" t="s">
        <v>111</v>
      </c>
      <c r="B6" s="1616" t="s">
        <v>4317</v>
      </c>
      <c r="C6" s="1616" t="s">
        <v>22</v>
      </c>
      <c r="D6" s="1616" t="s">
        <v>4315</v>
      </c>
      <c r="E6" s="1616" t="s">
        <v>4308</v>
      </c>
      <c r="F6" s="1616" t="s">
        <v>22</v>
      </c>
      <c r="G6" s="1616" t="s">
        <v>22</v>
      </c>
      <c r="H6" s="1616" t="s">
        <v>22</v>
      </c>
      <c r="I6" s="1616" t="s">
        <v>22</v>
      </c>
    </row>
    <row r="7" spans="1:9" ht="11.25" customHeight="1">
      <c r="A7" s="1616" t="s">
        <v>92</v>
      </c>
      <c r="B7" s="1616" t="s">
        <v>4318</v>
      </c>
      <c r="C7" s="1616" t="s">
        <v>22</v>
      </c>
      <c r="D7" s="1616" t="s">
        <v>4319</v>
      </c>
      <c r="E7" s="1616" t="s">
        <v>4320</v>
      </c>
      <c r="F7" s="1616" t="s">
        <v>22</v>
      </c>
      <c r="G7" s="1616" t="s">
        <v>22</v>
      </c>
      <c r="H7" s="1616" t="s">
        <v>22</v>
      </c>
      <c r="I7" s="1616" t="s">
        <v>22</v>
      </c>
    </row>
    <row r="8" spans="1:9" ht="11.25" customHeight="1">
      <c r="A8" s="1616" t="s">
        <v>93</v>
      </c>
      <c r="B8" s="1616" t="s">
        <v>4321</v>
      </c>
      <c r="C8" s="1616" t="s">
        <v>22</v>
      </c>
      <c r="D8" s="1616" t="s">
        <v>4319</v>
      </c>
      <c r="E8" s="1616" t="s">
        <v>4322</v>
      </c>
      <c r="F8" s="1616" t="s">
        <v>22</v>
      </c>
      <c r="G8" s="1616" t="s">
        <v>22</v>
      </c>
      <c r="H8" s="1616" t="s">
        <v>22</v>
      </c>
      <c r="I8" s="1616" t="s">
        <v>22</v>
      </c>
    </row>
    <row r="9" spans="1:9" ht="11.25" customHeight="1">
      <c r="A9" s="1616" t="s">
        <v>112</v>
      </c>
      <c r="B9" s="1616" t="s">
        <v>4323</v>
      </c>
      <c r="C9" s="1616" t="s">
        <v>22</v>
      </c>
      <c r="D9" s="1616" t="s">
        <v>4319</v>
      </c>
      <c r="E9" s="1616" t="s">
        <v>4322</v>
      </c>
      <c r="F9" s="1616" t="s">
        <v>22</v>
      </c>
      <c r="G9" s="1616" t="s">
        <v>22</v>
      </c>
      <c r="H9" s="1616" t="s">
        <v>22</v>
      </c>
      <c r="I9" s="1616" t="s">
        <v>22</v>
      </c>
    </row>
    <row r="10" spans="1:9" ht="11.25" customHeight="1">
      <c r="A10" s="1616" t="s">
        <v>149</v>
      </c>
      <c r="B10" s="1616" t="s">
        <v>4324</v>
      </c>
      <c r="C10" s="1616" t="s">
        <v>22</v>
      </c>
      <c r="D10" s="1616" t="s">
        <v>4319</v>
      </c>
      <c r="E10" s="1616" t="s">
        <v>4325</v>
      </c>
      <c r="F10" s="1616" t="s">
        <v>22</v>
      </c>
      <c r="G10" s="1616" t="s">
        <v>22</v>
      </c>
      <c r="H10" s="1616" t="s">
        <v>22</v>
      </c>
      <c r="I10" s="1616" t="s">
        <v>22</v>
      </c>
    </row>
    <row r="11" spans="1:9" ht="11.25" customHeight="1">
      <c r="A11" s="1616" t="s">
        <v>150</v>
      </c>
      <c r="B11" s="1616" t="s">
        <v>4326</v>
      </c>
      <c r="C11" s="1616" t="s">
        <v>22</v>
      </c>
      <c r="D11" s="1616" t="s">
        <v>4327</v>
      </c>
      <c r="E11" s="1616" t="s">
        <v>4328</v>
      </c>
      <c r="F11" s="1616" t="s">
        <v>22</v>
      </c>
      <c r="G11" s="1616" t="s">
        <v>22</v>
      </c>
      <c r="H11" s="1616" t="s">
        <v>22</v>
      </c>
      <c r="I11" s="1616" t="s">
        <v>22</v>
      </c>
    </row>
    <row r="12" spans="1:9" ht="11.25" customHeight="1">
      <c r="A12" s="1616" t="s">
        <v>151</v>
      </c>
      <c r="B12" s="1616" t="s">
        <v>4329</v>
      </c>
      <c r="C12" s="1616" t="s">
        <v>22</v>
      </c>
      <c r="D12" s="1616" t="s">
        <v>4327</v>
      </c>
      <c r="E12" s="1616" t="s">
        <v>4328</v>
      </c>
      <c r="F12" s="1616" t="s">
        <v>22</v>
      </c>
      <c r="G12" s="1616" t="s">
        <v>22</v>
      </c>
      <c r="H12" s="1616" t="s">
        <v>22</v>
      </c>
      <c r="I12" s="1616" t="s">
        <v>22</v>
      </c>
    </row>
    <row r="13" spans="1:9" ht="11.25" customHeight="1">
      <c r="A13" s="1616" t="s">
        <v>152</v>
      </c>
      <c r="B13" s="1616" t="s">
        <v>4330</v>
      </c>
      <c r="C13" s="1616" t="s">
        <v>22</v>
      </c>
      <c r="D13" s="1616" t="s">
        <v>4312</v>
      </c>
      <c r="E13" s="1616" t="s">
        <v>4313</v>
      </c>
      <c r="F13" s="1616" t="s">
        <v>22</v>
      </c>
      <c r="G13" s="1616" t="s">
        <v>22</v>
      </c>
      <c r="H13" s="1616" t="s">
        <v>22</v>
      </c>
      <c r="I13" s="1616" t="s">
        <v>22</v>
      </c>
    </row>
    <row r="14" spans="1:9" ht="11.25" customHeight="1">
      <c r="A14" s="1616" t="s">
        <v>153</v>
      </c>
      <c r="B14" s="1616" t="s">
        <v>4331</v>
      </c>
      <c r="C14" s="1616" t="s">
        <v>22</v>
      </c>
      <c r="D14" s="1616" t="s">
        <v>4332</v>
      </c>
      <c r="E14" s="1616" t="s">
        <v>4333</v>
      </c>
      <c r="F14" s="1616" t="s">
        <v>22</v>
      </c>
      <c r="G14" s="1616" t="s">
        <v>22</v>
      </c>
      <c r="H14" s="1616" t="s">
        <v>22</v>
      </c>
      <c r="I14" s="1616" t="s">
        <v>22</v>
      </c>
    </row>
    <row r="15" spans="1:9" ht="11.25" customHeight="1">
      <c r="A15" s="1616" t="s">
        <v>154</v>
      </c>
      <c r="B15" s="1616" t="s">
        <v>4334</v>
      </c>
      <c r="C15" s="1616" t="s">
        <v>22</v>
      </c>
      <c r="D15" s="1616" t="s">
        <v>4335</v>
      </c>
      <c r="E15" s="1616" t="s">
        <v>4336</v>
      </c>
      <c r="F15" s="1616" t="s">
        <v>22</v>
      </c>
      <c r="G15" s="1616" t="s">
        <v>22</v>
      </c>
      <c r="H15" s="1616" t="s">
        <v>22</v>
      </c>
      <c r="I15" s="1616" t="s">
        <v>22</v>
      </c>
    </row>
    <row r="16" spans="1:9" ht="11.25" customHeight="1">
      <c r="A16" s="1616" t="s">
        <v>1462</v>
      </c>
      <c r="B16" s="1616" t="s">
        <v>4337</v>
      </c>
      <c r="C16" s="1616" t="s">
        <v>22</v>
      </c>
      <c r="D16" s="1616" t="s">
        <v>4335</v>
      </c>
      <c r="E16" s="1616" t="s">
        <v>4328</v>
      </c>
      <c r="F16" s="1616" t="s">
        <v>22</v>
      </c>
      <c r="G16" s="1616" t="s">
        <v>22</v>
      </c>
      <c r="H16" s="1616" t="s">
        <v>22</v>
      </c>
      <c r="I16" s="1616" t="s">
        <v>22</v>
      </c>
    </row>
    <row r="17" spans="1:9" ht="11.25" customHeight="1">
      <c r="A17" s="1616" t="s">
        <v>1468</v>
      </c>
      <c r="B17" s="1616" t="s">
        <v>4338</v>
      </c>
      <c r="C17" s="1616" t="s">
        <v>22</v>
      </c>
      <c r="D17" s="1616" t="s">
        <v>4339</v>
      </c>
      <c r="E17" s="1616" t="s">
        <v>4340</v>
      </c>
      <c r="F17" s="1616" t="s">
        <v>22</v>
      </c>
      <c r="G17" s="1616" t="s">
        <v>22</v>
      </c>
      <c r="H17" s="1616" t="s">
        <v>22</v>
      </c>
      <c r="I17" s="1616" t="s">
        <v>22</v>
      </c>
    </row>
    <row r="18" spans="1:9" ht="11.25" customHeight="1">
      <c r="A18" s="1616" t="s">
        <v>1480</v>
      </c>
      <c r="B18" s="1616" t="s">
        <v>4341</v>
      </c>
      <c r="C18" s="1616" t="s">
        <v>22</v>
      </c>
      <c r="D18" s="1616" t="s">
        <v>4342</v>
      </c>
      <c r="E18" s="1616" t="s">
        <v>4333</v>
      </c>
      <c r="F18" s="1616" t="s">
        <v>22</v>
      </c>
      <c r="G18" s="1616" t="s">
        <v>22</v>
      </c>
      <c r="H18" s="1616" t="s">
        <v>22</v>
      </c>
      <c r="I18" s="1616" t="s">
        <v>22</v>
      </c>
    </row>
    <row r="19" spans="1:9" ht="11.25" customHeight="1">
      <c r="A19" s="1616" t="s">
        <v>1494</v>
      </c>
      <c r="B19" s="1616" t="s">
        <v>4343</v>
      </c>
      <c r="C19" s="1616" t="s">
        <v>22</v>
      </c>
      <c r="D19" s="1616" t="s">
        <v>4335</v>
      </c>
      <c r="E19" s="1616" t="s">
        <v>4320</v>
      </c>
      <c r="F19" s="1616" t="s">
        <v>22</v>
      </c>
      <c r="G19" s="1616" t="s">
        <v>22</v>
      </c>
      <c r="H19" s="1616" t="s">
        <v>22</v>
      </c>
      <c r="I19" s="1616" t="s">
        <v>22</v>
      </c>
    </row>
    <row r="20" spans="1:9" ht="11.25" customHeight="1">
      <c r="A20" s="1616" t="s">
        <v>1506</v>
      </c>
      <c r="B20" s="1616" t="s">
        <v>4344</v>
      </c>
      <c r="C20" s="1616" t="s">
        <v>22</v>
      </c>
      <c r="D20" s="1616" t="s">
        <v>4345</v>
      </c>
      <c r="E20" s="1616" t="s">
        <v>4346</v>
      </c>
      <c r="F20" s="1616" t="s">
        <v>22</v>
      </c>
      <c r="G20" s="1616" t="s">
        <v>22</v>
      </c>
      <c r="H20" s="1616" t="s">
        <v>22</v>
      </c>
      <c r="I20" s="1616" t="s">
        <v>22</v>
      </c>
    </row>
    <row r="21" spans="1:9" ht="11.25" customHeight="1">
      <c r="A21" s="1616" t="s">
        <v>1515</v>
      </c>
      <c r="B21" s="1616" t="s">
        <v>4347</v>
      </c>
      <c r="C21" s="1616" t="s">
        <v>22</v>
      </c>
      <c r="D21" s="1616" t="s">
        <v>4335</v>
      </c>
      <c r="E21" s="1616" t="s">
        <v>4313</v>
      </c>
      <c r="F21" s="1616" t="s">
        <v>22</v>
      </c>
      <c r="G21" s="1616" t="s">
        <v>22</v>
      </c>
      <c r="H21" s="1616" t="s">
        <v>22</v>
      </c>
      <c r="I21" s="1616" t="s">
        <v>22</v>
      </c>
    </row>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7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CC99"/>
  </sheetPr>
  <dimension ref="A1"/>
  <sheetViews>
    <sheetView workbookViewId="0"/>
  </sheetViews>
  <sheetFormatPr defaultRowHeight="11.25" customHeight="1"/>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8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CC99"/>
  </sheetPr>
  <dimension ref="A1:B2"/>
  <sheetViews>
    <sheetView showGridLines="0" workbookViewId="0"/>
  </sheetViews>
  <sheetFormatPr defaultColWidth="9.140625" defaultRowHeight="11.25" customHeight="1"/>
  <cols>
    <col min="1" max="2" width="9.140625" style="119"/>
  </cols>
  <sheetData>
    <row r="1" spans="1:2" ht="11.25" customHeight="1">
      <c r="A1" s="119" t="s">
        <v>131</v>
      </c>
      <c r="B1" s="119" t="s">
        <v>4348</v>
      </c>
    </row>
    <row r="2" spans="1:2" ht="11.25" customHeight="1">
      <c r="A2" s="119" t="s">
        <v>98</v>
      </c>
      <c r="B2" s="119" t="s">
        <v>4349</v>
      </c>
    </row>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8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CC99"/>
  </sheetPr>
  <dimension ref="A1:B11"/>
  <sheetViews>
    <sheetView showGridLines="0" workbookViewId="0"/>
  </sheetViews>
  <sheetFormatPr defaultColWidth="9.140625" defaultRowHeight="11.25" customHeight="1"/>
  <cols>
    <col min="1" max="1" width="9.140625" style="1616"/>
    <col min="2" max="2" width="65.28515625" style="1616" customWidth="1"/>
  </cols>
  <sheetData>
    <row r="1" spans="1:2" ht="11.25" customHeight="1">
      <c r="A1" s="764" t="s">
        <v>4350</v>
      </c>
      <c r="B1" s="764" t="s">
        <v>4351</v>
      </c>
    </row>
    <row r="2" spans="1:2" ht="11.25" customHeight="1">
      <c r="A2" s="764">
        <v>4213775</v>
      </c>
      <c r="B2" s="764" t="s">
        <v>1220</v>
      </c>
    </row>
    <row r="3" spans="1:2" ht="11.25" customHeight="1">
      <c r="A3" s="764">
        <v>4213784</v>
      </c>
      <c r="B3" s="764" t="s">
        <v>1253</v>
      </c>
    </row>
    <row r="4" spans="1:2" ht="11.25" customHeight="1">
      <c r="A4" s="764">
        <v>4213781</v>
      </c>
      <c r="B4" s="764" t="s">
        <v>1246</v>
      </c>
    </row>
    <row r="5" spans="1:2" ht="11.25" customHeight="1">
      <c r="A5" s="764">
        <v>4213776</v>
      </c>
      <c r="B5" s="764" t="s">
        <v>167</v>
      </c>
    </row>
    <row r="6" spans="1:2" ht="11.25" customHeight="1">
      <c r="A6" s="764">
        <v>4213777</v>
      </c>
      <c r="B6" s="764" t="s">
        <v>173</v>
      </c>
    </row>
    <row r="7" spans="1:2" ht="11.25" customHeight="1">
      <c r="A7" s="764">
        <v>4213778</v>
      </c>
      <c r="B7" s="764" t="s">
        <v>179</v>
      </c>
    </row>
    <row r="8" spans="1:2" ht="11.25" customHeight="1">
      <c r="A8" s="764">
        <v>4213780</v>
      </c>
      <c r="B8" s="764" t="s">
        <v>185</v>
      </c>
    </row>
    <row r="9" spans="1:2" ht="11.25" customHeight="1">
      <c r="A9" s="764">
        <v>4213779</v>
      </c>
      <c r="B9" s="764" t="s">
        <v>1387</v>
      </c>
    </row>
    <row r="10" spans="1:2" ht="11.25" customHeight="1">
      <c r="A10" s="764">
        <v>4213783</v>
      </c>
      <c r="B10" s="764" t="s">
        <v>1402</v>
      </c>
    </row>
    <row r="11" spans="1:2" ht="11.25" customHeight="1">
      <c r="A11" s="764">
        <v>4213782</v>
      </c>
      <c r="B11" s="764" t="s">
        <v>191</v>
      </c>
    </row>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8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CC99"/>
  </sheetPr>
  <dimension ref="A1:B11"/>
  <sheetViews>
    <sheetView showGridLines="0" workbookViewId="0"/>
  </sheetViews>
  <sheetFormatPr defaultColWidth="9.140625" defaultRowHeight="11.25" customHeight="1"/>
  <cols>
    <col min="1" max="1" width="9.140625" style="1616"/>
    <col min="2" max="2" width="65.28515625" style="1616" customWidth="1"/>
  </cols>
  <sheetData>
    <row r="1" spans="1:2" ht="11.25" customHeight="1">
      <c r="A1" s="764" t="s">
        <v>4350</v>
      </c>
      <c r="B1" s="764" t="s">
        <v>4352</v>
      </c>
    </row>
    <row r="2" spans="1:2" ht="11.25" customHeight="1">
      <c r="A2" s="764" t="s">
        <v>4353</v>
      </c>
      <c r="B2" s="764" t="s">
        <v>1500</v>
      </c>
    </row>
    <row r="3" spans="1:2" ht="11.25" customHeight="1">
      <c r="A3" s="764" t="s">
        <v>4354</v>
      </c>
      <c r="B3" s="764" t="s">
        <v>1510</v>
      </c>
    </row>
    <row r="4" spans="1:2" ht="11.25" customHeight="1">
      <c r="A4" s="764" t="s">
        <v>4355</v>
      </c>
      <c r="B4" s="764" t="s">
        <v>1519</v>
      </c>
    </row>
    <row r="5" spans="1:2" ht="11.25" customHeight="1">
      <c r="A5" s="764" t="s">
        <v>4356</v>
      </c>
      <c r="B5" s="764" t="s">
        <v>1528</v>
      </c>
    </row>
    <row r="6" spans="1:2" ht="11.25" customHeight="1">
      <c r="A6" s="764" t="s">
        <v>4357</v>
      </c>
      <c r="B6" s="764" t="s">
        <v>1534</v>
      </c>
    </row>
    <row r="7" spans="1:2" ht="11.25" customHeight="1">
      <c r="A7" s="764" t="s">
        <v>4358</v>
      </c>
      <c r="B7" s="764" t="s">
        <v>1542</v>
      </c>
    </row>
    <row r="8" spans="1:2" ht="11.25" customHeight="1">
      <c r="A8" s="764" t="s">
        <v>4359</v>
      </c>
      <c r="B8" s="764" t="s">
        <v>1549</v>
      </c>
    </row>
    <row r="9" spans="1:2" ht="11.25" customHeight="1">
      <c r="A9" s="764" t="s">
        <v>4360</v>
      </c>
      <c r="B9" s="764" t="s">
        <v>1555</v>
      </c>
    </row>
    <row r="10" spans="1:2" ht="11.25" customHeight="1">
      <c r="A10" s="764" t="s">
        <v>4361</v>
      </c>
      <c r="B10" s="764" t="s">
        <v>1559</v>
      </c>
    </row>
    <row r="11" spans="1:2" ht="11.25" customHeight="1">
      <c r="A11" s="764" t="s">
        <v>4362</v>
      </c>
      <c r="B11" s="764" t="s">
        <v>1566</v>
      </c>
    </row>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8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CC99"/>
  </sheetPr>
  <dimension ref="A1:G52"/>
  <sheetViews>
    <sheetView showGridLines="0" workbookViewId="0"/>
  </sheetViews>
  <sheetFormatPr defaultRowHeight="11.25" customHeight="1"/>
  <sheetData>
    <row r="1" spans="1:7" ht="11.25" customHeight="1">
      <c r="A1" s="308" t="s">
        <v>4188</v>
      </c>
      <c r="B1" s="308" t="s">
        <v>4189</v>
      </c>
      <c r="C1" s="308" t="s">
        <v>4190</v>
      </c>
      <c r="D1" s="308" t="s">
        <v>4191</v>
      </c>
      <c r="E1" t="s">
        <v>4192</v>
      </c>
      <c r="F1" t="s">
        <v>4193</v>
      </c>
      <c r="G1" t="s">
        <v>4194</v>
      </c>
    </row>
    <row r="2" spans="1:7" ht="11.25" customHeight="1">
      <c r="A2" t="s">
        <v>16</v>
      </c>
      <c r="B2" t="s">
        <v>4195</v>
      </c>
      <c r="C2" t="s">
        <v>4196</v>
      </c>
      <c r="D2" t="s">
        <v>4195</v>
      </c>
      <c r="E2" t="s">
        <v>4196</v>
      </c>
      <c r="F2" t="s">
        <v>4197</v>
      </c>
      <c r="G2" t="s">
        <v>109</v>
      </c>
    </row>
    <row r="3" spans="1:7" ht="11.25" customHeight="1">
      <c r="A3" t="s">
        <v>16</v>
      </c>
      <c r="B3" t="s">
        <v>4198</v>
      </c>
      <c r="C3" t="s">
        <v>4199</v>
      </c>
      <c r="D3" t="s">
        <v>4198</v>
      </c>
      <c r="E3" t="s">
        <v>4199</v>
      </c>
      <c r="F3" t="s">
        <v>4197</v>
      </c>
      <c r="G3" t="s">
        <v>110</v>
      </c>
    </row>
    <row r="4" spans="1:7" ht="11.25" customHeight="1">
      <c r="A4" t="s">
        <v>16</v>
      </c>
      <c r="B4" t="s">
        <v>4200</v>
      </c>
      <c r="C4" t="s">
        <v>4201</v>
      </c>
      <c r="D4" t="s">
        <v>4200</v>
      </c>
      <c r="E4" t="s">
        <v>4201</v>
      </c>
      <c r="F4" t="s">
        <v>4197</v>
      </c>
      <c r="G4" t="s">
        <v>90</v>
      </c>
    </row>
    <row r="5" spans="1:7" ht="11.25" customHeight="1">
      <c r="A5" t="s">
        <v>16</v>
      </c>
      <c r="B5" t="s">
        <v>4202</v>
      </c>
      <c r="C5" t="s">
        <v>4203</v>
      </c>
      <c r="D5" t="s">
        <v>4202</v>
      </c>
      <c r="E5" t="s">
        <v>4203</v>
      </c>
      <c r="F5" t="s">
        <v>4197</v>
      </c>
      <c r="G5" t="s">
        <v>91</v>
      </c>
    </row>
    <row r="6" spans="1:7" ht="11.25" customHeight="1">
      <c r="A6" t="s">
        <v>16</v>
      </c>
      <c r="B6" t="s">
        <v>4204</v>
      </c>
      <c r="C6" t="s">
        <v>4205</v>
      </c>
      <c r="D6" t="s">
        <v>4204</v>
      </c>
      <c r="E6" t="s">
        <v>4205</v>
      </c>
      <c r="F6" t="s">
        <v>4197</v>
      </c>
      <c r="G6" t="s">
        <v>111</v>
      </c>
    </row>
    <row r="7" spans="1:7" ht="11.25" customHeight="1">
      <c r="A7" t="s">
        <v>16</v>
      </c>
      <c r="B7" t="s">
        <v>4206</v>
      </c>
      <c r="C7" t="s">
        <v>4207</v>
      </c>
      <c r="D7" t="s">
        <v>4206</v>
      </c>
      <c r="E7" t="s">
        <v>4207</v>
      </c>
      <c r="F7" t="s">
        <v>4197</v>
      </c>
      <c r="G7" t="s">
        <v>92</v>
      </c>
    </row>
    <row r="8" spans="1:7" ht="11.25" customHeight="1">
      <c r="A8" t="s">
        <v>16</v>
      </c>
      <c r="B8" t="s">
        <v>4208</v>
      </c>
      <c r="C8" t="s">
        <v>4209</v>
      </c>
      <c r="D8" t="s">
        <v>4208</v>
      </c>
      <c r="E8" t="s">
        <v>4209</v>
      </c>
      <c r="F8" t="s">
        <v>4197</v>
      </c>
      <c r="G8" t="s">
        <v>93</v>
      </c>
    </row>
    <row r="9" spans="1:7" ht="11.25" customHeight="1">
      <c r="A9" t="s">
        <v>16</v>
      </c>
      <c r="B9" t="s">
        <v>4210</v>
      </c>
      <c r="C9" t="s">
        <v>4211</v>
      </c>
      <c r="D9" t="s">
        <v>4210</v>
      </c>
      <c r="E9" t="s">
        <v>4211</v>
      </c>
      <c r="F9" t="s">
        <v>4197</v>
      </c>
      <c r="G9" t="s">
        <v>112</v>
      </c>
    </row>
    <row r="10" spans="1:7" ht="11.25" customHeight="1">
      <c r="A10" t="s">
        <v>16</v>
      </c>
      <c r="B10" t="s">
        <v>4212</v>
      </c>
      <c r="C10" t="s">
        <v>4213</v>
      </c>
      <c r="D10" t="s">
        <v>4212</v>
      </c>
      <c r="E10" t="s">
        <v>4213</v>
      </c>
      <c r="F10" t="s">
        <v>4197</v>
      </c>
      <c r="G10" t="s">
        <v>149</v>
      </c>
    </row>
    <row r="11" spans="1:7" ht="11.25" customHeight="1">
      <c r="A11" t="s">
        <v>16</v>
      </c>
      <c r="B11" t="s">
        <v>4214</v>
      </c>
      <c r="C11" t="s">
        <v>4215</v>
      </c>
      <c r="D11" t="s">
        <v>4214</v>
      </c>
      <c r="E11" t="s">
        <v>4215</v>
      </c>
      <c r="F11" t="s">
        <v>4197</v>
      </c>
      <c r="G11" t="s">
        <v>150</v>
      </c>
    </row>
    <row r="12" spans="1:7" ht="11.25" customHeight="1">
      <c r="A12" t="s">
        <v>16</v>
      </c>
      <c r="B12" t="s">
        <v>4216</v>
      </c>
      <c r="C12" t="s">
        <v>4217</v>
      </c>
      <c r="D12" t="s">
        <v>4216</v>
      </c>
      <c r="E12" t="s">
        <v>4217</v>
      </c>
      <c r="F12" t="s">
        <v>4197</v>
      </c>
      <c r="G12" t="s">
        <v>151</v>
      </c>
    </row>
    <row r="13" spans="1:7" ht="11.25" customHeight="1">
      <c r="A13" t="s">
        <v>16</v>
      </c>
      <c r="B13" t="s">
        <v>4218</v>
      </c>
      <c r="C13" t="s">
        <v>4219</v>
      </c>
      <c r="D13" t="s">
        <v>4218</v>
      </c>
      <c r="E13" t="s">
        <v>4219</v>
      </c>
      <c r="F13" t="s">
        <v>4197</v>
      </c>
      <c r="G13" t="s">
        <v>152</v>
      </c>
    </row>
    <row r="14" spans="1:7" ht="11.25" customHeight="1">
      <c r="A14" t="s">
        <v>16</v>
      </c>
      <c r="B14" t="s">
        <v>4220</v>
      </c>
      <c r="C14" t="s">
        <v>4221</v>
      </c>
      <c r="D14" t="s">
        <v>4220</v>
      </c>
      <c r="E14" t="s">
        <v>4221</v>
      </c>
      <c r="F14" t="s">
        <v>4222</v>
      </c>
      <c r="G14" t="s">
        <v>153</v>
      </c>
    </row>
    <row r="15" spans="1:7" ht="11.25" customHeight="1">
      <c r="A15" t="s">
        <v>16</v>
      </c>
      <c r="B15" t="s">
        <v>4223</v>
      </c>
      <c r="C15" t="s">
        <v>4224</v>
      </c>
      <c r="D15" t="s">
        <v>4223</v>
      </c>
      <c r="E15" t="s">
        <v>4224</v>
      </c>
      <c r="F15" t="s">
        <v>4197</v>
      </c>
      <c r="G15" t="s">
        <v>154</v>
      </c>
    </row>
    <row r="16" spans="1:7" ht="11.25" customHeight="1">
      <c r="A16" t="s">
        <v>16</v>
      </c>
      <c r="B16" t="s">
        <v>4225</v>
      </c>
      <c r="C16" t="s">
        <v>4226</v>
      </c>
      <c r="D16" t="s">
        <v>4225</v>
      </c>
      <c r="E16" t="s">
        <v>4226</v>
      </c>
      <c r="F16" t="s">
        <v>4197</v>
      </c>
      <c r="G16" t="s">
        <v>1462</v>
      </c>
    </row>
    <row r="17" spans="1:7" ht="11.25" customHeight="1">
      <c r="A17" t="s">
        <v>16</v>
      </c>
      <c r="B17" t="s">
        <v>4227</v>
      </c>
      <c r="C17" t="s">
        <v>4228</v>
      </c>
      <c r="D17" t="s">
        <v>4227</v>
      </c>
      <c r="E17" t="s">
        <v>4228</v>
      </c>
      <c r="F17" t="s">
        <v>4197</v>
      </c>
      <c r="G17" t="s">
        <v>1468</v>
      </c>
    </row>
    <row r="18" spans="1:7" ht="11.25" customHeight="1">
      <c r="A18" t="s">
        <v>16</v>
      </c>
      <c r="B18" t="s">
        <v>4229</v>
      </c>
      <c r="C18" t="s">
        <v>4230</v>
      </c>
      <c r="D18" t="s">
        <v>4229</v>
      </c>
      <c r="E18" t="s">
        <v>4230</v>
      </c>
      <c r="F18" t="s">
        <v>4197</v>
      </c>
      <c r="G18" t="s">
        <v>1480</v>
      </c>
    </row>
    <row r="19" spans="1:7" ht="11.25" customHeight="1">
      <c r="A19" t="s">
        <v>16</v>
      </c>
      <c r="B19" t="s">
        <v>4231</v>
      </c>
      <c r="C19" t="s">
        <v>4232</v>
      </c>
      <c r="D19" t="s">
        <v>4231</v>
      </c>
      <c r="E19" t="s">
        <v>4232</v>
      </c>
      <c r="F19" t="s">
        <v>4197</v>
      </c>
      <c r="G19" t="s">
        <v>1494</v>
      </c>
    </row>
    <row r="20" spans="1:7" ht="11.25" customHeight="1">
      <c r="A20" t="s">
        <v>16</v>
      </c>
      <c r="B20" t="s">
        <v>4233</v>
      </c>
      <c r="C20" t="s">
        <v>4234</v>
      </c>
      <c r="D20" t="s">
        <v>4233</v>
      </c>
      <c r="E20" t="s">
        <v>4234</v>
      </c>
      <c r="F20" t="s">
        <v>4222</v>
      </c>
      <c r="G20" t="s">
        <v>1506</v>
      </c>
    </row>
    <row r="21" spans="1:7" ht="11.25" customHeight="1">
      <c r="A21" t="s">
        <v>16</v>
      </c>
      <c r="B21" t="s">
        <v>4235</v>
      </c>
      <c r="C21" t="s">
        <v>4236</v>
      </c>
      <c r="D21" t="s">
        <v>4235</v>
      </c>
      <c r="E21" t="s">
        <v>4236</v>
      </c>
      <c r="F21" t="s">
        <v>4197</v>
      </c>
      <c r="G21" t="s">
        <v>1515</v>
      </c>
    </row>
    <row r="22" spans="1:7" ht="11.25" customHeight="1">
      <c r="A22" t="s">
        <v>16</v>
      </c>
      <c r="B22" t="s">
        <v>4237</v>
      </c>
      <c r="C22" t="s">
        <v>4238</v>
      </c>
      <c r="D22" t="s">
        <v>4237</v>
      </c>
      <c r="E22" t="s">
        <v>4238</v>
      </c>
      <c r="F22" t="s">
        <v>4197</v>
      </c>
      <c r="G22" t="s">
        <v>1531</v>
      </c>
    </row>
    <row r="23" spans="1:7" ht="11.25" customHeight="1">
      <c r="A23" t="s">
        <v>16</v>
      </c>
      <c r="B23" t="s">
        <v>4239</v>
      </c>
      <c r="C23" t="s">
        <v>4240</v>
      </c>
      <c r="D23" t="s">
        <v>4239</v>
      </c>
      <c r="E23" t="s">
        <v>4240</v>
      </c>
      <c r="F23" t="s">
        <v>4197</v>
      </c>
      <c r="G23" t="s">
        <v>1538</v>
      </c>
    </row>
    <row r="24" spans="1:7" ht="11.25" customHeight="1">
      <c r="A24" t="s">
        <v>16</v>
      </c>
      <c r="B24" t="s">
        <v>4241</v>
      </c>
      <c r="C24" t="s">
        <v>4242</v>
      </c>
      <c r="D24" t="s">
        <v>4241</v>
      </c>
      <c r="E24" t="s">
        <v>4242</v>
      </c>
      <c r="F24" t="s">
        <v>4197</v>
      </c>
      <c r="G24" t="s">
        <v>1546</v>
      </c>
    </row>
    <row r="25" spans="1:7" ht="11.25" customHeight="1">
      <c r="A25" t="s">
        <v>16</v>
      </c>
      <c r="B25" t="s">
        <v>4243</v>
      </c>
      <c r="C25" t="s">
        <v>4244</v>
      </c>
      <c r="D25" t="s">
        <v>4243</v>
      </c>
      <c r="E25" t="s">
        <v>4244</v>
      </c>
      <c r="F25" t="s">
        <v>4197</v>
      </c>
      <c r="G25" t="s">
        <v>1553</v>
      </c>
    </row>
    <row r="26" spans="1:7" ht="11.25" customHeight="1">
      <c r="A26" t="s">
        <v>16</v>
      </c>
      <c r="B26" t="s">
        <v>4245</v>
      </c>
      <c r="C26" t="s">
        <v>4246</v>
      </c>
      <c r="D26" t="s">
        <v>4245</v>
      </c>
      <c r="E26" t="s">
        <v>4246</v>
      </c>
      <c r="F26" t="s">
        <v>4197</v>
      </c>
      <c r="G26" t="s">
        <v>1557</v>
      </c>
    </row>
    <row r="27" spans="1:7" ht="11.25" customHeight="1">
      <c r="A27" t="s">
        <v>16</v>
      </c>
      <c r="B27" t="s">
        <v>4247</v>
      </c>
      <c r="C27" t="s">
        <v>4248</v>
      </c>
      <c r="D27" t="s">
        <v>4247</v>
      </c>
      <c r="E27" t="s">
        <v>4248</v>
      </c>
      <c r="F27" t="s">
        <v>4197</v>
      </c>
      <c r="G27" t="s">
        <v>1562</v>
      </c>
    </row>
    <row r="28" spans="1:7" ht="11.25" customHeight="1">
      <c r="A28" t="s">
        <v>16</v>
      </c>
      <c r="B28" t="s">
        <v>4249</v>
      </c>
      <c r="C28" t="s">
        <v>4250</v>
      </c>
      <c r="D28" t="s">
        <v>4249</v>
      </c>
      <c r="E28" t="s">
        <v>4250</v>
      </c>
      <c r="F28" t="s">
        <v>4222</v>
      </c>
      <c r="G28" t="s">
        <v>1570</v>
      </c>
    </row>
    <row r="29" spans="1:7" ht="11.25" customHeight="1">
      <c r="A29" t="s">
        <v>16</v>
      </c>
      <c r="B29" t="s">
        <v>4251</v>
      </c>
      <c r="C29" t="s">
        <v>4252</v>
      </c>
      <c r="D29" t="s">
        <v>4251</v>
      </c>
      <c r="E29" t="s">
        <v>4252</v>
      </c>
      <c r="F29" t="s">
        <v>4197</v>
      </c>
      <c r="G29" t="s">
        <v>1572</v>
      </c>
    </row>
    <row r="30" spans="1:7" ht="11.25" customHeight="1">
      <c r="A30" t="s">
        <v>16</v>
      </c>
      <c r="B30" t="s">
        <v>4253</v>
      </c>
      <c r="C30" t="s">
        <v>4254</v>
      </c>
      <c r="D30" t="s">
        <v>4253</v>
      </c>
      <c r="E30" t="s">
        <v>4254</v>
      </c>
      <c r="F30" t="s">
        <v>4222</v>
      </c>
      <c r="G30" t="s">
        <v>1575</v>
      </c>
    </row>
    <row r="31" spans="1:7" ht="11.25" customHeight="1">
      <c r="A31" t="s">
        <v>16</v>
      </c>
      <c r="B31" t="s">
        <v>4255</v>
      </c>
      <c r="C31" t="s">
        <v>4256</v>
      </c>
      <c r="D31" t="s">
        <v>4255</v>
      </c>
      <c r="E31" t="s">
        <v>4256</v>
      </c>
      <c r="F31" t="s">
        <v>4197</v>
      </c>
      <c r="G31" t="s">
        <v>1581</v>
      </c>
    </row>
    <row r="32" spans="1:7" ht="11.25" customHeight="1">
      <c r="A32" t="s">
        <v>16</v>
      </c>
      <c r="B32" t="s">
        <v>4257</v>
      </c>
      <c r="C32" t="s">
        <v>4258</v>
      </c>
      <c r="D32" t="s">
        <v>4257</v>
      </c>
      <c r="E32" t="s">
        <v>4258</v>
      </c>
      <c r="F32" t="s">
        <v>4197</v>
      </c>
      <c r="G32" t="s">
        <v>1583</v>
      </c>
    </row>
    <row r="33" spans="1:7" ht="11.25" customHeight="1">
      <c r="A33" t="s">
        <v>16</v>
      </c>
      <c r="B33" t="s">
        <v>4259</v>
      </c>
      <c r="C33" t="s">
        <v>4260</v>
      </c>
      <c r="D33" t="s">
        <v>4259</v>
      </c>
      <c r="E33" t="s">
        <v>4260</v>
      </c>
      <c r="F33" t="s">
        <v>4222</v>
      </c>
      <c r="G33" t="s">
        <v>1585</v>
      </c>
    </row>
    <row r="34" spans="1:7" ht="11.25" customHeight="1">
      <c r="A34" t="s">
        <v>16</v>
      </c>
      <c r="B34" t="s">
        <v>4261</v>
      </c>
      <c r="C34" t="s">
        <v>4262</v>
      </c>
      <c r="D34" t="s">
        <v>4261</v>
      </c>
      <c r="E34" t="s">
        <v>4262</v>
      </c>
      <c r="F34" t="s">
        <v>4197</v>
      </c>
      <c r="G34" t="s">
        <v>1587</v>
      </c>
    </row>
    <row r="35" spans="1:7" ht="11.25" customHeight="1">
      <c r="A35" t="s">
        <v>16</v>
      </c>
      <c r="B35" t="s">
        <v>4263</v>
      </c>
      <c r="C35" t="s">
        <v>4264</v>
      </c>
      <c r="D35" t="s">
        <v>4263</v>
      </c>
      <c r="E35" t="s">
        <v>4264</v>
      </c>
      <c r="F35" t="s">
        <v>4197</v>
      </c>
      <c r="G35" t="s">
        <v>1592</v>
      </c>
    </row>
    <row r="36" spans="1:7" ht="11.25" customHeight="1">
      <c r="A36" t="s">
        <v>16</v>
      </c>
      <c r="B36" t="s">
        <v>4265</v>
      </c>
      <c r="C36" t="s">
        <v>4266</v>
      </c>
      <c r="D36" t="s">
        <v>4265</v>
      </c>
      <c r="E36" t="s">
        <v>4266</v>
      </c>
      <c r="F36" t="s">
        <v>4222</v>
      </c>
      <c r="G36" t="s">
        <v>1597</v>
      </c>
    </row>
    <row r="37" spans="1:7" ht="11.25" customHeight="1">
      <c r="A37" t="s">
        <v>16</v>
      </c>
      <c r="B37" t="s">
        <v>4267</v>
      </c>
      <c r="C37" t="s">
        <v>4268</v>
      </c>
      <c r="D37" t="s">
        <v>4267</v>
      </c>
      <c r="E37" t="s">
        <v>4268</v>
      </c>
      <c r="F37" t="s">
        <v>4197</v>
      </c>
      <c r="G37" t="s">
        <v>1601</v>
      </c>
    </row>
    <row r="38" spans="1:7" ht="11.25" customHeight="1">
      <c r="A38" t="s">
        <v>16</v>
      </c>
      <c r="B38" t="s">
        <v>4269</v>
      </c>
      <c r="C38" t="s">
        <v>4270</v>
      </c>
      <c r="D38" t="s">
        <v>4269</v>
      </c>
      <c r="E38" t="s">
        <v>4270</v>
      </c>
      <c r="F38" t="s">
        <v>4197</v>
      </c>
      <c r="G38" t="s">
        <v>1609</v>
      </c>
    </row>
    <row r="39" spans="1:7" ht="11.25" customHeight="1">
      <c r="A39" t="s">
        <v>16</v>
      </c>
      <c r="B39" t="s">
        <v>4271</v>
      </c>
      <c r="C39" t="s">
        <v>4272</v>
      </c>
      <c r="D39" t="s">
        <v>4271</v>
      </c>
      <c r="E39" t="s">
        <v>4272</v>
      </c>
      <c r="F39" t="s">
        <v>4197</v>
      </c>
      <c r="G39" t="s">
        <v>1615</v>
      </c>
    </row>
    <row r="40" spans="1:7" ht="11.25" customHeight="1">
      <c r="A40" t="s">
        <v>16</v>
      </c>
      <c r="B40" t="s">
        <v>4273</v>
      </c>
      <c r="C40" t="s">
        <v>4274</v>
      </c>
      <c r="D40" t="s">
        <v>4273</v>
      </c>
      <c r="E40" t="s">
        <v>4274</v>
      </c>
      <c r="F40" t="s">
        <v>4197</v>
      </c>
      <c r="G40" t="s">
        <v>1619</v>
      </c>
    </row>
    <row r="41" spans="1:7" ht="11.25" customHeight="1">
      <c r="A41" t="s">
        <v>16</v>
      </c>
      <c r="B41" t="s">
        <v>4275</v>
      </c>
      <c r="C41" t="s">
        <v>4276</v>
      </c>
      <c r="D41" t="s">
        <v>4275</v>
      </c>
      <c r="E41" t="s">
        <v>4276</v>
      </c>
      <c r="F41" t="s">
        <v>4197</v>
      </c>
      <c r="G41" t="s">
        <v>1623</v>
      </c>
    </row>
    <row r="42" spans="1:7" ht="11.25" customHeight="1">
      <c r="A42" t="s">
        <v>16</v>
      </c>
      <c r="B42" t="s">
        <v>4277</v>
      </c>
      <c r="C42" t="s">
        <v>4278</v>
      </c>
      <c r="D42" t="s">
        <v>4277</v>
      </c>
      <c r="E42" t="s">
        <v>4278</v>
      </c>
      <c r="F42" t="s">
        <v>4197</v>
      </c>
      <c r="G42" t="s">
        <v>1626</v>
      </c>
    </row>
    <row r="43" spans="1:7" ht="11.25" customHeight="1">
      <c r="A43" t="s">
        <v>16</v>
      </c>
      <c r="B43" t="s">
        <v>4279</v>
      </c>
      <c r="C43" t="s">
        <v>4280</v>
      </c>
      <c r="D43" t="s">
        <v>4279</v>
      </c>
      <c r="E43" t="s">
        <v>4280</v>
      </c>
      <c r="F43" t="s">
        <v>4197</v>
      </c>
      <c r="G43" t="s">
        <v>1633</v>
      </c>
    </row>
    <row r="44" spans="1:7" ht="11.25" customHeight="1">
      <c r="A44" t="s">
        <v>16</v>
      </c>
      <c r="B44" t="s">
        <v>4281</v>
      </c>
      <c r="C44" t="s">
        <v>4282</v>
      </c>
      <c r="D44" t="s">
        <v>4281</v>
      </c>
      <c r="E44" t="s">
        <v>4282</v>
      </c>
      <c r="F44" t="s">
        <v>4222</v>
      </c>
      <c r="G44" t="s">
        <v>1642</v>
      </c>
    </row>
    <row r="45" spans="1:7" ht="11.25" customHeight="1">
      <c r="A45" t="s">
        <v>16</v>
      </c>
      <c r="B45" t="s">
        <v>4283</v>
      </c>
      <c r="C45" t="s">
        <v>4284</v>
      </c>
      <c r="D45" t="s">
        <v>4283</v>
      </c>
      <c r="E45" t="s">
        <v>4284</v>
      </c>
      <c r="F45" t="s">
        <v>4222</v>
      </c>
      <c r="G45" t="s">
        <v>1647</v>
      </c>
    </row>
    <row r="46" spans="1:7" ht="11.25" customHeight="1">
      <c r="A46" t="s">
        <v>16</v>
      </c>
      <c r="B46" t="s">
        <v>4285</v>
      </c>
      <c r="C46" t="s">
        <v>4286</v>
      </c>
      <c r="D46" t="s">
        <v>4285</v>
      </c>
      <c r="E46" t="s">
        <v>4286</v>
      </c>
      <c r="F46" t="s">
        <v>4222</v>
      </c>
      <c r="G46" t="s">
        <v>1650</v>
      </c>
    </row>
    <row r="47" spans="1:7" ht="11.25" customHeight="1">
      <c r="A47" t="s">
        <v>16</v>
      </c>
      <c r="B47" t="s">
        <v>4287</v>
      </c>
      <c r="C47" t="s">
        <v>4288</v>
      </c>
      <c r="D47" t="s">
        <v>4287</v>
      </c>
      <c r="E47" t="s">
        <v>4288</v>
      </c>
      <c r="F47" t="s">
        <v>4222</v>
      </c>
      <c r="G47" t="s">
        <v>1656</v>
      </c>
    </row>
    <row r="48" spans="1:7" ht="11.25" customHeight="1">
      <c r="A48" t="s">
        <v>16</v>
      </c>
      <c r="B48" t="s">
        <v>4289</v>
      </c>
      <c r="C48" t="s">
        <v>4290</v>
      </c>
      <c r="D48" t="s">
        <v>4289</v>
      </c>
      <c r="E48" t="s">
        <v>4290</v>
      </c>
      <c r="F48" t="s">
        <v>4222</v>
      </c>
      <c r="G48" t="s">
        <v>1661</v>
      </c>
    </row>
    <row r="49" spans="1:7" ht="11.25" customHeight="1">
      <c r="A49" t="s">
        <v>16</v>
      </c>
      <c r="B49" t="s">
        <v>100</v>
      </c>
      <c r="C49" t="s">
        <v>101</v>
      </c>
      <c r="D49" t="s">
        <v>100</v>
      </c>
      <c r="E49" t="s">
        <v>101</v>
      </c>
      <c r="F49" t="s">
        <v>4222</v>
      </c>
      <c r="G49" t="s">
        <v>99</v>
      </c>
    </row>
    <row r="50" spans="1:7" ht="11.25" customHeight="1">
      <c r="A50" t="s">
        <v>16</v>
      </c>
      <c r="B50" t="s">
        <v>4291</v>
      </c>
      <c r="C50" t="s">
        <v>4292</v>
      </c>
      <c r="D50" t="s">
        <v>4291</v>
      </c>
      <c r="E50" t="s">
        <v>4292</v>
      </c>
      <c r="F50" t="s">
        <v>4222</v>
      </c>
      <c r="G50" t="s">
        <v>1667</v>
      </c>
    </row>
    <row r="51" spans="1:7" ht="11.25" customHeight="1">
      <c r="A51" t="s">
        <v>16</v>
      </c>
      <c r="B51" t="s">
        <v>4293</v>
      </c>
      <c r="C51" t="s">
        <v>4294</v>
      </c>
      <c r="D51" t="s">
        <v>4293</v>
      </c>
      <c r="E51" t="s">
        <v>4294</v>
      </c>
      <c r="F51" t="s">
        <v>4222</v>
      </c>
      <c r="G51" t="s">
        <v>1672</v>
      </c>
    </row>
    <row r="52" spans="1:7" ht="11.25" customHeight="1">
      <c r="A52" t="s">
        <v>16</v>
      </c>
      <c r="B52" t="s">
        <v>4295</v>
      </c>
      <c r="C52" t="s">
        <v>4296</v>
      </c>
      <c r="D52" t="s">
        <v>4295</v>
      </c>
      <c r="E52" t="s">
        <v>4296</v>
      </c>
      <c r="F52" t="s">
        <v>4222</v>
      </c>
      <c r="G52" t="s">
        <v>1676</v>
      </c>
    </row>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8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CC99"/>
  </sheetPr>
  <dimension ref="A1:C3"/>
  <sheetViews>
    <sheetView showGridLines="0" workbookViewId="0"/>
  </sheetViews>
  <sheetFormatPr defaultColWidth="9.140625" defaultRowHeight="11.25" customHeight="1"/>
  <cols>
    <col min="1" max="1" width="9.140625" style="1616"/>
    <col min="2" max="2" width="84.28515625" style="1616" customWidth="1"/>
    <col min="3" max="3" width="9.140625" style="1616"/>
  </cols>
  <sheetData>
    <row r="1" spans="1:3" ht="11.25" customHeight="1">
      <c r="A1" s="764" t="s">
        <v>4363</v>
      </c>
      <c r="B1" s="764" t="s">
        <v>4364</v>
      </c>
      <c r="C1" s="764" t="s">
        <v>1165</v>
      </c>
    </row>
    <row r="2" spans="1:3" ht="11.25" customHeight="1">
      <c r="A2" s="764">
        <v>4189678</v>
      </c>
      <c r="B2" s="764" t="s">
        <v>4365</v>
      </c>
      <c r="C2" s="764" t="s">
        <v>4366</v>
      </c>
    </row>
    <row r="3" spans="1:3" ht="11.25" customHeight="1">
      <c r="A3" s="764">
        <v>4190415</v>
      </c>
      <c r="B3" s="764" t="s">
        <v>4367</v>
      </c>
      <c r="C3" s="764" t="s">
        <v>4366</v>
      </c>
    </row>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8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CC99"/>
  </sheetPr>
  <dimension ref="A1:E8"/>
  <sheetViews>
    <sheetView showGridLines="0" workbookViewId="0"/>
  </sheetViews>
  <sheetFormatPr defaultColWidth="9.140625" defaultRowHeight="15" customHeight="1"/>
  <cols>
    <col min="1" max="1" width="38.42578125" style="98" customWidth="1"/>
    <col min="2" max="5" width="9.140625" style="98"/>
  </cols>
  <sheetData>
    <row r="1" spans="1:5" ht="15" customHeight="1">
      <c r="A1" s="99" t="s">
        <v>4368</v>
      </c>
      <c r="B1" s="99" t="s">
        <v>4369</v>
      </c>
      <c r="C1" s="99"/>
      <c r="D1" s="99"/>
      <c r="E1" s="99"/>
    </row>
    <row r="2" spans="1:5" ht="15" customHeight="1">
      <c r="A2" s="99"/>
      <c r="B2" s="99"/>
      <c r="C2" s="99"/>
      <c r="D2" s="99"/>
      <c r="E2" s="99"/>
    </row>
    <row r="3" spans="1:5" ht="15" customHeight="1">
      <c r="A3" s="99"/>
      <c r="B3" s="99"/>
      <c r="C3" s="99"/>
      <c r="D3" s="99"/>
      <c r="E3" s="99"/>
    </row>
    <row r="4" spans="1:5" ht="15" customHeight="1">
      <c r="A4" s="99"/>
      <c r="B4" s="99"/>
      <c r="C4" s="99"/>
      <c r="D4" s="99"/>
      <c r="E4" s="99"/>
    </row>
    <row r="5" spans="1:5" ht="15" customHeight="1">
      <c r="A5" s="99"/>
      <c r="B5" s="99"/>
      <c r="C5" s="99"/>
      <c r="D5" s="99"/>
      <c r="E5" s="99"/>
    </row>
    <row r="6" spans="1:5" ht="15" customHeight="1">
      <c r="A6" s="99"/>
      <c r="B6" s="99"/>
      <c r="C6" s="99"/>
      <c r="D6" s="99"/>
      <c r="E6" s="99"/>
    </row>
    <row r="7" spans="1:5" ht="15" customHeight="1">
      <c r="A7" s="99"/>
      <c r="B7" s="99"/>
      <c r="C7" s="99"/>
      <c r="D7" s="99"/>
      <c r="E7" s="99"/>
    </row>
    <row r="8" spans="1:5" ht="15" customHeight="1">
      <c r="A8" s="99"/>
      <c r="B8" s="99"/>
      <c r="C8" s="99"/>
      <c r="D8" s="99"/>
      <c r="E8" s="99"/>
    </row>
  </sheetData>
  <sheetProtection formatColumns="0" formatRows="0"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8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CC99"/>
  </sheetPr>
  <dimension ref="A1:B15"/>
  <sheetViews>
    <sheetView workbookViewId="0"/>
  </sheetViews>
  <sheetFormatPr defaultRowHeight="11.25" customHeight="1"/>
  <sheetData>
    <row r="1" spans="1:2" ht="11.25" customHeight="1">
      <c r="A1" t="s">
        <v>4370</v>
      </c>
      <c r="B1" t="b">
        <v>1</v>
      </c>
    </row>
    <row r="2" spans="1:2" ht="11.25" customHeight="1">
      <c r="A2" t="s">
        <v>4371</v>
      </c>
      <c r="B2" t="b">
        <v>0</v>
      </c>
    </row>
    <row r="3" spans="1:2" ht="11.25" customHeight="1">
      <c r="A3" t="s">
        <v>4372</v>
      </c>
      <c r="B3" t="b">
        <v>1</v>
      </c>
    </row>
    <row r="4" spans="1:2" ht="11.25" customHeight="1">
      <c r="A4" t="s">
        <v>4373</v>
      </c>
      <c r="B4" t="b">
        <v>0</v>
      </c>
    </row>
    <row r="5" spans="1:2" ht="11.25" customHeight="1">
      <c r="A5" t="s">
        <v>4374</v>
      </c>
      <c r="B5" t="b">
        <v>0</v>
      </c>
    </row>
    <row r="6" spans="1:2" ht="11.25" customHeight="1">
      <c r="A6" t="s">
        <v>4375</v>
      </c>
      <c r="B6" t="b">
        <v>0</v>
      </c>
    </row>
    <row r="7" spans="1:2" ht="11.25" customHeight="1">
      <c r="A7" t="s">
        <v>4376</v>
      </c>
      <c r="B7" t="b">
        <v>0</v>
      </c>
    </row>
    <row r="8" spans="1:2" ht="11.25" customHeight="1">
      <c r="A8" t="s">
        <v>4377</v>
      </c>
      <c r="B8" t="b">
        <v>0</v>
      </c>
    </row>
    <row r="9" spans="1:2" ht="11.25" customHeight="1">
      <c r="A9" t="s">
        <v>4378</v>
      </c>
      <c r="B9" t="b">
        <v>0</v>
      </c>
    </row>
    <row r="10" spans="1:2" ht="11.25" customHeight="1">
      <c r="A10" t="s">
        <v>4379</v>
      </c>
      <c r="B10" t="b">
        <v>0</v>
      </c>
    </row>
    <row r="11" spans="1:2" ht="11.25" customHeight="1">
      <c r="A11" t="s">
        <v>4380</v>
      </c>
      <c r="B11" t="b">
        <v>1</v>
      </c>
    </row>
    <row r="12" spans="1:2" ht="11.25" customHeight="1">
      <c r="A12" t="s">
        <v>4381</v>
      </c>
      <c r="B12" t="b">
        <v>0</v>
      </c>
    </row>
    <row r="13" spans="1:2" ht="11.25" customHeight="1">
      <c r="A13" t="s">
        <v>4382</v>
      </c>
      <c r="B13" t="b">
        <v>0</v>
      </c>
    </row>
    <row r="14" spans="1:2" ht="11.25" customHeight="1">
      <c r="A14" t="s">
        <v>4383</v>
      </c>
      <c r="B14" t="b">
        <v>0</v>
      </c>
    </row>
    <row r="15" spans="1:2" ht="11.25" customHeight="1">
      <c r="A15" t="s">
        <v>4384</v>
      </c>
      <c r="B15" t="b">
        <v>1</v>
      </c>
    </row>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8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CC99"/>
  </sheetPr>
  <dimension ref="A1"/>
  <sheetViews>
    <sheetView showGridLines="0" workbookViewId="0"/>
  </sheetViews>
  <sheetFormatPr defaultColWidth="9.140625" defaultRowHeight="12.75" customHeight="1"/>
  <cols>
    <col min="1" max="1" width="9.140625" style="1629"/>
  </cols>
  <sheetData>
    <row r="1" spans="1:1" ht="12.75" customHeight="1">
      <c r="A1" s="1"/>
    </row>
  </sheetData>
  <sheetProtection insertRows="0" deleteColumns="0" deleteRows="0" sort="0" autoFilter="0"/>
  <pageMargins left="0.75" right="0.75" top="1" bottom="1" header="0.5" footer="0.5"/>
  <pageSetup orientation="portrait"/>
  <headerFooter>
    <oddHeader>&amp;L&amp;C&amp;R</oddHeader>
    <oddFooter>&amp;L&amp;C&amp;R</oddFooter>
    <evenHeader>&amp;L&amp;C&amp;R</evenHeader>
    <evenFooter>&amp;L&amp;C&amp;R</evenFooter>
  </headerFooter>
</worksheet>
</file>

<file path=xl/worksheets/sheet8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CC99"/>
  </sheetPr>
  <dimension ref="A1:B253"/>
  <sheetViews>
    <sheetView showGridLines="0" workbookViewId="0"/>
  </sheetViews>
  <sheetFormatPr defaultColWidth="9.140625" defaultRowHeight="11.25" customHeight="1"/>
  <cols>
    <col min="1" max="1" width="36.28515625" style="1774" customWidth="1"/>
    <col min="2" max="2" width="21.140625" style="1774" customWidth="1"/>
  </cols>
  <sheetData>
    <row r="1" spans="1:2" ht="11.25" customHeight="1">
      <c r="A1" s="5" t="s">
        <v>4385</v>
      </c>
      <c r="B1" s="5" t="s">
        <v>4386</v>
      </c>
    </row>
    <row r="2" spans="1:2" ht="11.25" customHeight="1">
      <c r="A2" s="2" t="s">
        <v>4387</v>
      </c>
      <c r="B2" s="2" t="s">
        <v>4388</v>
      </c>
    </row>
    <row r="3" spans="1:2" ht="11.25" customHeight="1">
      <c r="A3" s="2" t="s">
        <v>4389</v>
      </c>
      <c r="B3" s="2" t="s">
        <v>4390</v>
      </c>
    </row>
    <row r="4" spans="1:2" ht="11.25" customHeight="1">
      <c r="A4" s="2" t="s">
        <v>4391</v>
      </c>
      <c r="B4" s="2" t="s">
        <v>4392</v>
      </c>
    </row>
    <row r="5" spans="1:2" ht="11.25" customHeight="1">
      <c r="A5" s="2" t="s">
        <v>4393</v>
      </c>
      <c r="B5" s="2" t="s">
        <v>4394</v>
      </c>
    </row>
    <row r="6" spans="1:2" ht="11.25" customHeight="1">
      <c r="A6" s="2" t="s">
        <v>4395</v>
      </c>
      <c r="B6" s="2" t="s">
        <v>4396</v>
      </c>
    </row>
    <row r="7" spans="1:2" ht="11.25" customHeight="1">
      <c r="A7" s="2" t="s">
        <v>4397</v>
      </c>
      <c r="B7" s="2" t="s">
        <v>4398</v>
      </c>
    </row>
    <row r="8" spans="1:2" ht="11.25" customHeight="1">
      <c r="A8" s="2" t="s">
        <v>4399</v>
      </c>
      <c r="B8" s="2" t="s">
        <v>4400</v>
      </c>
    </row>
    <row r="9" spans="1:2" ht="11.25" customHeight="1">
      <c r="A9" s="2" t="s">
        <v>4401</v>
      </c>
      <c r="B9" s="2" t="s">
        <v>4402</v>
      </c>
    </row>
    <row r="10" spans="1:2" ht="11.25" customHeight="1">
      <c r="A10" s="2" t="s">
        <v>4403</v>
      </c>
      <c r="B10" s="2" t="s">
        <v>4404</v>
      </c>
    </row>
    <row r="11" spans="1:2" ht="11.25" customHeight="1">
      <c r="A11" s="2" t="s">
        <v>4405</v>
      </c>
      <c r="B11" s="2" t="s">
        <v>4406</v>
      </c>
    </row>
    <row r="12" spans="1:2" ht="11.25" customHeight="1">
      <c r="A12" s="2" t="s">
        <v>4407</v>
      </c>
      <c r="B12" s="2" t="s">
        <v>4408</v>
      </c>
    </row>
    <row r="13" spans="1:2" ht="11.25" customHeight="1">
      <c r="A13" s="2" t="s">
        <v>4409</v>
      </c>
      <c r="B13" s="2" t="s">
        <v>4410</v>
      </c>
    </row>
    <row r="14" spans="1:2" ht="11.25" customHeight="1">
      <c r="A14" s="2" t="s">
        <v>4411</v>
      </c>
      <c r="B14" s="2" t="s">
        <v>4412</v>
      </c>
    </row>
    <row r="15" spans="1:2" ht="11.25" customHeight="1">
      <c r="A15" s="2" t="s">
        <v>4413</v>
      </c>
      <c r="B15" s="2" t="s">
        <v>4414</v>
      </c>
    </row>
    <row r="16" spans="1:2" ht="11.25" customHeight="1">
      <c r="A16" s="2" t="s">
        <v>4415</v>
      </c>
      <c r="B16" s="2" t="s">
        <v>4416</v>
      </c>
    </row>
    <row r="17" spans="1:2" ht="11.25" customHeight="1">
      <c r="A17" s="2" t="s">
        <v>4417</v>
      </c>
      <c r="B17" s="2" t="s">
        <v>4418</v>
      </c>
    </row>
    <row r="18" spans="1:2" ht="11.25" customHeight="1">
      <c r="A18" s="2" t="s">
        <v>4419</v>
      </c>
      <c r="B18" s="2" t="s">
        <v>4420</v>
      </c>
    </row>
    <row r="19" spans="1:2" ht="11.25" customHeight="1">
      <c r="A19" s="2" t="s">
        <v>4421</v>
      </c>
      <c r="B19" s="2" t="s">
        <v>4422</v>
      </c>
    </row>
    <row r="20" spans="1:2" ht="11.25" customHeight="1">
      <c r="A20" s="2" t="s">
        <v>4423</v>
      </c>
      <c r="B20" s="2" t="s">
        <v>4424</v>
      </c>
    </row>
    <row r="21" spans="1:2" ht="11.25" customHeight="1">
      <c r="A21" s="2" t="s">
        <v>4425</v>
      </c>
      <c r="B21" s="2" t="s">
        <v>4426</v>
      </c>
    </row>
    <row r="22" spans="1:2" ht="11.25" customHeight="1">
      <c r="A22" s="2" t="s">
        <v>4427</v>
      </c>
      <c r="B22" s="2" t="s">
        <v>4428</v>
      </c>
    </row>
    <row r="23" spans="1:2" ht="11.25" customHeight="1">
      <c r="A23" s="2" t="s">
        <v>4429</v>
      </c>
      <c r="B23" s="2" t="s">
        <v>4430</v>
      </c>
    </row>
    <row r="24" spans="1:2" ht="11.25" customHeight="1">
      <c r="A24" s="2" t="s">
        <v>4431</v>
      </c>
      <c r="B24" s="2" t="s">
        <v>4432</v>
      </c>
    </row>
    <row r="25" spans="1:2" ht="11.25" customHeight="1">
      <c r="A25" s="2" t="s">
        <v>4433</v>
      </c>
      <c r="B25" s="2" t="s">
        <v>4434</v>
      </c>
    </row>
    <row r="26" spans="1:2" ht="11.25" customHeight="1">
      <c r="A26" s="2" t="s">
        <v>4435</v>
      </c>
      <c r="B26" s="2" t="s">
        <v>4436</v>
      </c>
    </row>
    <row r="27" spans="1:2" ht="11.25" customHeight="1">
      <c r="A27" s="2" t="s">
        <v>4437</v>
      </c>
      <c r="B27" s="2" t="s">
        <v>4438</v>
      </c>
    </row>
    <row r="28" spans="1:2" ht="11.25" customHeight="1">
      <c r="A28" s="2" t="s">
        <v>4439</v>
      </c>
      <c r="B28" s="2" t="s">
        <v>4440</v>
      </c>
    </row>
    <row r="29" spans="1:2" ht="11.25" customHeight="1">
      <c r="A29" s="2" t="s">
        <v>4441</v>
      </c>
      <c r="B29" s="2" t="s">
        <v>4442</v>
      </c>
    </row>
    <row r="30" spans="1:2" ht="11.25" customHeight="1">
      <c r="A30" s="2" t="s">
        <v>4443</v>
      </c>
      <c r="B30" s="2" t="s">
        <v>4444</v>
      </c>
    </row>
    <row r="31" spans="1:2" ht="11.25" customHeight="1">
      <c r="A31" s="2" t="s">
        <v>4445</v>
      </c>
      <c r="B31" s="2" t="s">
        <v>4446</v>
      </c>
    </row>
    <row r="32" spans="1:2" ht="11.25" customHeight="1">
      <c r="A32" s="2" t="s">
        <v>4447</v>
      </c>
      <c r="B32" s="2" t="s">
        <v>4448</v>
      </c>
    </row>
    <row r="33" spans="1:2" ht="11.25" customHeight="1">
      <c r="A33" s="2" t="s">
        <v>4449</v>
      </c>
      <c r="B33" s="2" t="s">
        <v>4450</v>
      </c>
    </row>
    <row r="34" spans="1:2" ht="11.25" customHeight="1">
      <c r="A34" s="2" t="s">
        <v>4451</v>
      </c>
      <c r="B34" s="2" t="s">
        <v>4452</v>
      </c>
    </row>
    <row r="35" spans="1:2" ht="11.25" customHeight="1">
      <c r="A35" s="2" t="s">
        <v>4453</v>
      </c>
      <c r="B35" s="2" t="s">
        <v>4454</v>
      </c>
    </row>
    <row r="36" spans="1:2" ht="11.25" customHeight="1">
      <c r="A36" s="2" t="s">
        <v>4455</v>
      </c>
      <c r="B36" s="2" t="s">
        <v>4456</v>
      </c>
    </row>
    <row r="37" spans="1:2" ht="11.25" customHeight="1">
      <c r="A37" s="2" t="s">
        <v>4457</v>
      </c>
      <c r="B37" s="2" t="s">
        <v>4458</v>
      </c>
    </row>
    <row r="38" spans="1:2" ht="11.25" customHeight="1">
      <c r="A38" s="2" t="s">
        <v>4459</v>
      </c>
      <c r="B38" s="2" t="s">
        <v>4460</v>
      </c>
    </row>
    <row r="39" spans="1:2" ht="11.25" customHeight="1">
      <c r="A39" s="2" t="s">
        <v>4461</v>
      </c>
      <c r="B39" s="2" t="s">
        <v>4462</v>
      </c>
    </row>
    <row r="40" spans="1:2" ht="11.25" customHeight="1">
      <c r="A40" s="2" t="s">
        <v>4463</v>
      </c>
      <c r="B40" s="2" t="s">
        <v>4464</v>
      </c>
    </row>
    <row r="41" spans="1:2" ht="11.25" customHeight="1">
      <c r="A41" s="2" t="s">
        <v>4465</v>
      </c>
      <c r="B41" s="2" t="s">
        <v>4466</v>
      </c>
    </row>
    <row r="42" spans="1:2" ht="11.25" customHeight="1">
      <c r="A42" s="2" t="s">
        <v>4467</v>
      </c>
      <c r="B42" s="2" t="s">
        <v>4468</v>
      </c>
    </row>
    <row r="43" spans="1:2" ht="11.25" customHeight="1">
      <c r="A43" s="2" t="s">
        <v>4469</v>
      </c>
      <c r="B43" s="2" t="s">
        <v>4470</v>
      </c>
    </row>
    <row r="44" spans="1:2" ht="11.25" customHeight="1">
      <c r="A44" s="2" t="s">
        <v>4471</v>
      </c>
      <c r="B44" s="2" t="s">
        <v>4472</v>
      </c>
    </row>
    <row r="45" spans="1:2" ht="11.25" customHeight="1">
      <c r="A45" s="2" t="s">
        <v>4473</v>
      </c>
      <c r="B45" s="2" t="s">
        <v>4474</v>
      </c>
    </row>
    <row r="46" spans="1:2" ht="11.25" customHeight="1">
      <c r="A46" s="2" t="s">
        <v>4475</v>
      </c>
      <c r="B46" s="2" t="s">
        <v>4476</v>
      </c>
    </row>
    <row r="47" spans="1:2" ht="11.25" customHeight="1">
      <c r="A47" s="2" t="s">
        <v>4477</v>
      </c>
      <c r="B47" s="2" t="s">
        <v>4478</v>
      </c>
    </row>
    <row r="48" spans="1:2" ht="11.25" customHeight="1">
      <c r="A48" s="2" t="s">
        <v>4479</v>
      </c>
      <c r="B48" s="2" t="s">
        <v>4480</v>
      </c>
    </row>
    <row r="49" spans="1:2" ht="11.25" customHeight="1">
      <c r="A49" s="2" t="s">
        <v>4481</v>
      </c>
      <c r="B49" s="2" t="s">
        <v>4482</v>
      </c>
    </row>
    <row r="50" spans="1:2" ht="11.25" customHeight="1">
      <c r="A50" s="2" t="s">
        <v>4483</v>
      </c>
      <c r="B50" s="2" t="s">
        <v>4484</v>
      </c>
    </row>
    <row r="51" spans="1:2" ht="11.25" customHeight="1">
      <c r="A51" s="2" t="s">
        <v>4485</v>
      </c>
      <c r="B51" s="2" t="s">
        <v>4486</v>
      </c>
    </row>
    <row r="52" spans="1:2" ht="11.25" customHeight="1">
      <c r="A52" s="2" t="s">
        <v>4487</v>
      </c>
      <c r="B52" s="2" t="s">
        <v>4488</v>
      </c>
    </row>
    <row r="53" spans="1:2" ht="11.25" customHeight="1">
      <c r="A53" s="2" t="s">
        <v>4489</v>
      </c>
      <c r="B53" s="2" t="s">
        <v>4490</v>
      </c>
    </row>
    <row r="54" spans="1:2" ht="11.25" customHeight="1">
      <c r="A54" s="2" t="s">
        <v>4491</v>
      </c>
      <c r="B54" s="2" t="s">
        <v>4492</v>
      </c>
    </row>
    <row r="55" spans="1:2" ht="11.25" customHeight="1">
      <c r="A55" s="2" t="s">
        <v>4493</v>
      </c>
      <c r="B55" s="2" t="s">
        <v>4494</v>
      </c>
    </row>
    <row r="56" spans="1:2" ht="11.25" customHeight="1">
      <c r="A56" s="2" t="s">
        <v>4495</v>
      </c>
      <c r="B56" s="2" t="s">
        <v>4496</v>
      </c>
    </row>
    <row r="57" spans="1:2" ht="11.25" customHeight="1">
      <c r="A57" s="2" t="s">
        <v>4497</v>
      </c>
      <c r="B57" s="2" t="s">
        <v>4498</v>
      </c>
    </row>
    <row r="58" spans="1:2" ht="11.25" customHeight="1">
      <c r="A58" s="2" t="s">
        <v>4499</v>
      </c>
      <c r="B58" s="2" t="s">
        <v>4500</v>
      </c>
    </row>
    <row r="59" spans="1:2" ht="11.25" customHeight="1">
      <c r="A59" s="2" t="s">
        <v>4501</v>
      </c>
      <c r="B59" s="2" t="s">
        <v>4502</v>
      </c>
    </row>
    <row r="60" spans="1:2" ht="11.25" customHeight="1">
      <c r="A60" s="2" t="s">
        <v>4503</v>
      </c>
      <c r="B60" s="2" t="s">
        <v>4504</v>
      </c>
    </row>
    <row r="61" spans="1:2" ht="11.25" customHeight="1">
      <c r="A61" s="2"/>
      <c r="B61" s="2" t="s">
        <v>4505</v>
      </c>
    </row>
    <row r="62" spans="1:2" ht="11.25" customHeight="1">
      <c r="A62" s="2"/>
      <c r="B62" s="2" t="s">
        <v>4506</v>
      </c>
    </row>
    <row r="63" spans="1:2" ht="11.25" customHeight="1">
      <c r="A63" s="2"/>
      <c r="B63" s="2" t="s">
        <v>4507</v>
      </c>
    </row>
    <row r="64" spans="1:2" ht="11.25" customHeight="1">
      <c r="A64" s="2"/>
      <c r="B64" s="2" t="s">
        <v>4508</v>
      </c>
    </row>
    <row r="65" spans="1:2" ht="11.25" customHeight="1">
      <c r="A65" s="2"/>
      <c r="B65" s="2" t="s">
        <v>4509</v>
      </c>
    </row>
    <row r="66" spans="1:2" ht="11.25" customHeight="1">
      <c r="A66" s="2"/>
      <c r="B66" s="2" t="s">
        <v>4510</v>
      </c>
    </row>
    <row r="67" spans="1:2" ht="11.25" customHeight="1">
      <c r="A67" s="2"/>
      <c r="B67" s="2" t="s">
        <v>4511</v>
      </c>
    </row>
    <row r="68" spans="1:2" ht="11.25" customHeight="1">
      <c r="A68" s="2"/>
      <c r="B68" s="2" t="s">
        <v>4512</v>
      </c>
    </row>
    <row r="69" spans="1:2" ht="11.25" customHeight="1">
      <c r="A69" s="2"/>
      <c r="B69" s="2" t="s">
        <v>4513</v>
      </c>
    </row>
    <row r="70" spans="1:2" ht="11.25" customHeight="1">
      <c r="A70" s="2"/>
      <c r="B70" s="2" t="s">
        <v>4514</v>
      </c>
    </row>
    <row r="71" spans="1:2" ht="11.25" customHeight="1">
      <c r="A71" s="2"/>
      <c r="B71" s="2"/>
    </row>
    <row r="72" spans="1:2" ht="11.25" customHeight="1">
      <c r="A72" s="2"/>
      <c r="B72" s="2"/>
    </row>
    <row r="73" spans="1:2" ht="11.25" customHeight="1">
      <c r="A73" s="2"/>
      <c r="B73" s="2"/>
    </row>
    <row r="74" spans="1:2" ht="11.25" customHeight="1">
      <c r="A74" s="2"/>
      <c r="B74" s="2"/>
    </row>
    <row r="75" spans="1:2" ht="11.25" customHeight="1">
      <c r="A75" s="2"/>
      <c r="B75" s="2"/>
    </row>
    <row r="76" spans="1:2" ht="11.25" customHeight="1">
      <c r="A76" s="2"/>
      <c r="B76" s="2"/>
    </row>
    <row r="77" spans="1:2" ht="11.25" customHeight="1">
      <c r="A77" s="2"/>
      <c r="B77" s="2"/>
    </row>
    <row r="78" spans="1:2" ht="11.25" customHeight="1">
      <c r="A78" s="2"/>
      <c r="B78" s="2"/>
    </row>
    <row r="79" spans="1:2" ht="11.25" customHeight="1">
      <c r="A79" s="2"/>
      <c r="B79" s="2"/>
    </row>
    <row r="80" spans="1:2" ht="11.25" customHeight="1">
      <c r="A80" s="2"/>
      <c r="B80" s="2"/>
    </row>
    <row r="81" spans="1:2" ht="11.25" customHeight="1">
      <c r="A81" s="2"/>
      <c r="B81" s="2"/>
    </row>
    <row r="82" spans="1:2" ht="11.25" customHeight="1">
      <c r="A82" s="2"/>
      <c r="B82" s="2"/>
    </row>
    <row r="83" spans="1:2" ht="11.25" customHeight="1">
      <c r="A83" s="2"/>
      <c r="B83" s="2"/>
    </row>
    <row r="84" spans="1:2" ht="11.25" customHeight="1">
      <c r="A84" s="2"/>
      <c r="B84" s="2"/>
    </row>
    <row r="85" spans="1:2" ht="11.25" customHeight="1">
      <c r="A85" s="2"/>
      <c r="B85" s="2"/>
    </row>
    <row r="86" spans="1:2" ht="11.25" customHeight="1">
      <c r="A86" s="2"/>
      <c r="B86" s="2"/>
    </row>
    <row r="87" spans="1:2" ht="11.25" customHeight="1">
      <c r="A87" s="2"/>
      <c r="B87" s="2"/>
    </row>
    <row r="88" spans="1:2" ht="11.25" customHeight="1">
      <c r="A88" s="2"/>
      <c r="B88" s="2"/>
    </row>
    <row r="89" spans="1:2" ht="11.25" customHeight="1">
      <c r="A89" s="2"/>
      <c r="B89" s="2"/>
    </row>
    <row r="90" spans="1:2" ht="11.25" customHeight="1">
      <c r="A90" s="2"/>
      <c r="B90" s="2"/>
    </row>
    <row r="91" spans="1:2" ht="11.25" customHeight="1">
      <c r="A91" s="2"/>
      <c r="B91" s="2"/>
    </row>
    <row r="92" spans="1:2" ht="11.25" customHeight="1">
      <c r="A92" s="2"/>
      <c r="B92" s="2"/>
    </row>
    <row r="93" spans="1:2" ht="11.25" customHeight="1">
      <c r="A93" s="2"/>
      <c r="B93" s="2"/>
    </row>
    <row r="94" spans="1:2" ht="11.25" customHeight="1">
      <c r="A94" s="2"/>
      <c r="B94" s="2"/>
    </row>
    <row r="95" spans="1:2" ht="11.25" customHeight="1">
      <c r="A95" s="2"/>
      <c r="B95" s="2"/>
    </row>
    <row r="96" spans="1:2" ht="11.25" customHeight="1">
      <c r="A96" s="2"/>
      <c r="B96" s="2"/>
    </row>
    <row r="97" spans="1:2" ht="11.25" customHeight="1">
      <c r="A97" s="2"/>
      <c r="B97" s="2"/>
    </row>
    <row r="98" spans="1:2" ht="11.25" customHeight="1">
      <c r="A98" s="2"/>
      <c r="B98" s="2"/>
    </row>
    <row r="99" spans="1:2" ht="11.25" customHeight="1">
      <c r="A99" s="2"/>
      <c r="B99" s="2"/>
    </row>
    <row r="100" spans="1:2" ht="11.25" customHeight="1">
      <c r="A100" s="2"/>
      <c r="B100" s="2"/>
    </row>
    <row r="101" spans="1:2" ht="11.25" customHeight="1">
      <c r="A101" s="2"/>
      <c r="B101" s="2"/>
    </row>
    <row r="102" spans="1:2" ht="11.25" customHeight="1">
      <c r="A102" s="2"/>
      <c r="B102" s="2"/>
    </row>
    <row r="103" spans="1:2" ht="11.25" customHeight="1">
      <c r="A103" s="2"/>
      <c r="B103" s="2"/>
    </row>
    <row r="104" spans="1:2" ht="11.25" customHeight="1">
      <c r="A104" s="2"/>
      <c r="B104" s="2"/>
    </row>
    <row r="105" spans="1:2" ht="11.25" customHeight="1">
      <c r="A105" s="2"/>
      <c r="B105" s="2"/>
    </row>
    <row r="106" spans="1:2" ht="11.25" customHeight="1">
      <c r="A106" s="2"/>
      <c r="B106" s="2"/>
    </row>
    <row r="107" spans="1:2" ht="11.25" customHeight="1">
      <c r="A107" s="2"/>
      <c r="B107" s="2"/>
    </row>
    <row r="108" spans="1:2" ht="11.25" customHeight="1">
      <c r="A108" s="2"/>
      <c r="B108" s="2"/>
    </row>
    <row r="109" spans="1:2" ht="11.25" customHeight="1">
      <c r="A109" s="2"/>
      <c r="B109" s="2"/>
    </row>
    <row r="110" spans="1:2" ht="11.25" customHeight="1">
      <c r="A110" s="2"/>
      <c r="B110" s="2"/>
    </row>
    <row r="111" spans="1:2" ht="11.25" customHeight="1">
      <c r="A111" s="2"/>
      <c r="B111" s="2"/>
    </row>
    <row r="112" spans="1:2" ht="11.25" customHeight="1">
      <c r="A112" s="2"/>
      <c r="B112" s="2"/>
    </row>
    <row r="113" spans="1:2" ht="11.25" customHeight="1">
      <c r="A113" s="2"/>
      <c r="B113" s="2"/>
    </row>
    <row r="114" spans="1:2" ht="11.25" customHeight="1">
      <c r="A114" s="2"/>
      <c r="B114" s="2"/>
    </row>
    <row r="115" spans="1:2" ht="11.25" customHeight="1">
      <c r="A115" s="2"/>
      <c r="B115" s="2"/>
    </row>
    <row r="116" spans="1:2" ht="11.25" customHeight="1">
      <c r="A116" s="2"/>
      <c r="B116" s="2"/>
    </row>
    <row r="117" spans="1:2" ht="11.25" customHeight="1">
      <c r="A117" s="2"/>
      <c r="B117" s="2"/>
    </row>
    <row r="118" spans="1:2" ht="11.25" customHeight="1">
      <c r="A118" s="2"/>
      <c r="B118" s="2"/>
    </row>
    <row r="119" spans="1:2" ht="11.25" customHeight="1">
      <c r="A119" s="2"/>
      <c r="B119" s="2"/>
    </row>
    <row r="120" spans="1:2" ht="11.25" customHeight="1">
      <c r="A120" s="2"/>
      <c r="B120" s="2"/>
    </row>
    <row r="121" spans="1:2" ht="11.25" customHeight="1">
      <c r="A121" s="2"/>
      <c r="B121" s="2"/>
    </row>
    <row r="122" spans="1:2" ht="11.25" customHeight="1">
      <c r="A122" s="2"/>
      <c r="B122" s="2"/>
    </row>
    <row r="123" spans="1:2" ht="11.25" customHeight="1">
      <c r="A123" s="2"/>
      <c r="B123" s="2"/>
    </row>
    <row r="124" spans="1:2" ht="11.25" customHeight="1">
      <c r="A124" s="2"/>
      <c r="B124" s="2"/>
    </row>
    <row r="125" spans="1:2" ht="11.25" customHeight="1">
      <c r="A125" s="2"/>
      <c r="B125" s="2"/>
    </row>
    <row r="126" spans="1:2" ht="11.25" customHeight="1">
      <c r="A126" s="2"/>
      <c r="B126" s="2"/>
    </row>
    <row r="127" spans="1:2" ht="11.25" customHeight="1">
      <c r="A127" s="2"/>
      <c r="B127" s="2"/>
    </row>
    <row r="128" spans="1:2" ht="11.25" customHeight="1">
      <c r="A128" s="2"/>
      <c r="B128" s="2"/>
    </row>
    <row r="129" spans="1:2" ht="11.25" customHeight="1">
      <c r="A129" s="2"/>
      <c r="B129" s="2"/>
    </row>
    <row r="130" spans="1:2" ht="11.25" customHeight="1">
      <c r="A130" s="2"/>
      <c r="B130" s="2"/>
    </row>
    <row r="131" spans="1:2" ht="11.25" customHeight="1">
      <c r="A131" s="2"/>
      <c r="B131" s="2"/>
    </row>
    <row r="132" spans="1:2" ht="11.25" customHeight="1">
      <c r="A132" s="2"/>
      <c r="B132" s="2"/>
    </row>
    <row r="133" spans="1:2" ht="11.25" customHeight="1">
      <c r="A133" s="2"/>
      <c r="B133" s="2"/>
    </row>
    <row r="134" spans="1:2" ht="11.25" customHeight="1">
      <c r="A134" s="2"/>
      <c r="B134" s="2"/>
    </row>
    <row r="135" spans="1:2" ht="11.25" customHeight="1">
      <c r="A135" s="2"/>
      <c r="B135" s="2"/>
    </row>
    <row r="136" spans="1:2" ht="11.25" customHeight="1">
      <c r="A136" s="2"/>
      <c r="B136" s="2"/>
    </row>
    <row r="137" spans="1:2" ht="11.25" customHeight="1">
      <c r="A137" s="2"/>
      <c r="B137" s="2"/>
    </row>
    <row r="138" spans="1:2" ht="11.25" customHeight="1">
      <c r="A138" s="2"/>
      <c r="B138" s="2"/>
    </row>
    <row r="139" spans="1:2" ht="11.25" customHeight="1">
      <c r="A139" s="2"/>
      <c r="B139" s="2"/>
    </row>
    <row r="140" spans="1:2" ht="11.25" customHeight="1">
      <c r="A140" s="2"/>
      <c r="B140" s="2"/>
    </row>
    <row r="141" spans="1:2" ht="11.25" customHeight="1">
      <c r="A141" s="2"/>
      <c r="B141" s="2"/>
    </row>
    <row r="142" spans="1:2" ht="11.25" customHeight="1">
      <c r="A142" s="2"/>
      <c r="B142" s="2"/>
    </row>
    <row r="143" spans="1:2" ht="11.25" customHeight="1">
      <c r="A143" s="2"/>
      <c r="B143" s="2"/>
    </row>
    <row r="144" spans="1:2" ht="11.25" customHeight="1">
      <c r="A144" s="2"/>
      <c r="B144" s="2"/>
    </row>
    <row r="145" spans="1:2" ht="11.25" customHeight="1">
      <c r="A145" s="2"/>
      <c r="B145" s="2"/>
    </row>
    <row r="146" spans="1:2" ht="11.25" customHeight="1">
      <c r="A146" s="2"/>
      <c r="B146" s="2"/>
    </row>
    <row r="147" spans="1:2" ht="11.25" customHeight="1">
      <c r="A147" s="2"/>
      <c r="B147" s="2"/>
    </row>
    <row r="148" spans="1:2" ht="11.25" customHeight="1">
      <c r="A148" s="2"/>
      <c r="B148" s="2"/>
    </row>
    <row r="149" spans="1:2" ht="11.25" customHeight="1">
      <c r="A149" s="2"/>
      <c r="B149" s="2"/>
    </row>
    <row r="150" spans="1:2" ht="11.25" customHeight="1">
      <c r="A150" s="2"/>
      <c r="B150" s="2"/>
    </row>
    <row r="151" spans="1:2" ht="11.25" customHeight="1">
      <c r="A151" s="2"/>
      <c r="B151" s="2"/>
    </row>
    <row r="152" spans="1:2" ht="11.25" customHeight="1">
      <c r="A152" s="2"/>
      <c r="B152" s="2"/>
    </row>
    <row r="153" spans="1:2" ht="11.25" customHeight="1">
      <c r="A153" s="2"/>
      <c r="B153" s="2"/>
    </row>
    <row r="154" spans="1:2" ht="11.25" customHeight="1">
      <c r="A154" s="2"/>
      <c r="B154" s="2"/>
    </row>
    <row r="155" spans="1:2" ht="11.25" customHeight="1">
      <c r="A155" s="2"/>
      <c r="B155" s="2"/>
    </row>
    <row r="156" spans="1:2" ht="11.25" customHeight="1">
      <c r="A156" s="2"/>
      <c r="B156" s="2"/>
    </row>
    <row r="157" spans="1:2" ht="11.25" customHeight="1">
      <c r="A157" s="2"/>
      <c r="B157" s="2"/>
    </row>
    <row r="158" spans="1:2" ht="11.25" customHeight="1">
      <c r="A158" s="2"/>
      <c r="B158" s="2"/>
    </row>
    <row r="159" spans="1:2" ht="11.25" customHeight="1">
      <c r="A159" s="2"/>
      <c r="B159" s="2"/>
    </row>
    <row r="160" spans="1:2" ht="11.25" customHeight="1">
      <c r="A160" s="2"/>
      <c r="B160" s="2"/>
    </row>
    <row r="161" spans="1:2" ht="11.25" customHeight="1">
      <c r="A161" s="2"/>
      <c r="B161" s="2"/>
    </row>
    <row r="162" spans="1:2" ht="11.25" customHeight="1">
      <c r="A162" s="2"/>
      <c r="B162" s="2"/>
    </row>
    <row r="163" spans="1:2" ht="11.25" customHeight="1">
      <c r="A163" s="2"/>
      <c r="B163" s="2"/>
    </row>
    <row r="164" spans="1:2" ht="11.25" customHeight="1">
      <c r="A164" s="2"/>
      <c r="B164" s="2"/>
    </row>
    <row r="165" spans="1:2" ht="11.25" customHeight="1">
      <c r="A165" s="2"/>
      <c r="B165" s="2"/>
    </row>
    <row r="166" spans="1:2" ht="11.25" customHeight="1">
      <c r="A166" s="2"/>
      <c r="B166" s="2"/>
    </row>
    <row r="167" spans="1:2" ht="11.25" customHeight="1">
      <c r="A167" s="2"/>
      <c r="B167" s="2"/>
    </row>
    <row r="168" spans="1:2" ht="11.25" customHeight="1">
      <c r="A168" s="2"/>
      <c r="B168" s="2"/>
    </row>
    <row r="169" spans="1:2" ht="11.25" customHeight="1">
      <c r="A169" s="2"/>
      <c r="B169" s="2"/>
    </row>
    <row r="170" spans="1:2" ht="11.25" customHeight="1">
      <c r="A170" s="2"/>
      <c r="B170" s="2"/>
    </row>
    <row r="171" spans="1:2" ht="11.25" customHeight="1">
      <c r="A171" s="2"/>
      <c r="B171" s="2"/>
    </row>
    <row r="172" spans="1:2" ht="11.25" customHeight="1">
      <c r="A172" s="2"/>
      <c r="B172" s="2"/>
    </row>
    <row r="173" spans="1:2" ht="11.25" customHeight="1">
      <c r="A173" s="2"/>
      <c r="B173" s="2"/>
    </row>
    <row r="174" spans="1:2" ht="11.25" customHeight="1">
      <c r="A174" s="2"/>
      <c r="B174" s="2"/>
    </row>
    <row r="175" spans="1:2" ht="11.25" customHeight="1">
      <c r="A175" s="2"/>
      <c r="B175" s="2"/>
    </row>
    <row r="176" spans="1:2" ht="11.25" customHeight="1">
      <c r="A176" s="2"/>
      <c r="B176" s="2"/>
    </row>
    <row r="177" spans="1:2" ht="11.25" customHeight="1">
      <c r="A177" s="2"/>
      <c r="B177" s="2"/>
    </row>
    <row r="178" spans="1:2" ht="11.25" customHeight="1">
      <c r="A178" s="2"/>
      <c r="B178" s="2"/>
    </row>
    <row r="179" spans="1:2" ht="11.25" customHeight="1">
      <c r="A179" s="2"/>
      <c r="B179" s="2"/>
    </row>
    <row r="180" spans="1:2" ht="11.25" customHeight="1">
      <c r="A180" s="2"/>
      <c r="B180" s="2"/>
    </row>
    <row r="181" spans="1:2" ht="11.25" customHeight="1">
      <c r="A181" s="2"/>
      <c r="B181" s="2"/>
    </row>
    <row r="182" spans="1:2" ht="11.25" customHeight="1">
      <c r="A182" s="2"/>
      <c r="B182" s="2"/>
    </row>
    <row r="183" spans="1:2" ht="11.25" customHeight="1">
      <c r="A183" s="2"/>
      <c r="B183" s="2"/>
    </row>
    <row r="184" spans="1:2" ht="11.25" customHeight="1">
      <c r="A184" s="2"/>
      <c r="B184" s="2"/>
    </row>
    <row r="185" spans="1:2" ht="11.25" customHeight="1">
      <c r="A185" s="2"/>
      <c r="B185" s="2"/>
    </row>
    <row r="186" spans="1:2" ht="11.25" customHeight="1">
      <c r="A186" s="2"/>
      <c r="B186" s="2"/>
    </row>
    <row r="187" spans="1:2" ht="11.25" customHeight="1">
      <c r="A187" s="2"/>
      <c r="B187" s="2"/>
    </row>
    <row r="188" spans="1:2" ht="11.25" customHeight="1">
      <c r="A188" s="2"/>
      <c r="B188" s="2"/>
    </row>
    <row r="189" spans="1:2" ht="11.25" customHeight="1">
      <c r="A189" s="2"/>
      <c r="B189" s="2"/>
    </row>
    <row r="190" spans="1:2" ht="11.25" customHeight="1">
      <c r="A190" s="2"/>
      <c r="B190" s="2"/>
    </row>
    <row r="191" spans="1:2" ht="11.25" customHeight="1">
      <c r="A191" s="2"/>
      <c r="B191" s="2"/>
    </row>
    <row r="192" spans="1:2" ht="11.25" customHeight="1">
      <c r="A192" s="2"/>
      <c r="B192" s="2"/>
    </row>
    <row r="193" spans="1:2" ht="11.25" customHeight="1">
      <c r="A193" s="2"/>
      <c r="B193" s="2"/>
    </row>
    <row r="194" spans="1:2" ht="11.25" customHeight="1">
      <c r="A194" s="2"/>
      <c r="B194" s="2"/>
    </row>
    <row r="195" spans="1:2" ht="11.25" customHeight="1">
      <c r="A195" s="2"/>
      <c r="B195" s="2"/>
    </row>
    <row r="196" spans="1:2" ht="11.25" customHeight="1">
      <c r="A196" s="2"/>
      <c r="B196" s="2"/>
    </row>
    <row r="197" spans="1:2" ht="11.25" customHeight="1">
      <c r="A197" s="2"/>
      <c r="B197" s="2"/>
    </row>
    <row r="198" spans="1:2" ht="11.25" customHeight="1">
      <c r="A198" s="2"/>
      <c r="B198" s="2"/>
    </row>
    <row r="199" spans="1:2" ht="11.25" customHeight="1">
      <c r="A199" s="2"/>
      <c r="B199" s="2"/>
    </row>
    <row r="200" spans="1:2" ht="11.25" customHeight="1">
      <c r="A200" s="2"/>
      <c r="B200" s="2"/>
    </row>
    <row r="201" spans="1:2" ht="11.25" customHeight="1">
      <c r="A201" s="2"/>
      <c r="B201" s="2"/>
    </row>
    <row r="202" spans="1:2" ht="11.25" customHeight="1">
      <c r="A202" s="2"/>
      <c r="B202" s="2"/>
    </row>
    <row r="203" spans="1:2" ht="11.25" customHeight="1">
      <c r="A203" s="2"/>
      <c r="B203" s="2"/>
    </row>
    <row r="204" spans="1:2" ht="11.25" customHeight="1">
      <c r="A204" s="2"/>
      <c r="B204" s="2"/>
    </row>
    <row r="205" spans="1:2" ht="11.25" customHeight="1">
      <c r="A205" s="2"/>
      <c r="B205" s="2"/>
    </row>
    <row r="206" spans="1:2" ht="11.25" customHeight="1">
      <c r="A206" s="2"/>
      <c r="B206" s="2"/>
    </row>
    <row r="207" spans="1:2" ht="11.25" customHeight="1">
      <c r="A207" s="2"/>
      <c r="B207" s="2"/>
    </row>
    <row r="208" spans="1:2" ht="11.25" customHeight="1">
      <c r="A208" s="2"/>
      <c r="B208" s="2"/>
    </row>
    <row r="209" spans="1:2" ht="11.25" customHeight="1">
      <c r="A209" s="2"/>
      <c r="B209" s="2"/>
    </row>
    <row r="210" spans="1:2" ht="11.25" customHeight="1">
      <c r="A210" s="2"/>
      <c r="B210" s="2"/>
    </row>
    <row r="211" spans="1:2" ht="11.25" customHeight="1">
      <c r="A211" s="2"/>
      <c r="B211" s="2"/>
    </row>
    <row r="212" spans="1:2" ht="11.25" customHeight="1">
      <c r="A212" s="2"/>
      <c r="B212" s="2"/>
    </row>
    <row r="213" spans="1:2" ht="11.25" customHeight="1">
      <c r="A213" s="2"/>
      <c r="B213" s="2"/>
    </row>
    <row r="214" spans="1:2" ht="11.25" customHeight="1">
      <c r="A214" s="2"/>
      <c r="B214" s="2"/>
    </row>
    <row r="215" spans="1:2" ht="11.25" customHeight="1">
      <c r="A215" s="2"/>
      <c r="B215" s="2"/>
    </row>
    <row r="216" spans="1:2" ht="11.25" customHeight="1">
      <c r="A216" s="2"/>
      <c r="B216" s="2"/>
    </row>
    <row r="217" spans="1:2" ht="11.25" customHeight="1">
      <c r="A217" s="2"/>
      <c r="B217" s="2"/>
    </row>
    <row r="218" spans="1:2" ht="11.25" customHeight="1">
      <c r="A218" s="2"/>
      <c r="B218" s="2"/>
    </row>
    <row r="219" spans="1:2" ht="11.25" customHeight="1">
      <c r="A219" s="2"/>
      <c r="B219" s="2"/>
    </row>
    <row r="220" spans="1:2" ht="11.25" customHeight="1">
      <c r="A220" s="2"/>
      <c r="B220" s="2"/>
    </row>
    <row r="221" spans="1:2" ht="11.25" customHeight="1">
      <c r="A221" s="2"/>
      <c r="B221" s="2"/>
    </row>
    <row r="222" spans="1:2" ht="11.25" customHeight="1">
      <c r="A222" s="2"/>
      <c r="B222" s="2"/>
    </row>
    <row r="223" spans="1:2" ht="11.25" customHeight="1">
      <c r="A223" s="2"/>
      <c r="B223" s="2"/>
    </row>
    <row r="224" spans="1:2" ht="11.25" customHeight="1">
      <c r="A224" s="2"/>
      <c r="B224" s="2"/>
    </row>
    <row r="225" spans="1:2" ht="11.25" customHeight="1">
      <c r="A225" s="2"/>
      <c r="B225" s="2"/>
    </row>
    <row r="226" spans="1:2" ht="11.25" customHeight="1">
      <c r="A226" s="2"/>
      <c r="B226" s="2"/>
    </row>
    <row r="227" spans="1:2" ht="11.25" customHeight="1">
      <c r="A227" s="2"/>
      <c r="B227" s="2"/>
    </row>
    <row r="228" spans="1:2" ht="11.25" customHeight="1">
      <c r="A228" s="2"/>
      <c r="B228" s="2"/>
    </row>
    <row r="229" spans="1:2" ht="11.25" customHeight="1">
      <c r="A229" s="2"/>
      <c r="B229" s="2"/>
    </row>
    <row r="230" spans="1:2" ht="11.25" customHeight="1">
      <c r="A230" s="2"/>
      <c r="B230" s="2"/>
    </row>
    <row r="231" spans="1:2" ht="11.25" customHeight="1">
      <c r="A231" s="2"/>
      <c r="B231" s="2"/>
    </row>
    <row r="232" spans="1:2" ht="11.25" customHeight="1">
      <c r="A232" s="2"/>
      <c r="B232" s="2"/>
    </row>
    <row r="233" spans="1:2" ht="11.25" customHeight="1">
      <c r="A233" s="2"/>
      <c r="B233" s="2"/>
    </row>
    <row r="234" spans="1:2" ht="11.25" customHeight="1">
      <c r="A234" s="2"/>
      <c r="B234" s="2"/>
    </row>
    <row r="235" spans="1:2" ht="11.25" customHeight="1">
      <c r="A235" s="2"/>
      <c r="B235" s="2"/>
    </row>
    <row r="236" spans="1:2" ht="11.25" customHeight="1">
      <c r="A236" s="2"/>
      <c r="B236" s="2"/>
    </row>
    <row r="237" spans="1:2" ht="11.25" customHeight="1">
      <c r="A237" s="2"/>
      <c r="B237" s="2"/>
    </row>
    <row r="238" spans="1:2" ht="11.25" customHeight="1">
      <c r="A238" s="2"/>
      <c r="B238" s="2"/>
    </row>
    <row r="239" spans="1:2" ht="11.25" customHeight="1">
      <c r="A239" s="2"/>
      <c r="B239" s="2"/>
    </row>
    <row r="240" spans="1:2" ht="11.25" customHeight="1">
      <c r="A240" s="2"/>
      <c r="B240" s="2"/>
    </row>
    <row r="241" spans="1:2" ht="11.25" customHeight="1">
      <c r="A241" s="2"/>
      <c r="B241" s="2"/>
    </row>
    <row r="242" spans="1:2" ht="11.25" customHeight="1">
      <c r="A242" s="2"/>
      <c r="B242" s="2"/>
    </row>
    <row r="243" spans="1:2" ht="11.25" customHeight="1">
      <c r="A243" s="2"/>
      <c r="B243" s="2"/>
    </row>
    <row r="244" spans="1:2" ht="11.25" customHeight="1">
      <c r="A244" s="2"/>
      <c r="B244" s="2"/>
    </row>
    <row r="245" spans="1:2" ht="11.25" customHeight="1">
      <c r="A245" s="2"/>
      <c r="B245" s="2"/>
    </row>
    <row r="246" spans="1:2" ht="11.25" customHeight="1">
      <c r="A246" s="2"/>
      <c r="B246" s="2"/>
    </row>
    <row r="247" spans="1:2" ht="11.25" customHeight="1">
      <c r="A247" s="2"/>
      <c r="B247" s="2"/>
    </row>
    <row r="248" spans="1:2" ht="11.25" customHeight="1">
      <c r="A248" s="2"/>
      <c r="B248" s="2"/>
    </row>
    <row r="249" spans="1:2" ht="11.25" customHeight="1">
      <c r="A249" s="2"/>
      <c r="B249" s="2"/>
    </row>
    <row r="250" spans="1:2" ht="11.25" customHeight="1">
      <c r="A250" s="2"/>
      <c r="B250" s="2"/>
    </row>
    <row r="251" spans="1:2" ht="11.25" customHeight="1">
      <c r="A251" s="2"/>
      <c r="B251" s="2"/>
    </row>
    <row r="252" spans="1:2" ht="11.25" customHeight="1">
      <c r="A252" s="2"/>
      <c r="B252" s="2"/>
    </row>
    <row r="253" spans="1:2" ht="11.25" customHeight="1">
      <c r="A253" s="2"/>
      <c r="B253" s="2"/>
    </row>
  </sheetData>
  <sheetProtection formatColumns="0" formatRows="0" insertRows="0" deleteColumns="0" deleteRows="0" sort="0" autoFilter="0"/>
  <pageMargins left="0.75" right="0.75" top="1" bottom="1" header="0.5" footer="0.5"/>
  <pageSetup paperSize="9" orientation="portrait"/>
  <headerFooter>
    <oddHeader>&amp;L&amp;C&amp;R</oddHeader>
    <oddFooter>&amp;L&amp;C&amp;R</oddFooter>
    <evenHeader>&amp;L&amp;C&amp;R</evenHeader>
    <evenFooter>&amp;L&amp;C&amp;R</evenFooter>
  </headerFooter>
</worksheet>
</file>

<file path=xl/worksheets/sheet8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CC99"/>
  </sheetPr>
  <dimension ref="A1:D36"/>
  <sheetViews>
    <sheetView showGridLines="0" workbookViewId="0"/>
  </sheetViews>
  <sheetFormatPr defaultColWidth="9.140625" defaultRowHeight="11.25" customHeight="1"/>
  <cols>
    <col min="1" max="1" width="3.7109375" style="1774" customWidth="1"/>
    <col min="2" max="2" width="90.7109375" style="1774" customWidth="1"/>
    <col min="3" max="4" width="9.140625" style="1774"/>
  </cols>
  <sheetData>
    <row r="1" spans="2:4" ht="11.25" customHeight="1">
      <c r="B1" s="31" t="s">
        <v>4515</v>
      </c>
    </row>
    <row r="2" spans="2:4" ht="90" customHeight="1">
      <c r="B2" s="32" t="s">
        <v>4516</v>
      </c>
    </row>
    <row r="3" spans="2:4" ht="67.5" customHeight="1">
      <c r="B3" s="32" t="s">
        <v>4517</v>
      </c>
    </row>
    <row r="4" spans="2:4" ht="33.75" customHeight="1">
      <c r="B4" s="32" t="s">
        <v>4518</v>
      </c>
    </row>
    <row r="5" spans="2:4" ht="11.25" customHeight="1">
      <c r="B5" s="32" t="s">
        <v>4519</v>
      </c>
    </row>
    <row r="6" spans="2:4" ht="22.5" customHeight="1">
      <c r="B6" s="32" t="s">
        <v>4520</v>
      </c>
    </row>
    <row r="7" spans="2:4" ht="22.5" customHeight="1">
      <c r="B7" s="32" t="s">
        <v>4521</v>
      </c>
    </row>
    <row r="8" spans="2:4" ht="22.5" customHeight="1">
      <c r="B8" s="32" t="s">
        <v>4522</v>
      </c>
    </row>
    <row r="9" spans="2:4" ht="22.5" customHeight="1">
      <c r="B9" s="32" t="s">
        <v>4523</v>
      </c>
    </row>
    <row r="10" spans="2:4" ht="56.25" customHeight="1">
      <c r="B10" s="32" t="s">
        <v>4524</v>
      </c>
    </row>
    <row r="11" spans="2:4" ht="12.75" customHeight="1">
      <c r="B11" s="95" t="s">
        <v>4525</v>
      </c>
    </row>
    <row r="12" spans="2:4" ht="11.25" customHeight="1">
      <c r="B12" s="31" t="s">
        <v>4526</v>
      </c>
    </row>
    <row r="13" spans="2:4" ht="22.5" customHeight="1">
      <c r="B13" s="32" t="s">
        <v>4527</v>
      </c>
    </row>
    <row r="14" spans="2:4" ht="67.5" customHeight="1">
      <c r="B14" s="32" t="s">
        <v>4528</v>
      </c>
    </row>
    <row r="15" spans="2:4" ht="22.5" customHeight="1">
      <c r="B15" s="32" t="s">
        <v>4529</v>
      </c>
    </row>
    <row r="16" spans="2:4" ht="11.25" customHeight="1">
      <c r="B16" s="31" t="s">
        <v>4530</v>
      </c>
      <c r="D16" s="38"/>
    </row>
    <row r="17" spans="1:2" ht="33.75" customHeight="1">
      <c r="B17" s="32" t="s">
        <v>4531</v>
      </c>
    </row>
    <row r="18" spans="1:2" ht="33.75" customHeight="1">
      <c r="B18" s="32" t="s">
        <v>4532</v>
      </c>
    </row>
    <row r="19" spans="1:2" ht="11.25" customHeight="1">
      <c r="B19" s="32" t="s">
        <v>4533</v>
      </c>
    </row>
    <row r="20" spans="1:2" ht="33.75" customHeight="1">
      <c r="B20" s="32" t="s">
        <v>4534</v>
      </c>
    </row>
    <row r="21" spans="1:2" ht="11.25" customHeight="1">
      <c r="B21" s="31" t="s">
        <v>4535</v>
      </c>
    </row>
    <row r="22" spans="1:2" ht="11.25" customHeight="1">
      <c r="B22" s="32" t="s">
        <v>4536</v>
      </c>
    </row>
    <row r="24" spans="1:2" ht="22.5" customHeight="1">
      <c r="B24" s="97" t="s">
        <v>4537</v>
      </c>
    </row>
    <row r="26" spans="1:2" ht="11.25" customHeight="1">
      <c r="B26" s="31" t="s">
        <v>4538</v>
      </c>
    </row>
    <row r="27" spans="1:2" ht="22.5" customHeight="1">
      <c r="B27" s="96" t="s">
        <v>395</v>
      </c>
    </row>
    <row r="28" spans="1:2" ht="56.25" customHeight="1">
      <c r="B28" s="96" t="s">
        <v>4539</v>
      </c>
    </row>
    <row r="29" spans="1:2" ht="11.25" customHeight="1">
      <c r="B29" s="146" t="s">
        <v>4540</v>
      </c>
    </row>
    <row r="30" spans="1:2" ht="22.5" customHeight="1">
      <c r="B30" s="96" t="s">
        <v>4541</v>
      </c>
    </row>
    <row r="32" spans="1:2" ht="11.25" customHeight="1">
      <c r="A32" s="124"/>
      <c r="B32" s="125" t="s">
        <v>4542</v>
      </c>
    </row>
    <row r="33" spans="1:2" ht="14.25" customHeight="1">
      <c r="A33" s="126">
        <v>1</v>
      </c>
      <c r="B33" s="127" t="s">
        <v>4543</v>
      </c>
    </row>
    <row r="34" spans="1:2" ht="14.25" customHeight="1">
      <c r="A34" s="126">
        <v>2</v>
      </c>
      <c r="B34" s="127" t="s">
        <v>4544</v>
      </c>
    </row>
    <row r="35" spans="1:2" ht="11.25" customHeight="1">
      <c r="B35" s="125" t="s">
        <v>4545</v>
      </c>
    </row>
    <row r="36" spans="1:2" ht="11.25" customHeight="1">
      <c r="B36" s="127" t="s">
        <v>4546</v>
      </c>
    </row>
  </sheetData>
  <sheetProtection insertRows="0" deleteColumns="0" deleteRows="0" sort="0" autoFilter="0"/>
  <pageMargins left="0.75" right="0.75" top="1" bottom="1" header="0.5" footer="0.5"/>
  <pageSetup paperSize="9" orientation="portrait"/>
  <headerFooter>
    <oddHeader>&amp;L&amp;C&amp;R</oddHeader>
    <oddFooter>&amp;L&amp;C&amp;R</oddFooter>
    <evenHeader>&amp;L&amp;C&amp;R</evenHeader>
    <evenFooter>&amp;L&amp;C&amp;R</even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89</vt:i4>
      </vt:variant>
      <vt:variant>
        <vt:lpstr>Именованные диапазоны</vt:lpstr>
      </vt:variant>
      <vt:variant>
        <vt:i4>2201</vt:i4>
      </vt:variant>
    </vt:vector>
  </HeadingPairs>
  <TitlesOfParts>
    <vt:vector size="2290" baseType="lpstr">
      <vt:lpstr>Инструкция</vt:lpstr>
      <vt:lpstr>Титульный</vt:lpstr>
      <vt:lpstr>Список территорий</vt:lpstr>
      <vt:lpstr>Дифференциация</vt:lpstr>
      <vt:lpstr>Перечень тарифов</vt:lpstr>
      <vt:lpstr>Дифференциация тариф показатель</vt:lpstr>
      <vt:lpstr>Общая информация об организации</vt:lpstr>
      <vt:lpstr>Общая информация по ВД</vt:lpstr>
      <vt:lpstr>Виды объектов</vt:lpstr>
      <vt:lpstr>Сведения по территориям</vt:lpstr>
      <vt:lpstr>ТС. Т-ТЭ | &gt;=25МВт</vt:lpstr>
      <vt:lpstr>ТС. Т-ТЭ | ТСО</vt:lpstr>
      <vt:lpstr>ТС. Т-ТЭ | предел</vt:lpstr>
      <vt:lpstr>ТС. Т-ТЭ | индикат</vt:lpstr>
      <vt:lpstr>ТС. Резерв мощности</vt:lpstr>
      <vt:lpstr>ТС. Т-ТН</vt:lpstr>
      <vt:lpstr>ТС. Т-передача ТЭ</vt:lpstr>
      <vt:lpstr>ТС. Т-передача ТН</vt:lpstr>
      <vt:lpstr>ТС. Т-гор.вода</vt:lpstr>
      <vt:lpstr>ТС. Т-подкл</vt:lpstr>
      <vt:lpstr>ХВС. Т-пит</vt:lpstr>
      <vt:lpstr>ХВС. Т-тех</vt:lpstr>
      <vt:lpstr>ХВС. Т-транс</vt:lpstr>
      <vt:lpstr>ХВС. Т-подвоз</vt:lpstr>
      <vt:lpstr>ТС. Т-подкл(инд)</vt:lpstr>
      <vt:lpstr>ХВС. Т-подкл</vt:lpstr>
      <vt:lpstr>ВО. Т-во</vt:lpstr>
      <vt:lpstr>ВО. Т-транс</vt:lpstr>
      <vt:lpstr>ВО. Т-подкл</vt:lpstr>
      <vt:lpstr>ГВС. Т-гор.вода</vt:lpstr>
      <vt:lpstr>ГВС. Т-транс</vt:lpstr>
      <vt:lpstr>ГВС. Т-подкл</vt:lpstr>
      <vt:lpstr>Показатели ФХД</vt:lpstr>
      <vt:lpstr>Показатели ФХД &gt;20%</vt:lpstr>
      <vt:lpstr>Показатели ОТЭП</vt:lpstr>
      <vt:lpstr>Стандарты качества</vt:lpstr>
      <vt:lpstr>ТКО. Показатели ФХД</vt:lpstr>
      <vt:lpstr>ТКО. Транс. Показатели ФХД</vt:lpstr>
      <vt:lpstr>Показатели КНЭ</vt:lpstr>
      <vt:lpstr>Ограничения</vt:lpstr>
      <vt:lpstr>ИП</vt:lpstr>
      <vt:lpstr>ИП. Детализация</vt:lpstr>
      <vt:lpstr>ИП. Финансовый план</vt:lpstr>
      <vt:lpstr>ИП. КНЭ</vt:lpstr>
      <vt:lpstr>ТП</vt:lpstr>
      <vt:lpstr>Договоры</vt:lpstr>
      <vt:lpstr>Порядок ТП</vt:lpstr>
      <vt:lpstr>Предложение</vt:lpstr>
      <vt:lpstr>Сведения о закупках</vt:lpstr>
      <vt:lpstr>Потребительские характеристики</vt:lpstr>
      <vt:lpstr>TEHSHEET</vt:lpstr>
      <vt:lpstr>Орган регулирования</vt:lpstr>
      <vt:lpstr>Перечень организаций</vt:lpstr>
      <vt:lpstr>Дела об установлении тарифов</vt:lpstr>
      <vt:lpstr>Дела об утверждении ПУЦ</vt:lpstr>
      <vt:lpstr>Привлечение к ответственности</vt:lpstr>
      <vt:lpstr>ЭД</vt:lpstr>
      <vt:lpstr>Сведения об изменении</vt:lpstr>
      <vt:lpstr>Комментарии</vt:lpstr>
      <vt:lpstr>Проверка</vt:lpstr>
      <vt:lpstr>et_union_hor</vt:lpstr>
      <vt:lpstr>DATA_FORMS</vt:lpstr>
      <vt:lpstr>DATA_NPA</vt:lpstr>
      <vt:lpstr>Т-ТЭ | потр</vt:lpstr>
      <vt:lpstr>modMainProcedures</vt:lpstr>
      <vt:lpstr>modB_FHD</vt:lpstr>
      <vt:lpstr>modB_FHD20</vt:lpstr>
      <vt:lpstr>modB_KNE</vt:lpstr>
      <vt:lpstr>modIP_MAIN</vt:lpstr>
      <vt:lpstr>modIP_QRE</vt:lpstr>
      <vt:lpstr>modIP_DETAILED</vt:lpstr>
      <vt:lpstr>et_union_vert</vt:lpstr>
      <vt:lpstr>Легенда</vt:lpstr>
      <vt:lpstr>modfrmListIP</vt:lpstr>
      <vt:lpstr>modfrmActivity</vt:lpstr>
      <vt:lpstr>REESTR_ORG</vt:lpstr>
      <vt:lpstr>REESTR_MO</vt:lpstr>
      <vt:lpstr>REESTR_IP</vt:lpstr>
      <vt:lpstr>REESTR_OBJ_INFR</vt:lpstr>
      <vt:lpstr>REESTR_DS</vt:lpstr>
      <vt:lpstr>REESTR_VT</vt:lpstr>
      <vt:lpstr>REESTR_VED</vt:lpstr>
      <vt:lpstr>REESTR_MO_FILTER</vt:lpstr>
      <vt:lpstr>REESTR_LINK</vt:lpstr>
      <vt:lpstr>modSheetMain</vt:lpstr>
      <vt:lpstr>modfrmReportMode</vt:lpstr>
      <vt:lpstr>modfrmReestrObj</vt:lpstr>
      <vt:lpstr>AllSheetsInThisWorkbook</vt:lpstr>
      <vt:lpstr>modInfo</vt:lpstr>
      <vt:lpstr>Проверка!_ФильтрБазыДанных</vt:lpstr>
      <vt:lpstr>B_FHD_CHECK_INDEX_1</vt:lpstr>
      <vt:lpstr>B_FHD_CHECK_INDEX_2</vt:lpstr>
      <vt:lpstr>B_FHD_COSTS_INDEX_1</vt:lpstr>
      <vt:lpstr>B_FHD_COSTS_INDEX_2</vt:lpstr>
      <vt:lpstr>B_FHD_DATA_TOP80_ACTIVITY</vt:lpstr>
      <vt:lpstr>B_FHD_diff_1</vt:lpstr>
      <vt:lpstr>B_FHD_FLAG_DIFFERENTIATION</vt:lpstr>
      <vt:lpstr>B_FHD_FLAG_INDEX_1</vt:lpstr>
      <vt:lpstr>B_FHD_FLAG_INDEX_2</vt:lpstr>
      <vt:lpstr>B_FHD_TKO_DATA_TOP80_ACTIVITY</vt:lpstr>
      <vt:lpstr>B_FHD_TKO_diff_1</vt:lpstr>
      <vt:lpstr>B_FHD_TKO_FLAG_DIFFERENTIATION</vt:lpstr>
      <vt:lpstr>B_FHD_TKO_TRANS_DATA_TOP80_ACTIVITY</vt:lpstr>
      <vt:lpstr>B_FHD_TKO_TRANS_diff_1</vt:lpstr>
      <vt:lpstr>B_FHD_TKO_TRANS_FLAG_DIFFERENTIATION</vt:lpstr>
      <vt:lpstr>B_FHD20_ADD_HL_2_COLUMN_MARKER</vt:lpstr>
      <vt:lpstr>B_FHD20_ADD_HL_3_COLUMN_MARKER</vt:lpstr>
      <vt:lpstr>B_FHD20_ADD_HL_4_COLUMN_MARKER</vt:lpstr>
      <vt:lpstr>B_FHD20_ALL_DATA</vt:lpstr>
      <vt:lpstr>B_FHD20_COSTS_OPS_diff_1</vt:lpstr>
      <vt:lpstr>B_FHD20_COSTS_PH_diff_1</vt:lpstr>
      <vt:lpstr>B_FHD20_DEL_HL_2_COLUMN_MARKER</vt:lpstr>
      <vt:lpstr>B_FHD20_DEL_HL_3_COLUMN_MARKER</vt:lpstr>
      <vt:lpstr>B_FHD20_DEL_HL_4_COLUMN_MARKER</vt:lpstr>
      <vt:lpstr>B_FHD20_diff_1</vt:lpstr>
      <vt:lpstr>B_FHD20_FLAG_FHD</vt:lpstr>
      <vt:lpstr>B_FHD20_NUMBER_COLUMN_MARKER</vt:lpstr>
      <vt:lpstr>B_FHD20_PART_COLUMN_MARKER</vt:lpstr>
      <vt:lpstr>B_KNE_diff_1</vt:lpstr>
      <vt:lpstr>B_OTEP_diff_1</vt:lpstr>
      <vt:lpstr>B_OTEP_FLAG_DIFFERENTIATION</vt:lpstr>
      <vt:lpstr>B_OTEP_HEAT_DATA_TOP80_ACTIVITY</vt:lpstr>
      <vt:lpstr>BLOCK_BALANCE_INDICATORS</vt:lpstr>
      <vt:lpstr>BLOCK_BALANCE_TKO_FLAG_TRANS</vt:lpstr>
      <vt:lpstr>BLOCK_CONNECTION_STATE</vt:lpstr>
      <vt:lpstr>BLOCK_DIFF_CS</vt:lpstr>
      <vt:lpstr>BLOCK_DIFFERENTIATION_NOT_TKO</vt:lpstr>
      <vt:lpstr>BLOCK_FIRST_TARIFF</vt:lpstr>
      <vt:lpstr>BLOCK_FIRST_TARIFF_OREG_PUBL</vt:lpstr>
      <vt:lpstr>BLOCK_IP_DETAILED_FACT_IST_FIN</vt:lpstr>
      <vt:lpstr>BLOCK_IP_DETAILED_FACT_PERIOD_EVENT</vt:lpstr>
      <vt:lpstr>BLOCK_MAIN_INFO_HEAT</vt:lpstr>
      <vt:lpstr>BLOCK_MAIN_INFO_NOT_TKO</vt:lpstr>
      <vt:lpstr>BLOCK_MAIN_INFO_OBJECT_COLDVSNA</vt:lpstr>
      <vt:lpstr>BLOCK_MAIN_INFO_OBJECT_COMM_COLDVSNA</vt:lpstr>
      <vt:lpstr>BLOCK_MAIN_INFO_OBJECT_COMM_HEAT</vt:lpstr>
      <vt:lpstr>BLOCK_MAIN_INFO_OBJECT_COMM_HOTVSNA</vt:lpstr>
      <vt:lpstr>BLOCK_MAIN_INFO_OBJECT_COMM_VOTV</vt:lpstr>
      <vt:lpstr>BLOCK_MAIN_INFO_OBJECT_HEAT</vt:lpstr>
      <vt:lpstr>BLOCK_MAIN_INFO_OBJECT_HOTVSNA</vt:lpstr>
      <vt:lpstr>BLOCK_MAIN_INFO_OBJECT_VOTV</vt:lpstr>
      <vt:lpstr>BLOCK_NOT_ROIV_INDICATORS_1</vt:lpstr>
      <vt:lpstr>BLOCK_NOT_ROIV_INDICATORS_2</vt:lpstr>
      <vt:lpstr>BLOCK_NOT_ROIV_INDICATORS_3</vt:lpstr>
      <vt:lpstr>BLOCK_NOTE_P_TARIFF_A</vt:lpstr>
      <vt:lpstr>BLOCK_NOTE_P_TARIFF_A_COLDVSNA</vt:lpstr>
      <vt:lpstr>BLOCK_NOTE_P_TARIFF_A_HOTVSNA</vt:lpstr>
      <vt:lpstr>BLOCK_NOTE_P_TARIFF_A_VOTV</vt:lpstr>
      <vt:lpstr>BLOCK_NOTE_P_TARIFF_B</vt:lpstr>
      <vt:lpstr>BLOCK_NOTE_P_TARIFF_B_COLDVSNA</vt:lpstr>
      <vt:lpstr>BLOCK_NOTE_P_TARIFF_B_HOTVSNA</vt:lpstr>
      <vt:lpstr>BLOCK_NOTE_P_TARIFF_B_VOTV</vt:lpstr>
      <vt:lpstr>BLOCK_NOTE_P_TARIFF_C</vt:lpstr>
      <vt:lpstr>BLOCK_NOTE_P_TARIFF_C_COLDVSNA</vt:lpstr>
      <vt:lpstr>BLOCK_NOTE_P_TARIFF_C_HOTVSNA</vt:lpstr>
      <vt:lpstr>BLOCK_NOTE_P_TARIFF_C_VOTV</vt:lpstr>
      <vt:lpstr>BLOCK_NOTE_P_TARIFF_D</vt:lpstr>
      <vt:lpstr>BLOCK_NOTE_P_TARIFF_D_COLDVSNA</vt:lpstr>
      <vt:lpstr>BLOCK_NOTE_P_TARIFF_E_COLDVSNA</vt:lpstr>
      <vt:lpstr>BLOCK_NOTE_P_TARIFF_E1</vt:lpstr>
      <vt:lpstr>BLOCK_NOTE_P_TARIFF_E2</vt:lpstr>
      <vt:lpstr>BLOCK_NOTE_P_TARIFF_F</vt:lpstr>
      <vt:lpstr>BLOCK_NOTE_P_TARIFF_G</vt:lpstr>
      <vt:lpstr>BLOCK_NOTE_P_TARIFF_H</vt:lpstr>
      <vt:lpstr>BLOCK_NOTE_P_TARIFF_I</vt:lpstr>
      <vt:lpstr>BLOCK_NOTE_P_TARIFF_I_1</vt:lpstr>
      <vt:lpstr>BLOCK_NOTE_R_TARIFF_A</vt:lpstr>
      <vt:lpstr>BLOCK_NOTE_R_TARIFF_A_COLDVSNA</vt:lpstr>
      <vt:lpstr>BLOCK_NOTE_R_TARIFF_A_HOTVSNA</vt:lpstr>
      <vt:lpstr>BLOCK_NOTE_R_TARIFF_A_VOTV</vt:lpstr>
      <vt:lpstr>BLOCK_NOTE_R_TARIFF_B</vt:lpstr>
      <vt:lpstr>BLOCK_NOTE_R_TARIFF_B_COLDVSNA</vt:lpstr>
      <vt:lpstr>BLOCK_NOTE_R_TARIFF_B_HOTVSNA</vt:lpstr>
      <vt:lpstr>BLOCK_NOTE_R_TARIFF_B_VOTV</vt:lpstr>
      <vt:lpstr>BLOCK_NOTE_R_TARIFF_C</vt:lpstr>
      <vt:lpstr>BLOCK_NOTE_R_TARIFF_C_COLDVSNA</vt:lpstr>
      <vt:lpstr>BLOCK_NOTE_R_TARIFF_C_HOTVSNA</vt:lpstr>
      <vt:lpstr>BLOCK_NOTE_R_TARIFF_C_VOTV</vt:lpstr>
      <vt:lpstr>BLOCK_NOTE_R_TARIFF_D</vt:lpstr>
      <vt:lpstr>BLOCK_NOTE_R_TARIFF_D_COLDVSNA</vt:lpstr>
      <vt:lpstr>BLOCK_NOTE_R_TARIFF_E_COLDVSNA</vt:lpstr>
      <vt:lpstr>BLOCK_NOTE_R_TARIFF_E1</vt:lpstr>
      <vt:lpstr>BLOCK_NOTE_R_TARIFF_E2</vt:lpstr>
      <vt:lpstr>BLOCK_NOTE_R_TARIFF_F</vt:lpstr>
      <vt:lpstr>BLOCK_NOTE_R_TARIFF_G</vt:lpstr>
      <vt:lpstr>BLOCK_NOTE_R_TARIFF_H</vt:lpstr>
      <vt:lpstr>BLOCK_NOTE_R_TARIFF_I</vt:lpstr>
      <vt:lpstr>BLOCK_NOTE_R_TARIFF_I_1</vt:lpstr>
      <vt:lpstr>BLOCK_PERIOD_DATA</vt:lpstr>
      <vt:lpstr>BLOCK_PERIOD_QUARTER</vt:lpstr>
      <vt:lpstr>BLOCK_PERIOD_TWO_DATA</vt:lpstr>
      <vt:lpstr>BLOCK_PERIOD_YEAR</vt:lpstr>
      <vt:lpstr>BLOCK_POK_FHD_COLDVSNA_P1</vt:lpstr>
      <vt:lpstr>BLOCK_POK_FHD_COLDVSNA_P2</vt:lpstr>
      <vt:lpstr>BLOCK_POK_FHD_HEAT_ONLY_REG_ORG_P1</vt:lpstr>
      <vt:lpstr>BLOCK_POK_FHD_HEAT_ONLY_REG_ORG_P2</vt:lpstr>
      <vt:lpstr>BLOCK_POK_FHD_HEAT_P1</vt:lpstr>
      <vt:lpstr>BLOCK_POK_FHD_HEAT_P2</vt:lpstr>
      <vt:lpstr>BLOCK_POK_FHD_HEAT_P3</vt:lpstr>
      <vt:lpstr>BLOCK_POK_FHD_HEAT_P4</vt:lpstr>
      <vt:lpstr>BLOCK_POK_FHD_HEAT_P5</vt:lpstr>
      <vt:lpstr>BLOCK_POK_FHD_HEAT_P6</vt:lpstr>
      <vt:lpstr>BLOCK_POK_FHD_HOTVSNA_P1</vt:lpstr>
      <vt:lpstr>BLOCK_POK_FHD_HOTVSNA_P2</vt:lpstr>
      <vt:lpstr>BLOCK_POK_FHD_NOT_HEAT_P1</vt:lpstr>
      <vt:lpstr>BLOCK_POK_FHD_NOT_HEAT_P2</vt:lpstr>
      <vt:lpstr>BLOCK_POK_FHD_NOT_HOTVSNA</vt:lpstr>
      <vt:lpstr>BLOCK_POK_FHD_VOTV_P1</vt:lpstr>
      <vt:lpstr>BLOCK_POK_FHD_VSNA</vt:lpstr>
      <vt:lpstr>BLOCK_POK_FHD20_NOT_HEAT</vt:lpstr>
      <vt:lpstr>BLOCK_POK_KNE_COLDVSNA</vt:lpstr>
      <vt:lpstr>BLOCK_POK_KNE_HEAT</vt:lpstr>
      <vt:lpstr>BLOCK_POK_KNE_HOTVSNA</vt:lpstr>
      <vt:lpstr>BLOCK_POK_KNE_VOTV</vt:lpstr>
      <vt:lpstr>BLOCK_PRICE_INDICATORS_HEAT</vt:lpstr>
      <vt:lpstr>BLOCK_PRICE_INDICATORS_LEVEL</vt:lpstr>
      <vt:lpstr>BLOCK_PRICE_IST_TE</vt:lpstr>
      <vt:lpstr>BLOCK_PRICE_REQUEST</vt:lpstr>
      <vt:lpstr>BLOCK_PT_COLDVSNA</vt:lpstr>
      <vt:lpstr>BLOCK_PT_HEAT</vt:lpstr>
      <vt:lpstr>BLOCK_PT_HEAT_NOT_R</vt:lpstr>
      <vt:lpstr>BLOCK_PT_HEAT_NOT_R_TMP</vt:lpstr>
      <vt:lpstr>BLOCK_PT_HEAT_PHEAT</vt:lpstr>
      <vt:lpstr>BLOCK_PT_HEAT_PHEAT_HIDDEN_FORMULAS</vt:lpstr>
      <vt:lpstr>BLOCK_PT_HEAT_RHEAT</vt:lpstr>
      <vt:lpstr>BLOCK_PT_HEAT_RHEAT_HIDDEN_FORMULAS</vt:lpstr>
      <vt:lpstr>BLOCK_PT_HOTVSNA</vt:lpstr>
      <vt:lpstr>BLOCK_PT_VOTV</vt:lpstr>
      <vt:lpstr>BLOCK_TABLE_P_TARIFF_A</vt:lpstr>
      <vt:lpstr>BLOCK_TABLE_P_TARIFF_A_COLDVSNA</vt:lpstr>
      <vt:lpstr>BLOCK_TABLE_P_TARIFF_A_HOTVSNA</vt:lpstr>
      <vt:lpstr>BLOCK_TABLE_P_TARIFF_A_VOTV</vt:lpstr>
      <vt:lpstr>BLOCK_TABLE_P_TARIFF_B</vt:lpstr>
      <vt:lpstr>BLOCK_TABLE_P_TARIFF_B_COLDVSNA</vt:lpstr>
      <vt:lpstr>BLOCK_TABLE_P_TARIFF_B_HOTVSNA</vt:lpstr>
      <vt:lpstr>BLOCK_TABLE_P_TARIFF_B_VOTV</vt:lpstr>
      <vt:lpstr>BLOCK_TABLE_P_TARIFF_C</vt:lpstr>
      <vt:lpstr>BLOCK_TABLE_P_TARIFF_C_COLDVSNA</vt:lpstr>
      <vt:lpstr>BLOCK_TABLE_P_TARIFF_C_HOTVSNA</vt:lpstr>
      <vt:lpstr>BLOCK_TABLE_P_TARIFF_C_VOTV</vt:lpstr>
      <vt:lpstr>BLOCK_TABLE_P_TARIFF_D</vt:lpstr>
      <vt:lpstr>BLOCK_TABLE_P_TARIFF_D_COLDVSNA</vt:lpstr>
      <vt:lpstr>BLOCK_TABLE_P_TARIFF_E_COLDVSNA</vt:lpstr>
      <vt:lpstr>BLOCK_TABLE_P_TARIFF_E1</vt:lpstr>
      <vt:lpstr>BLOCK_TABLE_P_TARIFF_E2</vt:lpstr>
      <vt:lpstr>BLOCK_TABLE_P_TARIFF_F</vt:lpstr>
      <vt:lpstr>BLOCK_TABLE_P_TARIFF_G</vt:lpstr>
      <vt:lpstr>BLOCK_TABLE_P_TARIFF_H</vt:lpstr>
      <vt:lpstr>BLOCK_TABLE_P_TARIFF_I</vt:lpstr>
      <vt:lpstr>BLOCK_TABLE_P_TARIFF_I_1</vt:lpstr>
      <vt:lpstr>BLOCK_TABLE_R_TARIFF_A</vt:lpstr>
      <vt:lpstr>BLOCK_TABLE_R_TARIFF_A_COLDVSNA</vt:lpstr>
      <vt:lpstr>BLOCK_TABLE_R_TARIFF_A_HOTVSNA</vt:lpstr>
      <vt:lpstr>BLOCK_TABLE_R_TARIFF_A_VOTV</vt:lpstr>
      <vt:lpstr>BLOCK_TABLE_R_TARIFF_B</vt:lpstr>
      <vt:lpstr>BLOCK_TABLE_R_TARIFF_B_COLDVSNA</vt:lpstr>
      <vt:lpstr>BLOCK_TABLE_R_TARIFF_B_HOTVSNA</vt:lpstr>
      <vt:lpstr>BLOCK_TABLE_R_TARIFF_B_VOTV</vt:lpstr>
      <vt:lpstr>BLOCK_TABLE_R_TARIFF_C</vt:lpstr>
      <vt:lpstr>BLOCK_TABLE_R_TARIFF_C_COLDVSNA</vt:lpstr>
      <vt:lpstr>BLOCK_TABLE_R_TARIFF_C_HOTVSNA</vt:lpstr>
      <vt:lpstr>BLOCK_TABLE_R_TARIFF_C_VOTV</vt:lpstr>
      <vt:lpstr>BLOCK_TABLE_R_TARIFF_D</vt:lpstr>
      <vt:lpstr>BLOCK_TABLE_R_TARIFF_D_COLDVSNA</vt:lpstr>
      <vt:lpstr>BLOCK_TABLE_R_TARIFF_E_COLDVSNA</vt:lpstr>
      <vt:lpstr>BLOCK_TABLE_R_TARIFF_E1</vt:lpstr>
      <vt:lpstr>BLOCK_TABLE_R_TARIFF_E2</vt:lpstr>
      <vt:lpstr>BLOCK_TABLE_R_TARIFF_F</vt:lpstr>
      <vt:lpstr>BLOCK_TABLE_R_TARIFF_G</vt:lpstr>
      <vt:lpstr>BLOCK_TABLE_R_TARIFF_H</vt:lpstr>
      <vt:lpstr>BLOCK_TABLE_R_TARIFF_I</vt:lpstr>
      <vt:lpstr>BLOCK_TABLE_R_TARIFF_I_1</vt:lpstr>
      <vt:lpstr>BLOCK_TEMPLATES_INVEST_TIT</vt:lpstr>
      <vt:lpstr>BLOCK_TERMS_HEAT_P1</vt:lpstr>
      <vt:lpstr>BLOCK_TERMS_NOT_TKO_P1</vt:lpstr>
      <vt:lpstr>BLOCK_TERMS_NOT_TKO_P2</vt:lpstr>
      <vt:lpstr>BLOCK_TERMS_TKO_TRANS</vt:lpstr>
      <vt:lpstr>BLOCK_TERRITORY_INFO</vt:lpstr>
      <vt:lpstr>BLOCK_TITLE_ROIV_INFO</vt:lpstr>
      <vt:lpstr>BLOCK_WARM_ORG_TYPE</vt:lpstr>
      <vt:lpstr>checkCell_List01</vt:lpstr>
      <vt:lpstr>checkCell_List07</vt:lpstr>
      <vt:lpstr>CLASS_TKO_LIST</vt:lpstr>
      <vt:lpstr>code</vt:lpstr>
      <vt:lpstr>CodeTemplateList</vt:lpstr>
      <vt:lpstr>COLDVSNA_FIN_SRC_LIST</vt:lpstr>
      <vt:lpstr>COLDVSNA_FIN_SRC_VLD_LIST</vt:lpstr>
      <vt:lpstr>COLDVSNA_IP_EVENT_CI_STAGE_LIST</vt:lpstr>
      <vt:lpstr>COLDVSNA_IP_EVENT_GROUP_LIST</vt:lpstr>
      <vt:lpstr>COLDVSNA_IP_EVENT_SUBGROUP_1_LIST</vt:lpstr>
      <vt:lpstr>COLDVSNA_IP_EVENT_SUBGROUP_3_LIST</vt:lpstr>
      <vt:lpstr>COLDVSNA_IP_EVENT_SUBGROUP_5_LIST</vt:lpstr>
      <vt:lpstr>COLDVSNA_IP_EVENT_TYPE_LIST</vt:lpstr>
      <vt:lpstr>COLDVSNA_PT_VED_ID</vt:lpstr>
      <vt:lpstr>COLDVSNA_PT_VED_NAME</vt:lpstr>
      <vt:lpstr>COLDVSNA_PT_VED_NAME_LIST</vt:lpstr>
      <vt:lpstr>COLDVSNA_TARIFF_A_COLDVSNA_ADD_HL_COLUMN_MARKER</vt:lpstr>
      <vt:lpstr>COLDVSNA_TARIFF_A_COLDVSNA_DEL_HL_DATA_DIFF_COLUMN_MARKER</vt:lpstr>
      <vt:lpstr>COLDVSNA_TARIFF_A_COLDVSNA_DEL_HL_FLAG_DIFF_COLUMN_MARKER</vt:lpstr>
      <vt:lpstr>COLDVSNA_TARIFF_A_COLDVSNA_DEL_HL_GC_COLUMN_MARKER</vt:lpstr>
      <vt:lpstr>COLDVSNA_TARIFF_A_COLDVSNA_DELETE_PERIOD_ROW_MARKER</vt:lpstr>
      <vt:lpstr>COLDVSNA_TARIFF_A_COLDVSNA_FLAG_BLOCK_COLUMN_MARKER</vt:lpstr>
      <vt:lpstr>COLDVSNA_TARIFF_A_COLDVSNA_FLAG_BLOCK_ROW_MARKER</vt:lpstr>
      <vt:lpstr>COLDVSNA_TARIFF_A_COLDVSNA_NUM_CS_COLUMN_MARKER</vt:lpstr>
      <vt:lpstr>COLDVSNA_TARIFF_A_COLDVSNA_NUM_DATA_DIFF_COLUMN_MARKER</vt:lpstr>
      <vt:lpstr>COLDVSNA_TARIFF_A_COLDVSNA_NUM_FLAG_DIFF_COLUMN_MARKER</vt:lpstr>
      <vt:lpstr>COLDVSNA_TARIFF_A_COLDVSNA_NUM_GC_COLUMN_MARKER</vt:lpstr>
      <vt:lpstr>COLDVSNA_TARIFF_A_COLDVSNA_NUM_NTAR_COLUMN_MARKER</vt:lpstr>
      <vt:lpstr>COLDVSNA_TARIFF_A_COLDVSNA_NUM_TER_COLUMN_MARKER</vt:lpstr>
      <vt:lpstr>COLDVSNA_TARIFF_B_COLDVSNA_ADD_HL_COLUMN_MARKER</vt:lpstr>
      <vt:lpstr>COLDVSNA_TARIFF_B_COLDVSNA_DEL_HL_DATA_DIFF_COLUMN_MARKER</vt:lpstr>
      <vt:lpstr>COLDVSNA_TARIFF_B_COLDVSNA_DEL_HL_FLAG_DIFF_COLUMN_MARKER</vt:lpstr>
      <vt:lpstr>COLDVSNA_TARIFF_B_COLDVSNA_DEL_HL_GC_COLUMN_MARKER</vt:lpstr>
      <vt:lpstr>COLDVSNA_TARIFF_B_COLDVSNA_DELETE_PERIOD_ROW_MARKER</vt:lpstr>
      <vt:lpstr>COLDVSNA_TARIFF_B_COLDVSNA_FLAG_BLOCK_COLUMN_MARKER</vt:lpstr>
      <vt:lpstr>COLDVSNA_TARIFF_B_COLDVSNA_FLAG_BLOCK_ROW_MARKER</vt:lpstr>
      <vt:lpstr>COLDVSNA_TARIFF_B_COLDVSNA_NUM_CS_COLUMN_MARKER</vt:lpstr>
      <vt:lpstr>COLDVSNA_TARIFF_B_COLDVSNA_NUM_DATA_DIFF_COLUMN_MARKER</vt:lpstr>
      <vt:lpstr>COLDVSNA_TARIFF_B_COLDVSNA_NUM_FLAG_DIFF_COLUMN_MARKER</vt:lpstr>
      <vt:lpstr>COLDVSNA_TARIFF_B_COLDVSNA_NUM_GC_COLUMN_MARKER</vt:lpstr>
      <vt:lpstr>COLDVSNA_TARIFF_B_COLDVSNA_NUM_NTAR_COLUMN_MARKER</vt:lpstr>
      <vt:lpstr>COLDVSNA_TARIFF_B_COLDVSNA_NUM_TER_COLUMN_MARKER</vt:lpstr>
      <vt:lpstr>COLDVSNA_TARIFF_C_COLDVSNA_ADD_HL_COLUMN_MARKER</vt:lpstr>
      <vt:lpstr>COLDVSNA_TARIFF_C_COLDVSNA_DEL_HL_DATA_DIFF_COLUMN_MARKER</vt:lpstr>
      <vt:lpstr>COLDVSNA_TARIFF_C_COLDVSNA_DEL_HL_FLAG_DIFF_COLUMN_MARKER</vt:lpstr>
      <vt:lpstr>COLDVSNA_TARIFF_C_COLDVSNA_DEL_HL_GC_COLUMN_MARKER</vt:lpstr>
      <vt:lpstr>COLDVSNA_TARIFF_C_COLDVSNA_DELETE_PERIOD_ROW_MARKER</vt:lpstr>
      <vt:lpstr>COLDVSNA_TARIFF_C_COLDVSNA_FLAG_BLOCK_COLUMN_MARKER</vt:lpstr>
      <vt:lpstr>COLDVSNA_TARIFF_C_COLDVSNA_FLAG_BLOCK_ROW_MARKER</vt:lpstr>
      <vt:lpstr>COLDVSNA_TARIFF_C_COLDVSNA_NUM_CS_COLUMN_MARKER</vt:lpstr>
      <vt:lpstr>COLDVSNA_TARIFF_C_COLDVSNA_NUM_DATA_DIFF_COLUMN_MARKER</vt:lpstr>
      <vt:lpstr>COLDVSNA_TARIFF_C_COLDVSNA_NUM_FLAG_DIFF_COLUMN_MARKER</vt:lpstr>
      <vt:lpstr>COLDVSNA_TARIFF_C_COLDVSNA_NUM_GC_COLUMN_MARKER</vt:lpstr>
      <vt:lpstr>COLDVSNA_TARIFF_C_COLDVSNA_NUM_NTAR_COLUMN_MARKER</vt:lpstr>
      <vt:lpstr>COLDVSNA_TARIFF_C_COLDVSNA_NUM_TER_COLUMN_MARKER</vt:lpstr>
      <vt:lpstr>COLDVSNA_TARIFF_D_COLDVSNA_ADD_HL_COLUMN_MARKER</vt:lpstr>
      <vt:lpstr>COLDVSNA_TARIFF_D_COLDVSNA_DEL_HL_DATA_DIFF_COLUMN_MARKER</vt:lpstr>
      <vt:lpstr>COLDVSNA_TARIFF_D_COLDVSNA_DEL_HL_FLAG_DIFF_COLUMN_MARKER</vt:lpstr>
      <vt:lpstr>COLDVSNA_TARIFF_D_COLDVSNA_DEL_HL_GC_COLUMN_MARKER</vt:lpstr>
      <vt:lpstr>COLDVSNA_TARIFF_D_COLDVSNA_DELETE_PERIOD_ROW_MARKER</vt:lpstr>
      <vt:lpstr>COLDVSNA_TARIFF_D_COLDVSNA_FLAG_BLOCK_COLUMN_MARKER</vt:lpstr>
      <vt:lpstr>COLDVSNA_TARIFF_D_COLDVSNA_FLAG_BLOCK_ROW_MARKER</vt:lpstr>
      <vt:lpstr>COLDVSNA_TARIFF_D_COLDVSNA_NUM_CS_COLUMN_MARKER</vt:lpstr>
      <vt:lpstr>COLDVSNA_TARIFF_D_COLDVSNA_NUM_DATA_DIFF_COLUMN_MARKER</vt:lpstr>
      <vt:lpstr>COLDVSNA_TARIFF_D_COLDVSNA_NUM_FLAG_DIFF_COLUMN_MARKER</vt:lpstr>
      <vt:lpstr>COLDVSNA_TARIFF_D_COLDVSNA_NUM_GC_COLUMN_MARKER</vt:lpstr>
      <vt:lpstr>COLDVSNA_TARIFF_D_COLDVSNA_NUM_NTAR_COLUMN_MARKER</vt:lpstr>
      <vt:lpstr>COLDVSNA_TARIFF_D_COLDVSNA_NUM_TER_COLUMN_MARKER</vt:lpstr>
      <vt:lpstr>COLDVSNA_TARIFF_E_COLDVSNA_ADD_HL_COLUMN_MARKER</vt:lpstr>
      <vt:lpstr>COLDVSNA_TARIFF_E_COLDVSNA_ADD_HL_DIAMETERS_COLUMN_MARKER</vt:lpstr>
      <vt:lpstr>COLDVSNA_TARIFF_E_COLDVSNA_ADD_HL_LEN_COLUMN_MARKER</vt:lpstr>
      <vt:lpstr>COLDVSNA_TARIFF_E_COLDVSNA_ADD_HL_LOAD_COLUMN_MARKER</vt:lpstr>
      <vt:lpstr>COLDVSNA_TARIFF_E_COLDVSNA_ADD_HL_NETS_COLUMN_MARKER</vt:lpstr>
      <vt:lpstr>COLDVSNA_TARIFF_E_COLDVSNA_DEL_HL_DATA_DIFF_COLUMN_MARKER</vt:lpstr>
      <vt:lpstr>COLDVSNA_TARIFF_E_COLDVSNA_DEL_HL_DIAMETERS_COLUMN_MARKER</vt:lpstr>
      <vt:lpstr>COLDVSNA_TARIFF_E_COLDVSNA_DEL_HL_FLAG_DIFF_COLUMN_MARKER</vt:lpstr>
      <vt:lpstr>COLDVSNA_TARIFF_E_COLDVSNA_DEL_HL_GC_COLUMN_MARKER</vt:lpstr>
      <vt:lpstr>COLDVSNA_TARIFF_E_COLDVSNA_DEL_HL_LEN_COLUMN_MARKER</vt:lpstr>
      <vt:lpstr>COLDVSNA_TARIFF_E_COLDVSNA_DEL_HL_LOAD_COLUMN_MARKER</vt:lpstr>
      <vt:lpstr>COLDVSNA_TARIFF_E_COLDVSNA_DEL_HL_NETS_COLUMN_MARKER</vt:lpstr>
      <vt:lpstr>COLDVSNA_TARIFF_E_COLDVSNA_DELETE_PERIOD_ROW_MARKER</vt:lpstr>
      <vt:lpstr>COLDVSNA_TARIFF_E_COLDVSNA_FLAG_BLOCK_COLUMN_MARKER</vt:lpstr>
      <vt:lpstr>COLDVSNA_TARIFF_E_COLDVSNA_FLAG_BLOCK_ROW_MARKER</vt:lpstr>
      <vt:lpstr>COLDVSNA_TARIFF_E_COLDVSNA_NUM_CS_COLUMN_MARKER</vt:lpstr>
      <vt:lpstr>COLDVSNA_TARIFF_E_COLDVSNA_NUM_DATA_DIFF_COLUMN_MARKER</vt:lpstr>
      <vt:lpstr>COLDVSNA_TARIFF_E_COLDVSNA_NUM_DIAMETERS_COLUMN_MARKER</vt:lpstr>
      <vt:lpstr>COLDVSNA_TARIFF_E_COLDVSNA_NUM_FLAG_DIFF_COLUMN_MARKER</vt:lpstr>
      <vt:lpstr>COLDVSNA_TARIFF_E_COLDVSNA_NUM_GC_COLUMN_MARKER</vt:lpstr>
      <vt:lpstr>COLDVSNA_TARIFF_E_COLDVSNA_NUM_LEN_COLUMN_MARKER</vt:lpstr>
      <vt:lpstr>COLDVSNA_TARIFF_E_COLDVSNA_NUM_LOAD_COLUMN_MARKER</vt:lpstr>
      <vt:lpstr>COLDVSNA_TARIFF_E_COLDVSNA_NUM_NETS_COLUMN_MARKER</vt:lpstr>
      <vt:lpstr>COLDVSNA_TARIFF_E_COLDVSNA_NUM_NTAR_COLUMN_MARKER</vt:lpstr>
      <vt:lpstr>COLDVSNA_TARIFF_E_COLDVSNA_NUM_TER_COLUMN_MARKER</vt:lpstr>
      <vt:lpstr>cross_without_borders</vt:lpstr>
      <vt:lpstr>CS_ID</vt:lpstr>
      <vt:lpstr>CURRENT_DATE</vt:lpstr>
      <vt:lpstr>CURRENT_YEAR</vt:lpstr>
      <vt:lpstr>DATA_URL</vt:lpstr>
      <vt:lpstr>DESCRIPTION_TERRITORY</vt:lpstr>
      <vt:lpstr>DIFFERENTIATION_AREA</vt:lpstr>
      <vt:lpstr>DIFFERENTIATION_AREA_ID</vt:lpstr>
      <vt:lpstr>DIFFERENTIATION_CheckC</vt:lpstr>
      <vt:lpstr>DIFFERENTIATION_fieldMarker</vt:lpstr>
      <vt:lpstr>DIFFERENTIATION_ID</vt:lpstr>
      <vt:lpstr>DIFFERENTIATION_ID_DIFF</vt:lpstr>
      <vt:lpstr>DIFFERENTIATION_SYSTEM</vt:lpstr>
      <vt:lpstr>DIFFERENTIATION_TARIFF_AREA_ID</vt:lpstr>
      <vt:lpstr>DIFFERENTIATION_TARIFF_VD_ID</vt:lpstr>
      <vt:lpstr>DIFFERENTIATION_TARIFF_VTAR_ID</vt:lpstr>
      <vt:lpstr>DIFFERENTIATION_TKO_ADD_HL_CLASS_TKO_COLUMN_MARKER</vt:lpstr>
      <vt:lpstr>DIFFERENTIATION_TKO_ADD_HL_NTAR_COLUMN_MARKER</vt:lpstr>
      <vt:lpstr>DIFFERENTIATION_TKO_ADD_HL_TER_COLUMN_MARKER</vt:lpstr>
      <vt:lpstr>DIFFERENTIATION_TKO_ADD_HL_TO_COLUMN_MARKER</vt:lpstr>
      <vt:lpstr>DIFFERENTIATION_TKO_ADD_HL_TYPE_TKO_COLUMN_MARKER</vt:lpstr>
      <vt:lpstr>DIFFERENTIATION_TKO_ADD_HL_VTAR_COLUMN_MARKER</vt:lpstr>
      <vt:lpstr>DIFFERENTIATION_TKO_AREA_ID</vt:lpstr>
      <vt:lpstr>DIFFERENTIATION_TKO_DEL_HL_CLASS_TKO_COLUMN_MARKER</vt:lpstr>
      <vt:lpstr>DIFFERENTIATION_TKO_DEL_HL_NTAR_COLUMN_MARKER</vt:lpstr>
      <vt:lpstr>DIFFERENTIATION_TKO_DEL_HL_TER_COLUMN_MARKER</vt:lpstr>
      <vt:lpstr>DIFFERENTIATION_TKO_DEL_HL_TO_COLUMN_MARKER</vt:lpstr>
      <vt:lpstr>DIFFERENTIATION_TKO_DEL_HL_TYPE_TKO_COLUMN_MARKER</vt:lpstr>
      <vt:lpstr>DIFFERENTIATION_TKO_FLAG_DIFF_CLASS_TKO_ETC_COLUMN_MARKER</vt:lpstr>
      <vt:lpstr>DIFFERENTIATION_TKO_FLAG_DIFF_CLASS_TKO_TARIFF_COLUMN_MARKER</vt:lpstr>
      <vt:lpstr>DIFFERENTIATION_TKO_FLAG_DIFF_TER_ETC_COLUMN_MARKER</vt:lpstr>
      <vt:lpstr>DIFFERENTIATION_TKO_FLAG_DIFF_TER_TARIFF_COLUMN_MARKER</vt:lpstr>
      <vt:lpstr>DIFFERENTIATION_TKO_FLAG_DIFF_TO_ETC_COLUMN_MARKER</vt:lpstr>
      <vt:lpstr>DIFFERENTIATION_TKO_FLAG_DIFF_TO_TARIFF_COLUMN_MARKER</vt:lpstr>
      <vt:lpstr>DIFFERENTIATION_TKO_FLAG_DIFF_TYPE_TKO_ETC_COLUMN_MARKER</vt:lpstr>
      <vt:lpstr>DIFFERENTIATION_TKO_FLAG_DIFF_TYPE_TKO_TARIFF_COLUMN_MARKER</vt:lpstr>
      <vt:lpstr>DIFFERENTIATION_TKO_FLAG_VTAR_COLUMN_MARKER</vt:lpstr>
      <vt:lpstr>DIFFERENTIATION_TKO_TER_ID</vt:lpstr>
      <vt:lpstr>DIFFERENTIATION_UNMERGE_AREA</vt:lpstr>
      <vt:lpstr>DIFFERENTIATION_UNMERGE_SYSTEM</vt:lpstr>
      <vt:lpstr>DIFFERENTIATION_UNMERGE_VD</vt:lpstr>
      <vt:lpstr>DIFFERENTIATION_VD</vt:lpstr>
      <vt:lpstr>DIFFERENTIATION_VD_ID</vt:lpstr>
      <vt:lpstr>ED_DATE</vt:lpstr>
      <vt:lpstr>ED_DATE_PARKING</vt:lpstr>
      <vt:lpstr>ED_LINK</vt:lpstr>
      <vt:lpstr>EndDateList</vt:lpstr>
      <vt:lpstr>et_B_FHD20_1</vt:lpstr>
      <vt:lpstr>et_B_FHD20_1_HEAT</vt:lpstr>
      <vt:lpstr>et_B_FHD20_1_NOT_HEAT</vt:lpstr>
      <vt:lpstr>et_B_FHD20_2</vt:lpstr>
      <vt:lpstr>et_B_FHD20_3</vt:lpstr>
      <vt:lpstr>et_B_FHD20_4</vt:lpstr>
      <vt:lpstr>et_B_STANDARTS</vt:lpstr>
      <vt:lpstr>et_CHANGE_INFO</vt:lpstr>
      <vt:lpstr>et_COLDVSNA_TARIFF_A_COLDVSNA_CS</vt:lpstr>
      <vt:lpstr>et_COLDVSNA_TARIFF_A_COLDVSNA_DATA_DIFF</vt:lpstr>
      <vt:lpstr>et_COLDVSNA_TARIFF_A_COLDVSNA_FLAG_DIFF</vt:lpstr>
      <vt:lpstr>et_COLDVSNA_TARIFF_A_COLDVSNA_GC</vt:lpstr>
      <vt:lpstr>et_COLDVSNA_TARIFF_A_COLDVSNA_NTAR</vt:lpstr>
      <vt:lpstr>et_COLDVSNA_TARIFF_A_COLDVSNA_PERIOD_COLOR</vt:lpstr>
      <vt:lpstr>et_COLDVSNA_TARIFF_A_COLDVSNA_PERIOD_NOT_COLOR</vt:lpstr>
      <vt:lpstr>et_COLDVSNA_TARIFF_A_COLDVSNA_TER</vt:lpstr>
      <vt:lpstr>et_COLDVSNA_TARIFF_A_COLDVSNA_TN</vt:lpstr>
      <vt:lpstr>et_COLDVSNA_TARIFF_B_COLDVSNA_CS</vt:lpstr>
      <vt:lpstr>et_COLDVSNA_TARIFF_B_COLDVSNA_DATA_DIFF</vt:lpstr>
      <vt:lpstr>et_COLDVSNA_TARIFF_B_COLDVSNA_FLAG_DIFF</vt:lpstr>
      <vt:lpstr>et_COLDVSNA_TARIFF_B_COLDVSNA_GC</vt:lpstr>
      <vt:lpstr>et_COLDVSNA_TARIFF_B_COLDVSNA_NTAR</vt:lpstr>
      <vt:lpstr>et_COLDVSNA_TARIFF_B_COLDVSNA_PERIOD_COLOR</vt:lpstr>
      <vt:lpstr>et_COLDVSNA_TARIFF_B_COLDVSNA_PERIOD_NOT_COLOR</vt:lpstr>
      <vt:lpstr>et_COLDVSNA_TARIFF_B_COLDVSNA_TER</vt:lpstr>
      <vt:lpstr>et_COLDVSNA_TARIFF_C_COLDVSNA_CS</vt:lpstr>
      <vt:lpstr>et_COLDVSNA_TARIFF_C_COLDVSNA_DATA_DIFF</vt:lpstr>
      <vt:lpstr>et_COLDVSNA_TARIFF_C_COLDVSNA_FLAG_DIFF</vt:lpstr>
      <vt:lpstr>et_COLDVSNA_TARIFF_C_COLDVSNA_GC</vt:lpstr>
      <vt:lpstr>et_COLDVSNA_TARIFF_C_COLDVSNA_NTAR</vt:lpstr>
      <vt:lpstr>et_COLDVSNA_TARIFF_C_COLDVSNA_PERIOD_COLOR</vt:lpstr>
      <vt:lpstr>et_COLDVSNA_TARIFF_C_COLDVSNA_PERIOD_NOT_COLOR</vt:lpstr>
      <vt:lpstr>et_COLDVSNA_TARIFF_C_COLDVSNA_TER</vt:lpstr>
      <vt:lpstr>et_COLDVSNA_TARIFF_D_COLDVSNA_CS</vt:lpstr>
      <vt:lpstr>et_COLDVSNA_TARIFF_D_COLDVSNA_DATA_DIFF</vt:lpstr>
      <vt:lpstr>et_COLDVSNA_TARIFF_D_COLDVSNA_FLAG_DIFF</vt:lpstr>
      <vt:lpstr>et_COLDVSNA_TARIFF_D_COLDVSNA_GC</vt:lpstr>
      <vt:lpstr>et_COLDVSNA_TARIFF_D_COLDVSNA_NTAR</vt:lpstr>
      <vt:lpstr>et_COLDVSNA_TARIFF_D_COLDVSNA_PERIOD_COLOR</vt:lpstr>
      <vt:lpstr>et_COLDVSNA_TARIFF_D_COLDVSNA_PERIOD_NOT_COLOR</vt:lpstr>
      <vt:lpstr>et_COLDVSNA_TARIFF_D_COLDVSNA_TER</vt:lpstr>
      <vt:lpstr>et_COLDVSNA_TARIFF_E_COLDVSNA_CS</vt:lpstr>
      <vt:lpstr>et_COLDVSNA_TARIFF_E_COLDVSNA_DATA_DIFF</vt:lpstr>
      <vt:lpstr>et_COLDVSNA_TARIFF_E_COLDVSNA_DIAMETERS</vt:lpstr>
      <vt:lpstr>et_COLDVSNA_TARIFF_E_COLDVSNA_FLAG_DIFF</vt:lpstr>
      <vt:lpstr>et_COLDVSNA_TARIFF_E_COLDVSNA_GC</vt:lpstr>
      <vt:lpstr>et_COLDVSNA_TARIFF_E_COLDVSNA_LEN</vt:lpstr>
      <vt:lpstr>et_COLDVSNA_TARIFF_E_COLDVSNA_LOAD</vt:lpstr>
      <vt:lpstr>et_COLDVSNA_TARIFF_E_COLDVSNA_NETS</vt:lpstr>
      <vt:lpstr>et_COLDVSNA_TARIFF_E_COLDVSNA_NTAR</vt:lpstr>
      <vt:lpstr>et_COLDVSNA_TARIFF_E_COLDVSNA_PERIOD_COLOR</vt:lpstr>
      <vt:lpstr>et_COLDVSNA_TARIFF_E_COLDVSNA_PERIOD_NOT_COLOR</vt:lpstr>
      <vt:lpstr>et_COLDVSNA_TARIFF_E_COLDVSNA_TER</vt:lpstr>
      <vt:lpstr>et_Comm</vt:lpstr>
      <vt:lpstr>et_DIFFERENTIATION_AREA</vt:lpstr>
      <vt:lpstr>et_DIFFERENTIATION_SYSTEM</vt:lpstr>
      <vt:lpstr>et_DIFFERENTIATION_TARIFF_COLOR</vt:lpstr>
      <vt:lpstr>et_DIFFERENTIATION_TARIFF_CS</vt:lpstr>
      <vt:lpstr>et_DIFFERENTIATION_TARIFF_IST_TE</vt:lpstr>
      <vt:lpstr>et_DIFFERENTIATION_TARIFF_NOT_COLOR</vt:lpstr>
      <vt:lpstr>et_DIFFERENTIATION_TARIFF_NOT_HEAT_COLOR</vt:lpstr>
      <vt:lpstr>et_DIFFERENTIATION_TARIFF_NOT_HEAT_CS</vt:lpstr>
      <vt:lpstr>et_DIFFERENTIATION_TARIFF_NOT_HEAT_NTAR</vt:lpstr>
      <vt:lpstr>et_DIFFERENTIATION_TARIFF_NOT_HEAT_TER</vt:lpstr>
      <vt:lpstr>et_DIFFERENTIATION_TARIFF_NOT_HEAT_VTAR</vt:lpstr>
      <vt:lpstr>et_DIFFERENTIATION_TARIFF_NTAR</vt:lpstr>
      <vt:lpstr>et_DIFFERENTIATION_TARIFF_TER</vt:lpstr>
      <vt:lpstr>et_DIFFERENTIATION_TARIFF_VTAR</vt:lpstr>
      <vt:lpstr>et_DIFFERENTIATION_TKO_CLASS_TKO</vt:lpstr>
      <vt:lpstr>et_DIFFERENTIATION_TKO_COLOR</vt:lpstr>
      <vt:lpstr>et_DIFFERENTIATION_TKO_NOT_COLOR</vt:lpstr>
      <vt:lpstr>et_DIFFERENTIATION_TKO_NTAR</vt:lpstr>
      <vt:lpstr>et_DIFFERENTIATION_TKO_TER</vt:lpstr>
      <vt:lpstr>et_DIFFERENTIATION_TKO_TO</vt:lpstr>
      <vt:lpstr>et_DIFFERENTIATION_TKO_TYPE_TKO</vt:lpstr>
      <vt:lpstr>et_DIFFERENTIATION_TKO_VTAR</vt:lpstr>
      <vt:lpstr>et_DIFFERENTIATION_VD</vt:lpstr>
      <vt:lpstr>et_ED</vt:lpstr>
      <vt:lpstr>et_HEAT_TARIFF_A_CS</vt:lpstr>
      <vt:lpstr>et_HEAT_TARIFF_A_GC</vt:lpstr>
      <vt:lpstr>et_HEAT_TARIFF_A_IST_TE</vt:lpstr>
      <vt:lpstr>et_HEAT_TARIFF_A_NTAR</vt:lpstr>
      <vt:lpstr>et_HEAT_TARIFF_A_PERIOD_COLOR</vt:lpstr>
      <vt:lpstr>et_HEAT_TARIFF_A_PERIOD_NOT_COLOR</vt:lpstr>
      <vt:lpstr>et_HEAT_TARIFF_A_SCHEME</vt:lpstr>
      <vt:lpstr>et_HEAT_TARIFF_A_TER</vt:lpstr>
      <vt:lpstr>et_HEAT_TARIFF_A_TN</vt:lpstr>
      <vt:lpstr>et_HEAT_TARIFF_B_CS</vt:lpstr>
      <vt:lpstr>et_HEAT_TARIFF_B_GC</vt:lpstr>
      <vt:lpstr>et_HEAT_TARIFF_B_IST_TE</vt:lpstr>
      <vt:lpstr>et_HEAT_TARIFF_B_NTAR</vt:lpstr>
      <vt:lpstr>et_HEAT_TARIFF_B_PERIOD_COLOR</vt:lpstr>
      <vt:lpstr>et_HEAT_TARIFF_B_PERIOD_NOT_COLOR</vt:lpstr>
      <vt:lpstr>et_HEAT_TARIFF_B_SCHEME</vt:lpstr>
      <vt:lpstr>et_HEAT_TARIFF_B_TER</vt:lpstr>
      <vt:lpstr>et_HEAT_TARIFF_B_TN</vt:lpstr>
      <vt:lpstr>et_HEAT_TARIFF_C_CS</vt:lpstr>
      <vt:lpstr>et_HEAT_TARIFF_C_GC</vt:lpstr>
      <vt:lpstr>et_HEAT_TARIFF_C_IST_TE</vt:lpstr>
      <vt:lpstr>et_HEAT_TARIFF_C_NTAR</vt:lpstr>
      <vt:lpstr>et_HEAT_TARIFF_C_PERIOD_COLOR</vt:lpstr>
      <vt:lpstr>et_HEAT_TARIFF_C_PERIOD_NOT_COLOR</vt:lpstr>
      <vt:lpstr>et_HEAT_TARIFF_C_SCHEME</vt:lpstr>
      <vt:lpstr>et_HEAT_TARIFF_C_TER</vt:lpstr>
      <vt:lpstr>et_HEAT_TARIFF_C_TN</vt:lpstr>
      <vt:lpstr>et_HEAT_TARIFF_D_CONS</vt:lpstr>
      <vt:lpstr>et_HEAT_TARIFF_D_CS</vt:lpstr>
      <vt:lpstr>et_HEAT_TARIFF_D_GC</vt:lpstr>
      <vt:lpstr>et_HEAT_TARIFF_D_IST_TE</vt:lpstr>
      <vt:lpstr>et_HEAT_TARIFF_D_NTAR</vt:lpstr>
      <vt:lpstr>et_HEAT_TARIFF_D_PERIOD_COLOR</vt:lpstr>
      <vt:lpstr>et_HEAT_TARIFF_D_PERIOD_NOT_COLOR</vt:lpstr>
      <vt:lpstr>et_HEAT_TARIFF_D_SCHEME</vt:lpstr>
      <vt:lpstr>et_HEAT_TARIFF_D_TER</vt:lpstr>
      <vt:lpstr>et_HEAT_TARIFF_D_TN</vt:lpstr>
      <vt:lpstr>et_HEAT_TARIFF_E1_CS</vt:lpstr>
      <vt:lpstr>et_HEAT_TARIFF_E1_GC</vt:lpstr>
      <vt:lpstr>et_HEAT_TARIFF_E1_IST_TE</vt:lpstr>
      <vt:lpstr>et_HEAT_TARIFF_E1_NTAR</vt:lpstr>
      <vt:lpstr>et_HEAT_TARIFF_E1_PERIOD_COLOR</vt:lpstr>
      <vt:lpstr>et_HEAT_TARIFF_E1_PERIOD_NOT_COLOR</vt:lpstr>
      <vt:lpstr>et_HEAT_TARIFF_E1_SCHEME</vt:lpstr>
      <vt:lpstr>et_HEAT_TARIFF_E1_TER</vt:lpstr>
      <vt:lpstr>et_HEAT_TARIFF_E1_TN</vt:lpstr>
      <vt:lpstr>et_HEAT_TARIFF_E2_CS</vt:lpstr>
      <vt:lpstr>et_HEAT_TARIFF_E2_GC</vt:lpstr>
      <vt:lpstr>et_HEAT_TARIFF_E2_IST_TE</vt:lpstr>
      <vt:lpstr>et_HEAT_TARIFF_E2_NTAR</vt:lpstr>
      <vt:lpstr>et_HEAT_TARIFF_E2_PERIOD_COLOR</vt:lpstr>
      <vt:lpstr>et_HEAT_TARIFF_E2_PERIOD_NOT_COLOR</vt:lpstr>
      <vt:lpstr>et_HEAT_TARIFF_E2_SCHEME</vt:lpstr>
      <vt:lpstr>et_HEAT_TARIFF_E2_TER</vt:lpstr>
      <vt:lpstr>et_HEAT_TARIFF_E2_TN</vt:lpstr>
      <vt:lpstr>et_HEAT_TARIFF_F_CS</vt:lpstr>
      <vt:lpstr>et_HEAT_TARIFF_F_GC</vt:lpstr>
      <vt:lpstr>et_HEAT_TARIFF_F_IST_TE</vt:lpstr>
      <vt:lpstr>et_HEAT_TARIFF_F_NTAR</vt:lpstr>
      <vt:lpstr>et_HEAT_TARIFF_F_PERIOD_COLOR</vt:lpstr>
      <vt:lpstr>et_HEAT_TARIFF_F_PERIOD_NOT_COLOR</vt:lpstr>
      <vt:lpstr>et_HEAT_TARIFF_F_SCHEME</vt:lpstr>
      <vt:lpstr>et_HEAT_TARIFF_F_TER</vt:lpstr>
      <vt:lpstr>et_HEAT_TARIFF_F_TN</vt:lpstr>
      <vt:lpstr>et_HEAT_TARIFF_G_CS</vt:lpstr>
      <vt:lpstr>et_HEAT_TARIFF_G_DIAMETERS</vt:lpstr>
      <vt:lpstr>et_HEAT_TARIFF_G_GC</vt:lpstr>
      <vt:lpstr>et_HEAT_TARIFF_G_IST_TE</vt:lpstr>
      <vt:lpstr>et_HEAT_TARIFF_G_LOAD</vt:lpstr>
      <vt:lpstr>et_HEAT_TARIFF_G_NETS</vt:lpstr>
      <vt:lpstr>et_HEAT_TARIFF_G_NTAR</vt:lpstr>
      <vt:lpstr>et_HEAT_TARIFF_G_PERIOD_COLOR</vt:lpstr>
      <vt:lpstr>et_HEAT_TARIFF_G_PERIOD_NOT_COLOR</vt:lpstr>
      <vt:lpstr>et_HEAT_TARIFF_G_SCHEME</vt:lpstr>
      <vt:lpstr>et_HEAT_TARIFF_G_TER</vt:lpstr>
      <vt:lpstr>et_HEAT_TARIFF_G_TN</vt:lpstr>
      <vt:lpstr>et_HEAT_TARIFF_H_CS</vt:lpstr>
      <vt:lpstr>et_HEAT_TARIFF_H_DIAMETERS</vt:lpstr>
      <vt:lpstr>et_HEAT_TARIFF_H_GC</vt:lpstr>
      <vt:lpstr>et_HEAT_TARIFF_H_IST_TE</vt:lpstr>
      <vt:lpstr>et_HEAT_TARIFF_H_LOAD</vt:lpstr>
      <vt:lpstr>et_HEAT_TARIFF_H_NETS</vt:lpstr>
      <vt:lpstr>et_HEAT_TARIFF_H_NTAR</vt:lpstr>
      <vt:lpstr>et_HEAT_TARIFF_H_PERIOD_COLOR</vt:lpstr>
      <vt:lpstr>et_HEAT_TARIFF_H_PERIOD_NOT_COLOR</vt:lpstr>
      <vt:lpstr>et_HEAT_TARIFF_H_SCHEME</vt:lpstr>
      <vt:lpstr>et_HEAT_TARIFF_H_TER</vt:lpstr>
      <vt:lpstr>et_HEAT_TARIFF_H_TN</vt:lpstr>
      <vt:lpstr>et_HEAT_TARIFF_I_1_CS</vt:lpstr>
      <vt:lpstr>et_HEAT_TARIFF_I_1_GC</vt:lpstr>
      <vt:lpstr>et_HEAT_TARIFF_I_1_IST_TE</vt:lpstr>
      <vt:lpstr>et_HEAT_TARIFF_I_1_NTAR</vt:lpstr>
      <vt:lpstr>et_HEAT_TARIFF_I_1_PERIOD_COLOR</vt:lpstr>
      <vt:lpstr>et_HEAT_TARIFF_I_1_PERIOD_NOT_COLOR</vt:lpstr>
      <vt:lpstr>et_HEAT_TARIFF_I_1_SCHEME</vt:lpstr>
      <vt:lpstr>et_HEAT_TARIFF_I_1_TER</vt:lpstr>
      <vt:lpstr>et_HEAT_TARIFF_I_1_TN</vt:lpstr>
      <vt:lpstr>et_HEAT_TARIFF_I_CS</vt:lpstr>
      <vt:lpstr>et_HEAT_TARIFF_I_GC</vt:lpstr>
      <vt:lpstr>et_HEAT_TARIFF_I_IST_TE</vt:lpstr>
      <vt:lpstr>et_HEAT_TARIFF_I_NTAR</vt:lpstr>
      <vt:lpstr>et_HEAT_TARIFF_I_PERIOD_COLOR</vt:lpstr>
      <vt:lpstr>et_HEAT_TARIFF_I_PERIOD_NOT_COLOR</vt:lpstr>
      <vt:lpstr>et_HEAT_TARIFF_I_SCHEME</vt:lpstr>
      <vt:lpstr>et_HEAT_TARIFF_I_TER</vt:lpstr>
      <vt:lpstr>et_HEAT_TARIFF_I_TN</vt:lpstr>
      <vt:lpstr>et_hor_B_FHD_1</vt:lpstr>
      <vt:lpstr>et_hor_B_FHD_2</vt:lpstr>
      <vt:lpstr>et_hor_B_FHD_3</vt:lpstr>
      <vt:lpstr>et_hor_B_FHD_4</vt:lpstr>
      <vt:lpstr>et_hor_B_FHD_5</vt:lpstr>
      <vt:lpstr>et_hor_B_FHD_6</vt:lpstr>
      <vt:lpstr>et_hor_B_FHD_TKO_2</vt:lpstr>
      <vt:lpstr>et_hor_B_FHD_TKO_TRANS_2</vt:lpstr>
      <vt:lpstr>et_hor_B_OTEP_2</vt:lpstr>
      <vt:lpstr>et_hor_Q_LIMIT_1</vt:lpstr>
      <vt:lpstr>et_hor_Q_LIMIT_2</vt:lpstr>
      <vt:lpstr>et_hor_Q_LIMIT_3</vt:lpstr>
      <vt:lpstr>et_hor_Q_LIMIT_4</vt:lpstr>
      <vt:lpstr>et_hor_Q_TP_1</vt:lpstr>
      <vt:lpstr>et_HOTVSNA_TARIFF_A_HOTVSNA_CS</vt:lpstr>
      <vt:lpstr>et_HOTVSNA_TARIFF_A_HOTVSNA_DATA_DIFF</vt:lpstr>
      <vt:lpstr>et_HOTVSNA_TARIFF_A_HOTVSNA_FLAG_DIFF</vt:lpstr>
      <vt:lpstr>et_HOTVSNA_TARIFF_A_HOTVSNA_GC</vt:lpstr>
      <vt:lpstr>et_HOTVSNA_TARIFF_A_HOTVSNA_NTAR</vt:lpstr>
      <vt:lpstr>et_HOTVSNA_TARIFF_A_HOTVSNA_PERIOD_COLOR</vt:lpstr>
      <vt:lpstr>et_HOTVSNA_TARIFF_A_HOTVSNA_PERIOD_NOT_COLOR</vt:lpstr>
      <vt:lpstr>et_HOTVSNA_TARIFF_A_HOTVSNA_TER</vt:lpstr>
      <vt:lpstr>et_HOTVSNA_TARIFF_A_HOTVSNA_TN</vt:lpstr>
      <vt:lpstr>et_HOTVSNA_TARIFF_B_HOTVSNA_CS</vt:lpstr>
      <vt:lpstr>et_HOTVSNA_TARIFF_B_HOTVSNA_DATA_DIFF</vt:lpstr>
      <vt:lpstr>et_HOTVSNA_TARIFF_B_HOTVSNA_FLAG_DIFF</vt:lpstr>
      <vt:lpstr>et_HOTVSNA_TARIFF_B_HOTVSNA_GC</vt:lpstr>
      <vt:lpstr>et_HOTVSNA_TARIFF_B_HOTVSNA_NTAR</vt:lpstr>
      <vt:lpstr>et_HOTVSNA_TARIFF_B_HOTVSNA_PERIOD_COLOR</vt:lpstr>
      <vt:lpstr>et_HOTVSNA_TARIFF_B_HOTVSNA_PERIOD_NOT_COLOR</vt:lpstr>
      <vt:lpstr>et_HOTVSNA_TARIFF_B_HOTVSNA_TER</vt:lpstr>
      <vt:lpstr>et_HOTVSNA_TARIFF_B_HOTVSNA_TN</vt:lpstr>
      <vt:lpstr>et_HOTVSNA_TARIFF_C_HOTVSNA_CS</vt:lpstr>
      <vt:lpstr>et_HOTVSNA_TARIFF_C_HOTVSNA_DATA_DIFF</vt:lpstr>
      <vt:lpstr>et_HOTVSNA_TARIFF_C_HOTVSNA_DIAMETERS</vt:lpstr>
      <vt:lpstr>et_HOTVSNA_TARIFF_C_HOTVSNA_FLAG_DIFF</vt:lpstr>
      <vt:lpstr>et_HOTVSNA_TARIFF_C_HOTVSNA_GC</vt:lpstr>
      <vt:lpstr>et_HOTVSNA_TARIFF_C_HOTVSNA_LEN</vt:lpstr>
      <vt:lpstr>et_HOTVSNA_TARIFF_C_HOTVSNA_LOAD</vt:lpstr>
      <vt:lpstr>et_HOTVSNA_TARIFF_C_HOTVSNA_NETS</vt:lpstr>
      <vt:lpstr>et_HOTVSNA_TARIFF_C_HOTVSNA_NTAR</vt:lpstr>
      <vt:lpstr>et_HOTVSNA_TARIFF_C_HOTVSNA_PERIOD_COLOR</vt:lpstr>
      <vt:lpstr>et_HOTVSNA_TARIFF_C_HOTVSNA_PERIOD_NOT_COLOR</vt:lpstr>
      <vt:lpstr>et_HOTVSNA_TARIFF_C_HOTVSNA_TER</vt:lpstr>
      <vt:lpstr>et_IP_DETAILED</vt:lpstr>
      <vt:lpstr>et_IP_DETAILED_EVENT</vt:lpstr>
      <vt:lpstr>et_IP_DETAILED_IST_FIN</vt:lpstr>
      <vt:lpstr>et_IP_DETAILED_OBJECT</vt:lpstr>
      <vt:lpstr>et_IP_DETAILED_YEAR</vt:lpstr>
      <vt:lpstr>et_IP_MAIN</vt:lpstr>
      <vt:lpstr>et_IP_MAIN_PROPERTY</vt:lpstr>
      <vt:lpstr>et_IP_QRE</vt:lpstr>
      <vt:lpstr>et_IP_QRE_CLAIM</vt:lpstr>
      <vt:lpstr>et_List02</vt:lpstr>
      <vt:lpstr>et_List02_1_wd</vt:lpstr>
      <vt:lpstr>et_List02_2_wd</vt:lpstr>
      <vt:lpstr>et_List02_3_wd</vt:lpstr>
      <vt:lpstr>et_List02_4_wd</vt:lpstr>
      <vt:lpstr>et_List02_changeColor_1</vt:lpstr>
      <vt:lpstr>et_List02_changeColor_1_wd</vt:lpstr>
      <vt:lpstr>et_List02_changeColor_2</vt:lpstr>
      <vt:lpstr>et_List02_changeColor_2_wd</vt:lpstr>
      <vt:lpstr>et_List02_changeColor_3</vt:lpstr>
      <vt:lpstr>et_List02_changeColor_3_wd</vt:lpstr>
      <vt:lpstr>et_List02_changeColor_4</vt:lpstr>
      <vt:lpstr>et_List02_changeColor_4_wd</vt:lpstr>
      <vt:lpstr>et_List02_wd</vt:lpstr>
      <vt:lpstr>et_OFFER_p1</vt:lpstr>
      <vt:lpstr>et_OFFER_p1_0</vt:lpstr>
      <vt:lpstr>et_OFFER_p2</vt:lpstr>
      <vt:lpstr>et_OFFER_p2_0</vt:lpstr>
      <vt:lpstr>et_ORG_INFO_1</vt:lpstr>
      <vt:lpstr>et_ORG_INFO_2</vt:lpstr>
      <vt:lpstr>et_ORG_INFO_3</vt:lpstr>
      <vt:lpstr>et_ORG_TERRITORY_MO</vt:lpstr>
      <vt:lpstr>et_ORG_TERRITORY_MO_FLAG_INTERNET</vt:lpstr>
      <vt:lpstr>et_ORG_TERRITORY_MO_LINK</vt:lpstr>
      <vt:lpstr>et_ORG_VD</vt:lpstr>
      <vt:lpstr>et_ORG_VD_COLDVSNA</vt:lpstr>
      <vt:lpstr>et_ORG_VD_FIRST_SYSTEM</vt:lpstr>
      <vt:lpstr>et_ORG_VD_HEAT</vt:lpstr>
      <vt:lpstr>et_ORG_VD_HOTVSNA</vt:lpstr>
      <vt:lpstr>et_ORG_VD_TKO_ACTIVITY</vt:lpstr>
      <vt:lpstr>et_ORG_VD_TKO_TYPE_OBJECT</vt:lpstr>
      <vt:lpstr>et_ORG_VD_VOTV</vt:lpstr>
      <vt:lpstr>et_P_PROCEDURE_TC_1</vt:lpstr>
      <vt:lpstr>et_P_PROCEDURE_TC_2</vt:lpstr>
      <vt:lpstr>et_P_PROCEDURE_TC_3</vt:lpstr>
      <vt:lpstr>et_P_PROCEDURE_TC_4</vt:lpstr>
      <vt:lpstr>et_P_PROCEDURE_TC_5</vt:lpstr>
      <vt:lpstr>et_P_T_TERMS</vt:lpstr>
      <vt:lpstr>et_Q_TP_DIFFERENTIATION</vt:lpstr>
      <vt:lpstr>et_QRE</vt:lpstr>
      <vt:lpstr>et_QRE_CLAIM</vt:lpstr>
      <vt:lpstr>et_R_B_Purch</vt:lpstr>
      <vt:lpstr>et_ROIV_CASE_case</vt:lpstr>
      <vt:lpstr>et_ROIV_CASE_PUC_case</vt:lpstr>
      <vt:lpstr>et_ROIV_INFO_phone</vt:lpstr>
      <vt:lpstr>et_ROIV_ORG_org</vt:lpstr>
      <vt:lpstr>et_ROIV_OTV_DL</vt:lpstr>
      <vt:lpstr>et_ROIV_OTV_org</vt:lpstr>
      <vt:lpstr>et_TERMS</vt:lpstr>
      <vt:lpstr>et_TERRITORY_AREA</vt:lpstr>
      <vt:lpstr>et_TERRITORY_MO</vt:lpstr>
      <vt:lpstr>et_ver_B_FHD_DIFFERENTIATION</vt:lpstr>
      <vt:lpstr>et_ver_B_FHD_TKO_DIFFERENTIATION</vt:lpstr>
      <vt:lpstr>et_ver_B_FHD_TKO_TRANS_DIFFERENTIATION</vt:lpstr>
      <vt:lpstr>et_ver_B_KNE_DIFFERENTIATION</vt:lpstr>
      <vt:lpstr>et_ver_B_OTEP_DIFFERENTIATION</vt:lpstr>
      <vt:lpstr>et_ver_COLDVSNA_TARIFF_A_COLDVSNA</vt:lpstr>
      <vt:lpstr>et_ver_COLDVSNA_TARIFF_B_COLDVSNA</vt:lpstr>
      <vt:lpstr>et_ver_COLDVSNA_TARIFF_C_COLDVSNA</vt:lpstr>
      <vt:lpstr>et_ver_COLDVSNA_TARIFF_D_COLDVSNA</vt:lpstr>
      <vt:lpstr>et_ver_COLDVSNA_TARIFF_E_COLDVSNA</vt:lpstr>
      <vt:lpstr>et_ver_HEAT_TARIFF_A</vt:lpstr>
      <vt:lpstr>et_ver_HEAT_TARIFF_B</vt:lpstr>
      <vt:lpstr>et_ver_HEAT_TARIFF_C</vt:lpstr>
      <vt:lpstr>et_ver_HEAT_TARIFF_D</vt:lpstr>
      <vt:lpstr>et_ver_HEAT_TARIFF_E1</vt:lpstr>
      <vt:lpstr>et_ver_HEAT_TARIFF_E2</vt:lpstr>
      <vt:lpstr>et_ver_HEAT_TARIFF_F</vt:lpstr>
      <vt:lpstr>et_ver_HEAT_TARIFF_G</vt:lpstr>
      <vt:lpstr>et_ver_HEAT_TARIFF_H</vt:lpstr>
      <vt:lpstr>et_ver_HEAT_TARIFF_I</vt:lpstr>
      <vt:lpstr>et_ver_HEAT_TARIFF_I_1</vt:lpstr>
      <vt:lpstr>et_ver_HOTVSNA_TARIFF_A_HOTVSNA</vt:lpstr>
      <vt:lpstr>et_ver_HOTVSNA_TARIFF_B_HOTVSNA</vt:lpstr>
      <vt:lpstr>et_ver_HOTVSNA_TARIFF_C_HOTVSNA</vt:lpstr>
      <vt:lpstr>et_ver_IP_FIN_PLAN</vt:lpstr>
      <vt:lpstr>et_ver_IP_FIN_PLAN_YEAR</vt:lpstr>
      <vt:lpstr>et_ver_Q_LIMIT_DIFFERENTIATION</vt:lpstr>
      <vt:lpstr>et_ver_Q_PH_DIFFERENTIATION</vt:lpstr>
      <vt:lpstr>et_ver_Q_TP_DIFFERENTIATION</vt:lpstr>
      <vt:lpstr>et_ver_VOTV_TARIFF_A_VOTV</vt:lpstr>
      <vt:lpstr>et_ver_VOTV_TARIFF_B_VOTV</vt:lpstr>
      <vt:lpstr>et_ver_VOTV_TARIFF_C_VOTV</vt:lpstr>
      <vt:lpstr>et_VOTV_TARIFF_A_VOTV_CS</vt:lpstr>
      <vt:lpstr>et_VOTV_TARIFF_A_VOTV_DATA_DIFF</vt:lpstr>
      <vt:lpstr>et_VOTV_TARIFF_A_VOTV_FLAG_DIFF</vt:lpstr>
      <vt:lpstr>et_VOTV_TARIFF_A_VOTV_GC</vt:lpstr>
      <vt:lpstr>et_VOTV_TARIFF_A_VOTV_NTAR</vt:lpstr>
      <vt:lpstr>et_VOTV_TARIFF_A_VOTV_PERIOD_COLOR</vt:lpstr>
      <vt:lpstr>et_VOTV_TARIFF_A_VOTV_PERIOD_NOT_COLOR</vt:lpstr>
      <vt:lpstr>et_VOTV_TARIFF_A_VOTV_TER</vt:lpstr>
      <vt:lpstr>et_VOTV_TARIFF_A_VOTV_TN</vt:lpstr>
      <vt:lpstr>et_VOTV_TARIFF_B_VOTV_CS</vt:lpstr>
      <vt:lpstr>et_VOTV_TARIFF_B_VOTV_DATA_DIFF</vt:lpstr>
      <vt:lpstr>et_VOTV_TARIFF_B_VOTV_FLAG_DIFF</vt:lpstr>
      <vt:lpstr>et_VOTV_TARIFF_B_VOTV_GC</vt:lpstr>
      <vt:lpstr>et_VOTV_TARIFF_B_VOTV_NTAR</vt:lpstr>
      <vt:lpstr>et_VOTV_TARIFF_B_VOTV_PERIOD_COLOR</vt:lpstr>
      <vt:lpstr>et_VOTV_TARIFF_B_VOTV_PERIOD_NOT_COLOR</vt:lpstr>
      <vt:lpstr>et_VOTV_TARIFF_B_VOTV_TER</vt:lpstr>
      <vt:lpstr>et_VOTV_TARIFF_B_VOTV_TN</vt:lpstr>
      <vt:lpstr>et_VOTV_TARIFF_C_VOTV_CS</vt:lpstr>
      <vt:lpstr>et_VOTV_TARIFF_C_VOTV_DATA_DIFF</vt:lpstr>
      <vt:lpstr>et_VOTV_TARIFF_C_VOTV_DIAMETERS</vt:lpstr>
      <vt:lpstr>et_VOTV_TARIFF_C_VOTV_FLAG_DIFF</vt:lpstr>
      <vt:lpstr>et_VOTV_TARIFF_C_VOTV_GC</vt:lpstr>
      <vt:lpstr>et_VOTV_TARIFF_C_VOTV_LEN</vt:lpstr>
      <vt:lpstr>et_VOTV_TARIFF_C_VOTV_LOAD</vt:lpstr>
      <vt:lpstr>et_VOTV_TARIFF_C_VOTV_NETS</vt:lpstr>
      <vt:lpstr>et_VOTV_TARIFF_C_VOTV_NTAR</vt:lpstr>
      <vt:lpstr>et_VOTV_TARIFF_C_VOTV_PERIOD_COLOR</vt:lpstr>
      <vt:lpstr>et_VOTV_TARIFF_C_VOTV_PERIOD_NOT_COLOR</vt:lpstr>
      <vt:lpstr>et_VOTV_TARIFF_C_VOTV_TER</vt:lpstr>
      <vt:lpstr>f_quart</vt:lpstr>
      <vt:lpstr>f_year</vt:lpstr>
      <vt:lpstr>FHD_NAME_FORM</vt:lpstr>
      <vt:lpstr>FHD_NOTE_P_1</vt:lpstr>
      <vt:lpstr>FHD_NOTE_P_10</vt:lpstr>
      <vt:lpstr>FHD_NOTE_P_11</vt:lpstr>
      <vt:lpstr>FHD_NOTE_P_12</vt:lpstr>
      <vt:lpstr>FHD_NOTE_P_13</vt:lpstr>
      <vt:lpstr>FHD_NOTE_P_14</vt:lpstr>
      <vt:lpstr>FHD_NOTE_P_15</vt:lpstr>
      <vt:lpstr>FHD_NOTE_P_16</vt:lpstr>
      <vt:lpstr>FHD_NOTE_P_17</vt:lpstr>
      <vt:lpstr>FHD_NOTE_P_18</vt:lpstr>
      <vt:lpstr>FHD_NOTE_P_19</vt:lpstr>
      <vt:lpstr>FHD_NOTE_P_2</vt:lpstr>
      <vt:lpstr>FHD_NOTE_P_20</vt:lpstr>
      <vt:lpstr>FHD_NOTE_P_21</vt:lpstr>
      <vt:lpstr>FHD_NOTE_P_22</vt:lpstr>
      <vt:lpstr>FHD_NOTE_P_23</vt:lpstr>
      <vt:lpstr>FHD_NOTE_P_24</vt:lpstr>
      <vt:lpstr>FHD_NOTE_P_25</vt:lpstr>
      <vt:lpstr>FHD_NOTE_P_26</vt:lpstr>
      <vt:lpstr>FHD_NOTE_P_27</vt:lpstr>
      <vt:lpstr>FHD_NOTE_P_28</vt:lpstr>
      <vt:lpstr>FHD_NOTE_P_29</vt:lpstr>
      <vt:lpstr>FHD_NOTE_P_3</vt:lpstr>
      <vt:lpstr>FHD_NOTE_P_30</vt:lpstr>
      <vt:lpstr>FHD_NOTE_P_31</vt:lpstr>
      <vt:lpstr>FHD_NOTE_P_32</vt:lpstr>
      <vt:lpstr>FHD_NOTE_P_33</vt:lpstr>
      <vt:lpstr>FHD_NOTE_P_34</vt:lpstr>
      <vt:lpstr>FHD_NOTE_P_35</vt:lpstr>
      <vt:lpstr>FHD_NOTE_P_36</vt:lpstr>
      <vt:lpstr>FHD_NOTE_P_37</vt:lpstr>
      <vt:lpstr>FHD_NOTE_P_38</vt:lpstr>
      <vt:lpstr>FHD_NOTE_P_39</vt:lpstr>
      <vt:lpstr>FHD_NOTE_P_4</vt:lpstr>
      <vt:lpstr>FHD_NOTE_P_40</vt:lpstr>
      <vt:lpstr>FHD_NOTE_P_41</vt:lpstr>
      <vt:lpstr>FHD_NOTE_P_42</vt:lpstr>
      <vt:lpstr>FHD_NOTE_P_43</vt:lpstr>
      <vt:lpstr>FHD_NOTE_P_44</vt:lpstr>
      <vt:lpstr>FHD_NOTE_P_45</vt:lpstr>
      <vt:lpstr>FHD_NOTE_P_46</vt:lpstr>
      <vt:lpstr>FHD_NOTE_P_47</vt:lpstr>
      <vt:lpstr>FHD_NOTE_P_48</vt:lpstr>
      <vt:lpstr>FHD_NOTE_P_49</vt:lpstr>
      <vt:lpstr>FHD_NOTE_P_5</vt:lpstr>
      <vt:lpstr>FHD_NOTE_P_50</vt:lpstr>
      <vt:lpstr>FHD_NOTE_P_51</vt:lpstr>
      <vt:lpstr>FHD_NOTE_P_52</vt:lpstr>
      <vt:lpstr>FHD_NOTE_P_53</vt:lpstr>
      <vt:lpstr>FHD_NOTE_P_54</vt:lpstr>
      <vt:lpstr>FHD_NOTE_P_55</vt:lpstr>
      <vt:lpstr>FHD_NOTE_P_56</vt:lpstr>
      <vt:lpstr>FHD_NOTE_P_57</vt:lpstr>
      <vt:lpstr>FHD_NOTE_P_58</vt:lpstr>
      <vt:lpstr>FHD_NOTE_P_59</vt:lpstr>
      <vt:lpstr>FHD_NOTE_P_6</vt:lpstr>
      <vt:lpstr>FHD_NOTE_P_60</vt:lpstr>
      <vt:lpstr>FHD_NOTE_P_61</vt:lpstr>
      <vt:lpstr>FHD_NOTE_P_62</vt:lpstr>
      <vt:lpstr>FHD_NOTE_P_63</vt:lpstr>
      <vt:lpstr>FHD_NOTE_P_64</vt:lpstr>
      <vt:lpstr>FHD_NOTE_P_65</vt:lpstr>
      <vt:lpstr>FHD_NOTE_P_66</vt:lpstr>
      <vt:lpstr>FHD_NOTE_P_67</vt:lpstr>
      <vt:lpstr>FHD_NOTE_P_68</vt:lpstr>
      <vt:lpstr>FHD_NOTE_P_69</vt:lpstr>
      <vt:lpstr>FHD_NOTE_P_7</vt:lpstr>
      <vt:lpstr>FHD_NOTE_P_70</vt:lpstr>
      <vt:lpstr>FHD_NOTE_P_71</vt:lpstr>
      <vt:lpstr>FHD_NOTE_P_72</vt:lpstr>
      <vt:lpstr>FHD_NOTE_P_73</vt:lpstr>
      <vt:lpstr>FHD_NOTE_P_74</vt:lpstr>
      <vt:lpstr>FHD_NOTE_P_75</vt:lpstr>
      <vt:lpstr>FHD_NOTE_P_76</vt:lpstr>
      <vt:lpstr>FHD_NOTE_P_77</vt:lpstr>
      <vt:lpstr>FHD_NOTE_P_78</vt:lpstr>
      <vt:lpstr>FHD_NOTE_P_79</vt:lpstr>
      <vt:lpstr>FHD_NOTE_P_8</vt:lpstr>
      <vt:lpstr>FHD_NOTE_P_80</vt:lpstr>
      <vt:lpstr>FHD_NOTE_P_81</vt:lpstr>
      <vt:lpstr>FHD_NOTE_P_82</vt:lpstr>
      <vt:lpstr>FHD_NOTE_P_83</vt:lpstr>
      <vt:lpstr>FHD_NOTE_P_84</vt:lpstr>
      <vt:lpstr>FHD_NOTE_P_9</vt:lpstr>
      <vt:lpstr>FHD_NUM_P_1</vt:lpstr>
      <vt:lpstr>FHD_NUM_P_10</vt:lpstr>
      <vt:lpstr>FHD_NUM_P_11</vt:lpstr>
      <vt:lpstr>FHD_NUM_P_12</vt:lpstr>
      <vt:lpstr>FHD_NUM_P_13</vt:lpstr>
      <vt:lpstr>FHD_NUM_P_14</vt:lpstr>
      <vt:lpstr>FHD_NUM_P_15</vt:lpstr>
      <vt:lpstr>FHD_NUM_P_16</vt:lpstr>
      <vt:lpstr>FHD_NUM_P_17</vt:lpstr>
      <vt:lpstr>FHD_NUM_P_18</vt:lpstr>
      <vt:lpstr>FHD_NUM_P_19</vt:lpstr>
      <vt:lpstr>FHD_NUM_P_2</vt:lpstr>
      <vt:lpstr>FHD_NUM_P_20</vt:lpstr>
      <vt:lpstr>FHD_NUM_P_21</vt:lpstr>
      <vt:lpstr>FHD_NUM_P_22</vt:lpstr>
      <vt:lpstr>FHD_NUM_P_23</vt:lpstr>
      <vt:lpstr>FHD_NUM_P_24</vt:lpstr>
      <vt:lpstr>FHD_NUM_P_25</vt:lpstr>
      <vt:lpstr>FHD_NUM_P_26</vt:lpstr>
      <vt:lpstr>FHD_NUM_P_27</vt:lpstr>
      <vt:lpstr>FHD_NUM_P_28</vt:lpstr>
      <vt:lpstr>FHD_NUM_P_29</vt:lpstr>
      <vt:lpstr>FHD_NUM_P_3</vt:lpstr>
      <vt:lpstr>FHD_NUM_P_30</vt:lpstr>
      <vt:lpstr>FHD_NUM_P_31</vt:lpstr>
      <vt:lpstr>FHD_NUM_P_32</vt:lpstr>
      <vt:lpstr>FHD_NUM_P_33</vt:lpstr>
      <vt:lpstr>FHD_NUM_P_34</vt:lpstr>
      <vt:lpstr>FHD_NUM_P_35</vt:lpstr>
      <vt:lpstr>FHD_NUM_P_36</vt:lpstr>
      <vt:lpstr>FHD_NUM_P_37</vt:lpstr>
      <vt:lpstr>FHD_NUM_P_38</vt:lpstr>
      <vt:lpstr>FHD_NUM_P_39</vt:lpstr>
      <vt:lpstr>FHD_NUM_P_4</vt:lpstr>
      <vt:lpstr>FHD_NUM_P_40</vt:lpstr>
      <vt:lpstr>FHD_NUM_P_41</vt:lpstr>
      <vt:lpstr>FHD_NUM_P_42</vt:lpstr>
      <vt:lpstr>FHD_NUM_P_43</vt:lpstr>
      <vt:lpstr>FHD_NUM_P_44</vt:lpstr>
      <vt:lpstr>FHD_NUM_P_45</vt:lpstr>
      <vt:lpstr>FHD_NUM_P_46</vt:lpstr>
      <vt:lpstr>FHD_NUM_P_47</vt:lpstr>
      <vt:lpstr>FHD_NUM_P_48</vt:lpstr>
      <vt:lpstr>FHD_NUM_P_49</vt:lpstr>
      <vt:lpstr>FHD_NUM_P_5</vt:lpstr>
      <vt:lpstr>FHD_NUM_P_50</vt:lpstr>
      <vt:lpstr>FHD_NUM_P_51</vt:lpstr>
      <vt:lpstr>FHD_NUM_P_52</vt:lpstr>
      <vt:lpstr>FHD_NUM_P_53</vt:lpstr>
      <vt:lpstr>FHD_NUM_P_54</vt:lpstr>
      <vt:lpstr>FHD_NUM_P_55</vt:lpstr>
      <vt:lpstr>FHD_NUM_P_56</vt:lpstr>
      <vt:lpstr>FHD_NUM_P_57</vt:lpstr>
      <vt:lpstr>FHD_NUM_P_58</vt:lpstr>
      <vt:lpstr>FHD_NUM_P_59</vt:lpstr>
      <vt:lpstr>FHD_NUM_P_6</vt:lpstr>
      <vt:lpstr>FHD_NUM_P_60</vt:lpstr>
      <vt:lpstr>FHD_NUM_P_61</vt:lpstr>
      <vt:lpstr>FHD_NUM_P_62</vt:lpstr>
      <vt:lpstr>FHD_NUM_P_63</vt:lpstr>
      <vt:lpstr>FHD_NUM_P_64</vt:lpstr>
      <vt:lpstr>FHD_NUM_P_65</vt:lpstr>
      <vt:lpstr>FHD_NUM_P_66</vt:lpstr>
      <vt:lpstr>FHD_NUM_P_67</vt:lpstr>
      <vt:lpstr>FHD_NUM_P_68</vt:lpstr>
      <vt:lpstr>FHD_NUM_P_69</vt:lpstr>
      <vt:lpstr>FHD_NUM_P_7</vt:lpstr>
      <vt:lpstr>FHD_NUM_P_70</vt:lpstr>
      <vt:lpstr>FHD_NUM_P_71</vt:lpstr>
      <vt:lpstr>FHD_NUM_P_72</vt:lpstr>
      <vt:lpstr>FHD_NUM_P_73</vt:lpstr>
      <vt:lpstr>FHD_NUM_P_74</vt:lpstr>
      <vt:lpstr>FHD_NUM_P_75</vt:lpstr>
      <vt:lpstr>FHD_NUM_P_76</vt:lpstr>
      <vt:lpstr>FHD_NUM_P_77</vt:lpstr>
      <vt:lpstr>FHD_NUM_P_78</vt:lpstr>
      <vt:lpstr>FHD_NUM_P_79</vt:lpstr>
      <vt:lpstr>FHD_NUM_P_8</vt:lpstr>
      <vt:lpstr>FHD_NUM_P_80</vt:lpstr>
      <vt:lpstr>FHD_NUM_P_81</vt:lpstr>
      <vt:lpstr>FHD_NUM_P_82</vt:lpstr>
      <vt:lpstr>FHD_NUM_P_83</vt:lpstr>
      <vt:lpstr>FHD_NUM_P_84</vt:lpstr>
      <vt:lpstr>FHD_NUM_P_9</vt:lpstr>
      <vt:lpstr>FHD_NUM_P_A</vt:lpstr>
      <vt:lpstr>FHD_P_1</vt:lpstr>
      <vt:lpstr>FHD_P_10</vt:lpstr>
      <vt:lpstr>FHD_P_11</vt:lpstr>
      <vt:lpstr>FHD_P_12</vt:lpstr>
      <vt:lpstr>FHD_P_13</vt:lpstr>
      <vt:lpstr>FHD_P_14</vt:lpstr>
      <vt:lpstr>FHD_P_15</vt:lpstr>
      <vt:lpstr>FHD_P_16</vt:lpstr>
      <vt:lpstr>FHD_P_17</vt:lpstr>
      <vt:lpstr>FHD_P_18</vt:lpstr>
      <vt:lpstr>FHD_P_19</vt:lpstr>
      <vt:lpstr>FHD_P_2</vt:lpstr>
      <vt:lpstr>FHD_P_20</vt:lpstr>
      <vt:lpstr>FHD_P_21</vt:lpstr>
      <vt:lpstr>FHD_P_22</vt:lpstr>
      <vt:lpstr>FHD_P_23</vt:lpstr>
      <vt:lpstr>FHD_P_24</vt:lpstr>
      <vt:lpstr>FHD_P_25</vt:lpstr>
      <vt:lpstr>FHD_P_26</vt:lpstr>
      <vt:lpstr>FHD_P_27</vt:lpstr>
      <vt:lpstr>FHD_P_28</vt:lpstr>
      <vt:lpstr>FHD_P_29</vt:lpstr>
      <vt:lpstr>FHD_P_3</vt:lpstr>
      <vt:lpstr>FHD_P_30</vt:lpstr>
      <vt:lpstr>FHD_P_31</vt:lpstr>
      <vt:lpstr>FHD_P_32</vt:lpstr>
      <vt:lpstr>FHD_P_33</vt:lpstr>
      <vt:lpstr>FHD_P_34</vt:lpstr>
      <vt:lpstr>FHD_P_35</vt:lpstr>
      <vt:lpstr>FHD_P_36</vt:lpstr>
      <vt:lpstr>FHD_P_37</vt:lpstr>
      <vt:lpstr>FHD_P_38</vt:lpstr>
      <vt:lpstr>FHD_P_39</vt:lpstr>
      <vt:lpstr>FHD_P_4</vt:lpstr>
      <vt:lpstr>FHD_P_40</vt:lpstr>
      <vt:lpstr>FHD_P_41</vt:lpstr>
      <vt:lpstr>FHD_P_42</vt:lpstr>
      <vt:lpstr>FHD_P_43</vt:lpstr>
      <vt:lpstr>FHD_P_44</vt:lpstr>
      <vt:lpstr>FHD_P_45</vt:lpstr>
      <vt:lpstr>FHD_P_46</vt:lpstr>
      <vt:lpstr>FHD_P_47</vt:lpstr>
      <vt:lpstr>FHD_P_48</vt:lpstr>
      <vt:lpstr>FHD_P_49</vt:lpstr>
      <vt:lpstr>FHD_P_5</vt:lpstr>
      <vt:lpstr>FHD_P_50</vt:lpstr>
      <vt:lpstr>FHD_P_51</vt:lpstr>
      <vt:lpstr>FHD_P_52</vt:lpstr>
      <vt:lpstr>FHD_P_53</vt:lpstr>
      <vt:lpstr>FHD_P_54</vt:lpstr>
      <vt:lpstr>FHD_P_55</vt:lpstr>
      <vt:lpstr>FHD_P_56</vt:lpstr>
      <vt:lpstr>FHD_P_57</vt:lpstr>
      <vt:lpstr>FHD_P_58</vt:lpstr>
      <vt:lpstr>FHD_P_59</vt:lpstr>
      <vt:lpstr>FHD_P_6</vt:lpstr>
      <vt:lpstr>FHD_P_60</vt:lpstr>
      <vt:lpstr>FHD_P_61</vt:lpstr>
      <vt:lpstr>FHD_P_62</vt:lpstr>
      <vt:lpstr>FHD_P_63</vt:lpstr>
      <vt:lpstr>FHD_P_64</vt:lpstr>
      <vt:lpstr>FHD_P_65</vt:lpstr>
      <vt:lpstr>FHD_P_66</vt:lpstr>
      <vt:lpstr>FHD_P_67</vt:lpstr>
      <vt:lpstr>FHD_P_68</vt:lpstr>
      <vt:lpstr>FHD_P_69</vt:lpstr>
      <vt:lpstr>FHD_P_7</vt:lpstr>
      <vt:lpstr>FHD_P_70</vt:lpstr>
      <vt:lpstr>FHD_P_71</vt:lpstr>
      <vt:lpstr>FHD_P_72</vt:lpstr>
      <vt:lpstr>FHD_P_73</vt:lpstr>
      <vt:lpstr>FHD_P_74</vt:lpstr>
      <vt:lpstr>FHD_P_75</vt:lpstr>
      <vt:lpstr>FHD_P_76</vt:lpstr>
      <vt:lpstr>FHD_P_77</vt:lpstr>
      <vt:lpstr>FHD_P_78</vt:lpstr>
      <vt:lpstr>FHD_P_79</vt:lpstr>
      <vt:lpstr>FHD_P_8</vt:lpstr>
      <vt:lpstr>FHD_P_80</vt:lpstr>
      <vt:lpstr>FHD_P_81</vt:lpstr>
      <vt:lpstr>FHD_P_82</vt:lpstr>
      <vt:lpstr>FHD_P_83</vt:lpstr>
      <vt:lpstr>FHD_P_84</vt:lpstr>
      <vt:lpstr>FHD_P_9</vt:lpstr>
      <vt:lpstr>FHD_P_A</vt:lpstr>
      <vt:lpstr>FHD20_NAME_FORM</vt:lpstr>
      <vt:lpstr>fil</vt:lpstr>
      <vt:lpstr>flag_Q_LIMIT_p3</vt:lpstr>
      <vt:lpstr>flag_Q_LIMIT_p4</vt:lpstr>
      <vt:lpstr>HEAT_FIN_SRC_LIST</vt:lpstr>
      <vt:lpstr>HEAT_FIN_SRC_VLD_LIST</vt:lpstr>
      <vt:lpstr>HEAT_IP_EVENT_CI_STAGE_LIST</vt:lpstr>
      <vt:lpstr>HEAT_IP_EVENT_GROUP_LIST</vt:lpstr>
      <vt:lpstr>HEAT_IP_EVENT_SUBGROUP_1_LIST</vt:lpstr>
      <vt:lpstr>HEAT_IP_EVENT_SUBGROUP_3_LIST</vt:lpstr>
      <vt:lpstr>HEAT_IP_EVENT_SUBGROUP_5_LIST</vt:lpstr>
      <vt:lpstr>HEAT_IP_EVENT_TYPE_LIST</vt:lpstr>
      <vt:lpstr>HEAT_PT_SCHEME</vt:lpstr>
      <vt:lpstr>HEAT_PT_TARIFF_ID</vt:lpstr>
      <vt:lpstr>HEAT_PT_TARIFF_NAME</vt:lpstr>
      <vt:lpstr>HEAT_PT_TARIFF_NAME_LIST</vt:lpstr>
      <vt:lpstr>HEAT_PT_VED_ID</vt:lpstr>
      <vt:lpstr>HEAT_PT_VED_NAME</vt:lpstr>
      <vt:lpstr>HEAT_PT_VED_NAME_LIST</vt:lpstr>
      <vt:lpstr>HEAT_TARIFF_A_ADD_HL_COLUMN_MARKER</vt:lpstr>
      <vt:lpstr>HEAT_TARIFF_A_DEL_HL_GC_COLUMN_MARKER</vt:lpstr>
      <vt:lpstr>HEAT_TARIFF_A_DEL_HL_SCHEME_COLUMN_MARKER</vt:lpstr>
      <vt:lpstr>HEAT_TARIFF_A_DEL_HL_TN_COLUMN_MARKER</vt:lpstr>
      <vt:lpstr>HEAT_TARIFF_A_DELETE_PERIOD_ROW_MARKER</vt:lpstr>
      <vt:lpstr>HEAT_TARIFF_A_FLAG_BLOCK_COLUMN_MARKER</vt:lpstr>
      <vt:lpstr>HEAT_TARIFF_A_FLAG_BLOCK_ROW_MARKER</vt:lpstr>
      <vt:lpstr>HEAT_TARIFF_A_NUM_CS_COLUMN_MARKER</vt:lpstr>
      <vt:lpstr>HEAT_TARIFF_A_NUM_GC_COLUMN_MARKER</vt:lpstr>
      <vt:lpstr>HEAT_TARIFF_A_NUM_IST_TE_COLUMN_MARKER</vt:lpstr>
      <vt:lpstr>HEAT_TARIFF_A_NUM_NTAR_COLUMN_MARKER</vt:lpstr>
      <vt:lpstr>HEAT_TARIFF_A_NUM_SCHEME_COLUMN_MARKER</vt:lpstr>
      <vt:lpstr>HEAT_TARIFF_A_NUM_TER_COLUMN_MARKER</vt:lpstr>
      <vt:lpstr>HEAT_TARIFF_A_NUM_TN_COLUMN_MARKER</vt:lpstr>
      <vt:lpstr>HEAT_TARIFF_B_ADD_HL_COLUMN_MARKER</vt:lpstr>
      <vt:lpstr>HEAT_TARIFF_B_DEL_HL_GC_COLUMN_MARKER</vt:lpstr>
      <vt:lpstr>HEAT_TARIFF_B_DEL_HL_SCHEME_COLUMN_MARKER</vt:lpstr>
      <vt:lpstr>HEAT_TARIFF_B_DEL_HL_TN_COLUMN_MARKER</vt:lpstr>
      <vt:lpstr>HEAT_TARIFF_B_DELETE_PERIOD_ROW_MARKER</vt:lpstr>
      <vt:lpstr>HEAT_TARIFF_B_FLAG_BLOCK_COLUMN_MARKER</vt:lpstr>
      <vt:lpstr>HEAT_TARIFF_B_FLAG_BLOCK_ROW_MARKER</vt:lpstr>
      <vt:lpstr>HEAT_TARIFF_B_NUM_CS_COLUMN_MARKER</vt:lpstr>
      <vt:lpstr>HEAT_TARIFF_B_NUM_GC_COLUMN_MARKER</vt:lpstr>
      <vt:lpstr>HEAT_TARIFF_B_NUM_IST_TE_COLUMN_MARKER</vt:lpstr>
      <vt:lpstr>HEAT_TARIFF_B_NUM_NTAR_COLUMN_MARKER</vt:lpstr>
      <vt:lpstr>HEAT_TARIFF_B_NUM_SCHEME_COLUMN_MARKER</vt:lpstr>
      <vt:lpstr>HEAT_TARIFF_B_NUM_TER_COLUMN_MARKER</vt:lpstr>
      <vt:lpstr>HEAT_TARIFF_B_NUM_TN_COLUMN_MARKER</vt:lpstr>
      <vt:lpstr>HEAT_TARIFF_C_ADD_HL_COLUMN_MARKER</vt:lpstr>
      <vt:lpstr>HEAT_TARIFF_C_DEL_HL_GC_COLUMN_MARKER</vt:lpstr>
      <vt:lpstr>HEAT_TARIFF_C_DEL_HL_SCHEME_COLUMN_MARKER</vt:lpstr>
      <vt:lpstr>HEAT_TARIFF_C_DEL_HL_TN_COLUMN_MARKER</vt:lpstr>
      <vt:lpstr>HEAT_TARIFF_C_DELETE_PERIOD_ROW_MARKER</vt:lpstr>
      <vt:lpstr>HEAT_TARIFF_C_FLAG_BLOCK_COLUMN_MARKER</vt:lpstr>
      <vt:lpstr>HEAT_TARIFF_C_FLAG_BLOCK_ROW_MARKER</vt:lpstr>
      <vt:lpstr>HEAT_TARIFF_C_NUM_CS_COLUMN_MARKER</vt:lpstr>
      <vt:lpstr>HEAT_TARIFF_C_NUM_GC_COLUMN_MARKER</vt:lpstr>
      <vt:lpstr>HEAT_TARIFF_C_NUM_IST_TE_COLUMN_MARKER</vt:lpstr>
      <vt:lpstr>HEAT_TARIFF_C_NUM_NTAR_COLUMN_MARKER</vt:lpstr>
      <vt:lpstr>HEAT_TARIFF_C_NUM_SCHEME_COLUMN_MARKER</vt:lpstr>
      <vt:lpstr>HEAT_TARIFF_C_NUM_TER_COLUMN_MARKER</vt:lpstr>
      <vt:lpstr>HEAT_TARIFF_C_NUM_TN_COLUMN_MARKER</vt:lpstr>
      <vt:lpstr>HEAT_TARIFF_D_ADD_HL_COLUMN_MARKER</vt:lpstr>
      <vt:lpstr>HEAT_TARIFF_D_DEL_HL_CONS_COLUMN_MARKER</vt:lpstr>
      <vt:lpstr>HEAT_TARIFF_D_DEL_HL_GC_COLUMN_MARKER</vt:lpstr>
      <vt:lpstr>HEAT_TARIFF_D_DEL_HL_SCHEME_COLUMN_MARKER</vt:lpstr>
      <vt:lpstr>HEAT_TARIFF_D_DEL_HL_TN_COLUMN_MARKER</vt:lpstr>
      <vt:lpstr>HEAT_TARIFF_D_DELETE_PERIOD_ROW_MARKER</vt:lpstr>
      <vt:lpstr>HEAT_TARIFF_D_FLAG_BLOCK_COLUMN_MARKER</vt:lpstr>
      <vt:lpstr>HEAT_TARIFF_D_FLAG_BLOCK_ROW_MARKER</vt:lpstr>
      <vt:lpstr>HEAT_TARIFF_D_NUM_CONS_COLUMN_MARKER</vt:lpstr>
      <vt:lpstr>HEAT_TARIFF_D_NUM_CS_COLUMN_MARKER</vt:lpstr>
      <vt:lpstr>HEAT_TARIFF_D_NUM_GC_COLUMN_MARKER</vt:lpstr>
      <vt:lpstr>HEAT_TARIFF_D_NUM_IST_TE_COLUMN_MARKER</vt:lpstr>
      <vt:lpstr>HEAT_TARIFF_D_NUM_NTAR_COLUMN_MARKER</vt:lpstr>
      <vt:lpstr>HEAT_TARIFF_D_NUM_SCHEME_COLUMN_MARKER</vt:lpstr>
      <vt:lpstr>HEAT_TARIFF_D_NUM_TER_COLUMN_MARKER</vt:lpstr>
      <vt:lpstr>HEAT_TARIFF_D_NUM_TN_COLUMN_MARKER</vt:lpstr>
      <vt:lpstr>HEAT_TARIFF_E1_ADD_HL_COLUMN_MARKER</vt:lpstr>
      <vt:lpstr>HEAT_TARIFF_E1_DEL_HL_GC_COLUMN_MARKER</vt:lpstr>
      <vt:lpstr>HEAT_TARIFF_E1_DEL_HL_SCHEME_COLUMN_MARKER</vt:lpstr>
      <vt:lpstr>HEAT_TARIFF_E1_DEL_HL_TN_COLUMN_MARKER</vt:lpstr>
      <vt:lpstr>HEAT_TARIFF_E1_DELETE_PERIOD_ROW_MARKER</vt:lpstr>
      <vt:lpstr>HEAT_TARIFF_E1_FLAG_BLOCK_COLUMN_MARKER</vt:lpstr>
      <vt:lpstr>HEAT_TARIFF_E1_FLAG_BLOCK_ROW_MARKER</vt:lpstr>
      <vt:lpstr>HEAT_TARIFF_E1_NUM_CS_COLUMN_MARKER</vt:lpstr>
      <vt:lpstr>HEAT_TARIFF_E1_NUM_GC_COLUMN_MARKER</vt:lpstr>
      <vt:lpstr>HEAT_TARIFF_E1_NUM_IST_TE_COLUMN_MARKER</vt:lpstr>
      <vt:lpstr>HEAT_TARIFF_E1_NUM_NTAR_COLUMN_MARKER</vt:lpstr>
      <vt:lpstr>HEAT_TARIFF_E1_NUM_SCHEME_COLUMN_MARKER</vt:lpstr>
      <vt:lpstr>HEAT_TARIFF_E1_NUM_TER_COLUMN_MARKER</vt:lpstr>
      <vt:lpstr>HEAT_TARIFF_E1_NUM_TN_COLUMN_MARKER</vt:lpstr>
      <vt:lpstr>HEAT_TARIFF_E2_ADD_HL_COLUMN_MARKER</vt:lpstr>
      <vt:lpstr>HEAT_TARIFF_E2_DEL_HL_GC_COLUMN_MARKER</vt:lpstr>
      <vt:lpstr>HEAT_TARIFF_E2_DEL_HL_SCHEME_COLUMN_MARKER</vt:lpstr>
      <vt:lpstr>HEAT_TARIFF_E2_DEL_HL_TN_COLUMN_MARKER</vt:lpstr>
      <vt:lpstr>HEAT_TARIFF_E2_DELETE_PERIOD_ROW_MARKER</vt:lpstr>
      <vt:lpstr>HEAT_TARIFF_E2_FLAG_BLOCK_COLUMN_MARKER</vt:lpstr>
      <vt:lpstr>HEAT_TARIFF_E2_FLAG_BLOCK_ROW_MARKER</vt:lpstr>
      <vt:lpstr>HEAT_TARIFF_E2_NUM_CS_COLUMN_MARKER</vt:lpstr>
      <vt:lpstr>HEAT_TARIFF_E2_NUM_GC_COLUMN_MARKER</vt:lpstr>
      <vt:lpstr>HEAT_TARIFF_E2_NUM_IST_TE_COLUMN_MARKER</vt:lpstr>
      <vt:lpstr>HEAT_TARIFF_E2_NUM_NTAR_COLUMN_MARKER</vt:lpstr>
      <vt:lpstr>HEAT_TARIFF_E2_NUM_SCHEME_COLUMN_MARKER</vt:lpstr>
      <vt:lpstr>HEAT_TARIFF_E2_NUM_TER_COLUMN_MARKER</vt:lpstr>
      <vt:lpstr>HEAT_TARIFF_E2_NUM_TN_COLUMN_MARKER</vt:lpstr>
      <vt:lpstr>HEAT_TARIFF_F_ADD_HL_COLUMN_MARKER</vt:lpstr>
      <vt:lpstr>HEAT_TARIFF_F_DEL_HL_GC_COLUMN_MARKER</vt:lpstr>
      <vt:lpstr>HEAT_TARIFF_F_DEL_HL_SCHEME_COLUMN_MARKER</vt:lpstr>
      <vt:lpstr>HEAT_TARIFF_F_DEL_HL_TN_COLUMN_MARKER</vt:lpstr>
      <vt:lpstr>HEAT_TARIFF_F_DELETE_PERIOD_ROW_MARKER</vt:lpstr>
      <vt:lpstr>HEAT_TARIFF_F_FLAG_BLOCK_COLUMN_MARKER</vt:lpstr>
      <vt:lpstr>HEAT_TARIFF_F_FLAG_BLOCK_ROW_MARKER</vt:lpstr>
      <vt:lpstr>HEAT_TARIFF_F_NUM_CS_COLUMN_MARKER</vt:lpstr>
      <vt:lpstr>HEAT_TARIFF_F_NUM_GC_COLUMN_MARKER</vt:lpstr>
      <vt:lpstr>HEAT_TARIFF_F_NUM_IST_TE_COLUMN_MARKER</vt:lpstr>
      <vt:lpstr>HEAT_TARIFF_F_NUM_NTAR_COLUMN_MARKER</vt:lpstr>
      <vt:lpstr>HEAT_TARIFF_F_NUM_SCHEME_COLUMN_MARKER</vt:lpstr>
      <vt:lpstr>HEAT_TARIFF_F_NUM_TER_COLUMN_MARKER</vt:lpstr>
      <vt:lpstr>HEAT_TARIFF_F_NUM_TN_COLUMN_MARKER</vt:lpstr>
      <vt:lpstr>HEAT_TARIFF_G_ADD_HL_COLUMN_MARKER</vt:lpstr>
      <vt:lpstr>HEAT_TARIFF_G_ADD_HL_DIAMETERS_COLUMN_MARKER</vt:lpstr>
      <vt:lpstr>HEAT_TARIFF_G_ADD_HL_LOAD_COLUMN_MARKER</vt:lpstr>
      <vt:lpstr>HEAT_TARIFF_G_ADD_HL_NETS_COLUMN_MARKER</vt:lpstr>
      <vt:lpstr>HEAT_TARIFF_G_DEL_HL_DIAMETERS_COLUMN_MARKER</vt:lpstr>
      <vt:lpstr>HEAT_TARIFF_G_DEL_HL_GC_COLUMN_MARKER</vt:lpstr>
      <vt:lpstr>HEAT_TARIFF_G_DEL_HL_LOAD_COLUMN_MARKER</vt:lpstr>
      <vt:lpstr>HEAT_TARIFF_G_DEL_HL_NETS_COLUMN_MARKER</vt:lpstr>
      <vt:lpstr>HEAT_TARIFF_G_DEL_HL_SCHEME_COLUMN_MARKER</vt:lpstr>
      <vt:lpstr>HEAT_TARIFF_G_DEL_HL_TN_COLUMN_MARKER</vt:lpstr>
      <vt:lpstr>HEAT_TARIFF_G_DELETE_PERIOD_ROW_MARKER</vt:lpstr>
      <vt:lpstr>HEAT_TARIFF_G_FLAG_BLOCK_COLUMN_MARKER</vt:lpstr>
      <vt:lpstr>HEAT_TARIFF_G_FLAG_BLOCK_ROW_MARKER</vt:lpstr>
      <vt:lpstr>HEAT_TARIFF_G_NUM_CS_COLUMN_MARKER</vt:lpstr>
      <vt:lpstr>HEAT_TARIFF_G_NUM_DIAMETERS_COLUMN_MARKER</vt:lpstr>
      <vt:lpstr>HEAT_TARIFF_G_NUM_GC_COLUMN_MARKER</vt:lpstr>
      <vt:lpstr>HEAT_TARIFF_G_NUM_IST_TE_COLUMN_MARKER</vt:lpstr>
      <vt:lpstr>HEAT_TARIFF_G_NUM_LOAD_COLUMN_MARKER</vt:lpstr>
      <vt:lpstr>HEAT_TARIFF_G_NUM_NETS_COLUMN_MARKER</vt:lpstr>
      <vt:lpstr>HEAT_TARIFF_G_NUM_NTAR_COLUMN_MARKER</vt:lpstr>
      <vt:lpstr>HEAT_TARIFF_G_NUM_SCHEME_COLUMN_MARKER</vt:lpstr>
      <vt:lpstr>HEAT_TARIFF_G_NUM_TER_COLUMN_MARKER</vt:lpstr>
      <vt:lpstr>HEAT_TARIFF_G_NUM_TN_COLUMN_MARKER</vt:lpstr>
      <vt:lpstr>HEAT_TARIFF_H_ADD_HL_COLUMN_MARKER</vt:lpstr>
      <vt:lpstr>HEAT_TARIFF_H_ADD_HL_DIAMETERS_COLUMN_MARKER</vt:lpstr>
      <vt:lpstr>HEAT_TARIFF_H_ADD_HL_LOAD_COLUMN_MARKER</vt:lpstr>
      <vt:lpstr>HEAT_TARIFF_H_ADD_HL_NETS_COLUMN_MARKER</vt:lpstr>
      <vt:lpstr>HEAT_TARIFF_H_DEL_HL_DIAMETERS_COLUMN_MARKER</vt:lpstr>
      <vt:lpstr>HEAT_TARIFF_H_DEL_HL_GC_COLUMN_MARKER</vt:lpstr>
      <vt:lpstr>HEAT_TARIFF_H_DEL_HL_LOAD_COLUMN_MARKER</vt:lpstr>
      <vt:lpstr>HEAT_TARIFF_H_DEL_HL_NETS_COLUMN_MARKER</vt:lpstr>
      <vt:lpstr>HEAT_TARIFF_H_DEL_HL_SCHEME_COLUMN_MARKER</vt:lpstr>
      <vt:lpstr>HEAT_TARIFF_H_DEL_HL_TN_COLUMN_MARKER</vt:lpstr>
      <vt:lpstr>HEAT_TARIFF_H_DELETE_PERIOD_ROW_MARKER</vt:lpstr>
      <vt:lpstr>HEAT_TARIFF_H_FLAG_BLOCK_COLUMN_MARKER</vt:lpstr>
      <vt:lpstr>HEAT_TARIFF_H_FLAG_BLOCK_ROW_MARKER</vt:lpstr>
      <vt:lpstr>HEAT_TARIFF_H_NUM_CS_COLUMN_MARKER</vt:lpstr>
      <vt:lpstr>HEAT_TARIFF_H_NUM_DIAMETERS_COLUMN_MARKER</vt:lpstr>
      <vt:lpstr>HEAT_TARIFF_H_NUM_GC_COLUMN_MARKER</vt:lpstr>
      <vt:lpstr>HEAT_TARIFF_H_NUM_IST_TE_COLUMN_MARKER</vt:lpstr>
      <vt:lpstr>HEAT_TARIFF_H_NUM_LOAD_COLUMN_MARKER</vt:lpstr>
      <vt:lpstr>HEAT_TARIFF_H_NUM_NETS_COLUMN_MARKER</vt:lpstr>
      <vt:lpstr>HEAT_TARIFF_H_NUM_NTAR_COLUMN_MARKER</vt:lpstr>
      <vt:lpstr>HEAT_TARIFF_H_NUM_SCHEME_COLUMN_MARKER</vt:lpstr>
      <vt:lpstr>HEAT_TARIFF_H_NUM_TER_COLUMN_MARKER</vt:lpstr>
      <vt:lpstr>HEAT_TARIFF_H_NUM_TN_COLUMN_MARKER</vt:lpstr>
      <vt:lpstr>HEAT_TARIFF_I_1_ADD_HL_COLUMN_MARKER</vt:lpstr>
      <vt:lpstr>HEAT_TARIFF_I_1_DEL_HL_GC_COLUMN_MARKER</vt:lpstr>
      <vt:lpstr>HEAT_TARIFF_I_1_DEL_HL_SCHEME_COLUMN_MARKER</vt:lpstr>
      <vt:lpstr>HEAT_TARIFF_I_1_DEL_HL_TN_COLUMN_MARKER</vt:lpstr>
      <vt:lpstr>HEAT_TARIFF_I_1_DELETE_PERIOD_ROW_MARKER</vt:lpstr>
      <vt:lpstr>HEAT_TARIFF_I_1_FLAG_BLOCK_COLUMN_MARKER</vt:lpstr>
      <vt:lpstr>HEAT_TARIFF_I_1_FLAG_BLOCK_ROW_MARKER</vt:lpstr>
      <vt:lpstr>HEAT_TARIFF_I_1_NUM_CS_COLUMN_MARKER</vt:lpstr>
      <vt:lpstr>HEAT_TARIFF_I_1_NUM_GC_COLUMN_MARKER</vt:lpstr>
      <vt:lpstr>HEAT_TARIFF_I_1_NUM_IST_TE_COLUMN_MARKER</vt:lpstr>
      <vt:lpstr>HEAT_TARIFF_I_1_NUM_NTAR_COLUMN_MARKER</vt:lpstr>
      <vt:lpstr>HEAT_TARIFF_I_1_NUM_SCHEME_COLUMN_MARKER</vt:lpstr>
      <vt:lpstr>HEAT_TARIFF_I_1_NUM_TER_COLUMN_MARKER</vt:lpstr>
      <vt:lpstr>HEAT_TARIFF_I_1_NUM_TN_COLUMN_MARKER</vt:lpstr>
      <vt:lpstr>HEAT_TARIFF_I_ADD_HL_COLUMN_MARKER</vt:lpstr>
      <vt:lpstr>HEAT_TARIFF_I_DEL_HL_GC_COLUMN_MARKER</vt:lpstr>
      <vt:lpstr>HEAT_TARIFF_I_DEL_HL_SCHEME_COLUMN_MARKER</vt:lpstr>
      <vt:lpstr>HEAT_TARIFF_I_DEL_HL_TN_COLUMN_MARKER</vt:lpstr>
      <vt:lpstr>HEAT_TARIFF_I_DELETE_PERIOD_ROW_MARKER</vt:lpstr>
      <vt:lpstr>HEAT_TARIFF_I_FLAG_BLOCK_COLUMN_MARKER</vt:lpstr>
      <vt:lpstr>HEAT_TARIFF_I_FLAG_BLOCK_ROW_MARKER</vt:lpstr>
      <vt:lpstr>HEAT_TARIFF_I_NUM_CS_COLUMN_MARKER</vt:lpstr>
      <vt:lpstr>HEAT_TARIFF_I_NUM_GC_COLUMN_MARKER</vt:lpstr>
      <vt:lpstr>HEAT_TARIFF_I_NUM_IST_TE_COLUMN_MARKER</vt:lpstr>
      <vt:lpstr>HEAT_TARIFF_I_NUM_NTAR_COLUMN_MARKER</vt:lpstr>
      <vt:lpstr>HEAT_TARIFF_I_NUM_SCHEME_COLUMN_MARKER</vt:lpstr>
      <vt:lpstr>HEAT_TARIFF_I_NUM_TER_COLUMN_MARKER</vt:lpstr>
      <vt:lpstr>HEAT_TARIFF_I_NUM_TN_COLUMN_MARKER</vt:lpstr>
      <vt:lpstr>HOTVSNA_FIN_SRC_LIST</vt:lpstr>
      <vt:lpstr>HOTVSNA_FIN_SRC_VLD_LIST</vt:lpstr>
      <vt:lpstr>HOTVSNA_IP_EVENT_CI_STAGE_LIST</vt:lpstr>
      <vt:lpstr>HOTVSNA_IP_EVENT_GROUP_LIST</vt:lpstr>
      <vt:lpstr>HOTVSNA_IP_EVENT_SUBGROUP_1_LIST</vt:lpstr>
      <vt:lpstr>HOTVSNA_IP_EVENT_SUBGROUP_3_LIST</vt:lpstr>
      <vt:lpstr>HOTVSNA_IP_EVENT_SUBGROUP_5_LIST</vt:lpstr>
      <vt:lpstr>HOTVSNA_IP_EVENT_TYPE_LIST</vt:lpstr>
      <vt:lpstr>HOTVSNA_PT_VED_ID</vt:lpstr>
      <vt:lpstr>HOTVSNA_PT_VED_NAME</vt:lpstr>
      <vt:lpstr>HOTVSNA_PT_VED_NAME_LIST</vt:lpstr>
      <vt:lpstr>HOTVSNA_TARIFF_A_HOTVSNA_ADD_HL_COLUMN_MARKER</vt:lpstr>
      <vt:lpstr>HOTVSNA_TARIFF_A_HOTVSNA_DEL_HL_DATA_DIFF_COLUMN_MARKER</vt:lpstr>
      <vt:lpstr>HOTVSNA_TARIFF_A_HOTVSNA_DEL_HL_FLAG_DIFF_COLUMN_MARKER</vt:lpstr>
      <vt:lpstr>HOTVSNA_TARIFF_A_HOTVSNA_DEL_HL_GC_COLUMN_MARKER</vt:lpstr>
      <vt:lpstr>HOTVSNA_TARIFF_A_HOTVSNA_DELETE_PERIOD_ROW_MARKER</vt:lpstr>
      <vt:lpstr>HOTVSNA_TARIFF_A_HOTVSNA_FLAG_BLOCK_COLUMN_MARKER</vt:lpstr>
      <vt:lpstr>HOTVSNA_TARIFF_A_HOTVSNA_FLAG_BLOCK_ROW_MARKER</vt:lpstr>
      <vt:lpstr>HOTVSNA_TARIFF_A_HOTVSNA_NUM_CS_COLUMN_MARKER</vt:lpstr>
      <vt:lpstr>HOTVSNA_TARIFF_A_HOTVSNA_NUM_DATA_DIFF_COLUMN_MARKER</vt:lpstr>
      <vt:lpstr>HOTVSNA_TARIFF_A_HOTVSNA_NUM_FLAG_DIFF_COLUMN_MARKER</vt:lpstr>
      <vt:lpstr>HOTVSNA_TARIFF_A_HOTVSNA_NUM_GC_COLUMN_MARKER</vt:lpstr>
      <vt:lpstr>HOTVSNA_TARIFF_A_HOTVSNA_NUM_NTAR_COLUMN_MARKER</vt:lpstr>
      <vt:lpstr>HOTVSNA_TARIFF_A_HOTVSNA_NUM_TER_COLUMN_MARKER</vt:lpstr>
      <vt:lpstr>HOTVSNA_TARIFF_B_HOTVSNA_ADD_HL_COLUMN_MARKER</vt:lpstr>
      <vt:lpstr>HOTVSNA_TARIFF_B_HOTVSNA_DEL_HL_DATA_DIFF_COLUMN_MARKER</vt:lpstr>
      <vt:lpstr>HOTVSNA_TARIFF_B_HOTVSNA_DEL_HL_FLAG_DIFF_COLUMN_MARKER</vt:lpstr>
      <vt:lpstr>HOTVSNA_TARIFF_B_HOTVSNA_DEL_HL_GC_COLUMN_MARKER</vt:lpstr>
      <vt:lpstr>HOTVSNA_TARIFF_B_HOTVSNA_DELETE_PERIOD_ROW_MARKER</vt:lpstr>
      <vt:lpstr>HOTVSNA_TARIFF_B_HOTVSNA_FLAG_BLOCK_COLUMN_MARKER</vt:lpstr>
      <vt:lpstr>HOTVSNA_TARIFF_B_HOTVSNA_FLAG_BLOCK_ROW_MARKER</vt:lpstr>
      <vt:lpstr>HOTVSNA_TARIFF_B_HOTVSNA_NUM_CS_COLUMN_MARKER</vt:lpstr>
      <vt:lpstr>HOTVSNA_TARIFF_B_HOTVSNA_NUM_DATA_DIFF_COLUMN_MARKER</vt:lpstr>
      <vt:lpstr>HOTVSNA_TARIFF_B_HOTVSNA_NUM_FLAG_DIFF_COLUMN_MARKER</vt:lpstr>
      <vt:lpstr>HOTVSNA_TARIFF_B_HOTVSNA_NUM_GC_COLUMN_MARKER</vt:lpstr>
      <vt:lpstr>HOTVSNA_TARIFF_B_HOTVSNA_NUM_NTAR_COLUMN_MARKER</vt:lpstr>
      <vt:lpstr>HOTVSNA_TARIFF_B_HOTVSNA_NUM_TER_COLUMN_MARKER</vt:lpstr>
      <vt:lpstr>HOTVSNA_TARIFF_C_HOTVSNA_ADD_HL_COLUMN_MARKER</vt:lpstr>
      <vt:lpstr>HOTVSNA_TARIFF_C_HOTVSNA_ADD_HL_DIAMETERS_COLUMN_MARKER</vt:lpstr>
      <vt:lpstr>HOTVSNA_TARIFF_C_HOTVSNA_ADD_HL_LEN_COLUMN_MARKER</vt:lpstr>
      <vt:lpstr>HOTVSNA_TARIFF_C_HOTVSNA_ADD_HL_LOAD_COLUMN_MARKER</vt:lpstr>
      <vt:lpstr>HOTVSNA_TARIFF_C_HOTVSNA_ADD_HL_NETS_COLUMN_MARKER</vt:lpstr>
      <vt:lpstr>HOTVSNA_TARIFF_C_HOTVSNA_DEL_HL_DATA_DIFF_COLUMN_MARKER</vt:lpstr>
      <vt:lpstr>HOTVSNA_TARIFF_C_HOTVSNA_DEL_HL_DIAMETERS_COLUMN_MARKER</vt:lpstr>
      <vt:lpstr>HOTVSNA_TARIFF_C_HOTVSNA_DEL_HL_FLAG_DIFF_COLUMN_MARKER</vt:lpstr>
      <vt:lpstr>HOTVSNA_TARIFF_C_HOTVSNA_DEL_HL_GC_COLUMN_MARKER</vt:lpstr>
      <vt:lpstr>HOTVSNA_TARIFF_C_HOTVSNA_DEL_HL_LEN_COLUMN_MARKER</vt:lpstr>
      <vt:lpstr>HOTVSNA_TARIFF_C_HOTVSNA_DEL_HL_LOAD_COLUMN_MARKER</vt:lpstr>
      <vt:lpstr>HOTVSNA_TARIFF_C_HOTVSNA_DEL_HL_NETS_COLUMN_MARKER</vt:lpstr>
      <vt:lpstr>HOTVSNA_TARIFF_C_HOTVSNA_DELETE_PERIOD_ROW_MARKER</vt:lpstr>
      <vt:lpstr>HOTVSNA_TARIFF_C_HOTVSNA_FLAG_BLOCK_COLUMN_MARKER</vt:lpstr>
      <vt:lpstr>HOTVSNA_TARIFF_C_HOTVSNA_FLAG_BLOCK_ROW_MARKER</vt:lpstr>
      <vt:lpstr>HOTVSNA_TARIFF_C_HOTVSNA_NUM_CS_COLUMN_MARKER</vt:lpstr>
      <vt:lpstr>HOTVSNA_TARIFF_C_HOTVSNA_NUM_DATA_DIFF_COLUMN_MARKER</vt:lpstr>
      <vt:lpstr>HOTVSNA_TARIFF_C_HOTVSNA_NUM_DIAMETERS_COLUMN_MARKER</vt:lpstr>
      <vt:lpstr>HOTVSNA_TARIFF_C_HOTVSNA_NUM_FLAG_DIFF_COLUMN_MARKER</vt:lpstr>
      <vt:lpstr>HOTVSNA_TARIFF_C_HOTVSNA_NUM_GC_COLUMN_MARKER</vt:lpstr>
      <vt:lpstr>HOTVSNA_TARIFF_C_HOTVSNA_NUM_LEN_COLUMN_MARKER</vt:lpstr>
      <vt:lpstr>HOTVSNA_TARIFF_C_HOTVSNA_NUM_LOAD_COLUMN_MARKER</vt:lpstr>
      <vt:lpstr>HOTVSNA_TARIFF_C_HOTVSNA_NUM_NETS_COLUMN_MARKER</vt:lpstr>
      <vt:lpstr>HOTVSNA_TARIFF_C_HOTVSNA_NUM_NTAR_COLUMN_MARKER</vt:lpstr>
      <vt:lpstr>HOTVSNA_TARIFF_C_HOTVSNA_NUM_TER_COLUMN_MARKER</vt:lpstr>
      <vt:lpstr>Info_Diff</vt:lpstr>
      <vt:lpstr>Info_Diff1</vt:lpstr>
      <vt:lpstr>Info_FilFlag</vt:lpstr>
      <vt:lpstr>Info_ForMOInListMO</vt:lpstr>
      <vt:lpstr>Info_ForMRInListMO</vt:lpstr>
      <vt:lpstr>Info_ForSKIInListMO</vt:lpstr>
      <vt:lpstr>Info_ForSKINumberInListMO</vt:lpstr>
      <vt:lpstr>Info_NoteStandarts</vt:lpstr>
      <vt:lpstr>Info_NoUpdates</vt:lpstr>
      <vt:lpstr>Info_PeriodInTitle</vt:lpstr>
      <vt:lpstr>Info_PrDiff</vt:lpstr>
      <vt:lpstr>Info_PublicationNotDisclosed</vt:lpstr>
      <vt:lpstr>Info_PublicationPdf</vt:lpstr>
      <vt:lpstr>Info_PublicationWeb</vt:lpstr>
      <vt:lpstr>Info_T_Podkl</vt:lpstr>
      <vt:lpstr>Info_TarName</vt:lpstr>
      <vt:lpstr>Info_TerExcludeHelp_1</vt:lpstr>
      <vt:lpstr>Info_TerExcludeHelp_2</vt:lpstr>
      <vt:lpstr>Info_TitleFil</vt:lpstr>
      <vt:lpstr>Info_TitleFlagCrossSubsidization</vt:lpstr>
      <vt:lpstr>Info_TitleFlagIstPubl</vt:lpstr>
      <vt:lpstr>Info_TitleFlagTwoPartTariff</vt:lpstr>
      <vt:lpstr>Info_TitleGroupRates</vt:lpstr>
      <vt:lpstr>Info_TitleKindPublication</vt:lpstr>
      <vt:lpstr>Info_TitleKindsOfGoods</vt:lpstr>
      <vt:lpstr>Info_TitlePublication</vt:lpstr>
      <vt:lpstr>Info_TitleType</vt:lpstr>
      <vt:lpstr>inn</vt:lpstr>
      <vt:lpstr>IP_CLAIM_LIST</vt:lpstr>
      <vt:lpstr>IP_DETAILED_ADD_HL_EVENT_COLUMN_MARKER</vt:lpstr>
      <vt:lpstr>IP_DETAILED_ADD_HL_IST_FIN_COLUMN_MARKER</vt:lpstr>
      <vt:lpstr>IP_DETAILED_ADD_HL_OBJECT_COLUMN_MARKER</vt:lpstr>
      <vt:lpstr>IP_DETAILED_DATA_KS</vt:lpstr>
      <vt:lpstr>IP_DETAILED_EVENT_MARKER</vt:lpstr>
      <vt:lpstr>IP_DETAILED_EVENT_SUBGROUP_COLUMN_MARKER</vt:lpstr>
      <vt:lpstr>IP_DETAILED_EVENT_SUBGROUP_RANGE_COLUMN_MARKER</vt:lpstr>
      <vt:lpstr>IP_DETAILED_FLAG_KS</vt:lpstr>
      <vt:lpstr>IP_DETAILED_FLAG_OBJECT</vt:lpstr>
      <vt:lpstr>IP_DETAILED_GROUP_MARKER</vt:lpstr>
      <vt:lpstr>IP_DETAILED_IST_FIN_FACT_COLUMN_MARKER</vt:lpstr>
      <vt:lpstr>IP_DETAILED_LIST_IP_ID</vt:lpstr>
      <vt:lpstr>IP_DETAILED_MONTH_FACT_COLUMN_MARKER</vt:lpstr>
      <vt:lpstr>IP_DETAILED_MONTH_PLAN_COLUMN_MARKER</vt:lpstr>
      <vt:lpstr>IP_DETAILED_NAME_EVENT_COLUMN_MARKER</vt:lpstr>
      <vt:lpstr>IP_DETAILED_YEAR_FACT_COLUMN_MARKER</vt:lpstr>
      <vt:lpstr>IP_DETAILED_YEAR_PLAN_COLUMN_MARKER</vt:lpstr>
      <vt:lpstr>IP_FIN_PLAN_LIST_ID_MARKER_ROW</vt:lpstr>
      <vt:lpstr>IP_FIN_PLAN_NAME_IP_MARKER_ROW</vt:lpstr>
      <vt:lpstr>IP_FIN_PLAN_YEAR_MARKER_ROW</vt:lpstr>
      <vt:lpstr>IP_ID</vt:lpstr>
      <vt:lpstr>IP_MAIN_ADD_HL_PROPERTY_COLUMN_MARKER</vt:lpstr>
      <vt:lpstr>IP_MAIN_APPROVAL_DATE</vt:lpstr>
      <vt:lpstr>IP_MAIN_CHANGE_DATE</vt:lpstr>
      <vt:lpstr>IP_MAIN_CLAIM</vt:lpstr>
      <vt:lpstr>IP_MAIN_DATE_PARKING</vt:lpstr>
      <vt:lpstr>IP_MAIN_DELETE_HL_COLUMN_MARKER</vt:lpstr>
      <vt:lpstr>IP_MAIN_DIFFERENTIATION_EVENTS_FLAG</vt:lpstr>
      <vt:lpstr>IP_MAIN_END_DATE</vt:lpstr>
      <vt:lpstr>IP_MAIN_FLAG_KS</vt:lpstr>
      <vt:lpstr>IP_MAIN_FLAG_KS_COLUMN_MARKER</vt:lpstr>
      <vt:lpstr>IP_MAIN_IP_FIN_PLAN_VISIBLE_FLAG</vt:lpstr>
      <vt:lpstr>IP_MAIN_LIST_IP_ID</vt:lpstr>
      <vt:lpstr>IP_MAIN_LIST_NAME_IP</vt:lpstr>
      <vt:lpstr>IP_MAIN_PERIOD_REALIZ_DATE</vt:lpstr>
      <vt:lpstr>IP_MAIN_PR_IP_CHANGE_DATE</vt:lpstr>
      <vt:lpstr>IP_MAIN_PR_IP_DATE</vt:lpstr>
      <vt:lpstr>IP_MAIN_PR_IP_NAME</vt:lpstr>
      <vt:lpstr>IP_MAIN_PR_IP_NUMBER</vt:lpstr>
      <vt:lpstr>IP_MAIN_PR_IP_TYPE</vt:lpstr>
      <vt:lpstr>IP_MAIN_START_DATE</vt:lpstr>
      <vt:lpstr>IP_NAME_FORM</vt:lpstr>
      <vt:lpstr>IP_QRE_ADD_HL_CLAIM_COLUMN_MARKER</vt:lpstr>
      <vt:lpstr>IP_QRE_ADD_HL_COLUMN_MARKER</vt:lpstr>
      <vt:lpstr>IP_QRE_DELETE_HL_COLUMN_MARKER</vt:lpstr>
      <vt:lpstr>IP_QRE_LIST_IP_ID</vt:lpstr>
      <vt:lpstr>IP_QRE_NUM_COLUMN_MARKER</vt:lpstr>
      <vt:lpstr>IP_QRE_OTKO_FEATURES_BLOCK</vt:lpstr>
      <vt:lpstr>IP_QRE_VOTV_FEATURES_BLOCK</vt:lpstr>
      <vt:lpstr>IP_QRE_VSNA_FEATURES_BLOCK</vt:lpstr>
      <vt:lpstr>IP_QRE_WARM_FEATURES_BLOCK</vt:lpstr>
      <vt:lpstr>IST_TE_ID</vt:lpstr>
      <vt:lpstr>kind_group_rates</vt:lpstr>
      <vt:lpstr>kind_group_rates_load</vt:lpstr>
      <vt:lpstr>kind_group_rates_load_ETS</vt:lpstr>
      <vt:lpstr>kind_group_rates_load_filter</vt:lpstr>
      <vt:lpstr>kind_group_rates_load_filter_ETS</vt:lpstr>
      <vt:lpstr>kind_of_activity_WARM</vt:lpstr>
      <vt:lpstr>kind_of_cons</vt:lpstr>
      <vt:lpstr>kind_of_control_method</vt:lpstr>
      <vt:lpstr>kind_of_control_method_filter</vt:lpstr>
      <vt:lpstr>kind_of_data_type</vt:lpstr>
      <vt:lpstr>kind_of_diameters</vt:lpstr>
      <vt:lpstr>kind_of_diameters2</vt:lpstr>
      <vt:lpstr>kind_of_diff</vt:lpstr>
      <vt:lpstr>kind_of_fuel</vt:lpstr>
      <vt:lpstr>kind_of_fuels</vt:lpstr>
      <vt:lpstr>kind_of_heat_transfer</vt:lpstr>
      <vt:lpstr>kind_of_heat_transfer2</vt:lpstr>
      <vt:lpstr>kind_of_heat_transfer3</vt:lpstr>
      <vt:lpstr>kind_of_load</vt:lpstr>
      <vt:lpstr>kind_of_load2</vt:lpstr>
      <vt:lpstr>kind_of_load3</vt:lpstr>
      <vt:lpstr>kind_of_load4</vt:lpstr>
      <vt:lpstr>kind_of_NDS</vt:lpstr>
      <vt:lpstr>kind_of_NDS_tariff</vt:lpstr>
      <vt:lpstr>kind_of_NDS_tariff_people</vt:lpstr>
      <vt:lpstr>kind_of_nets</vt:lpstr>
      <vt:lpstr>kind_of_org_type</vt:lpstr>
      <vt:lpstr>kind_of_power_te_unit</vt:lpstr>
      <vt:lpstr>kind_of_publication</vt:lpstr>
      <vt:lpstr>kind_of_purchase_method</vt:lpstr>
      <vt:lpstr>kind_of_scheme_in</vt:lpstr>
      <vt:lpstr>kind_of_scheme_in2</vt:lpstr>
      <vt:lpstr>kind_of_tariff_RHEAT</vt:lpstr>
      <vt:lpstr>kind_of_tariff_unit</vt:lpstr>
      <vt:lpstr>kind_of_unit</vt:lpstr>
      <vt:lpstr>kind_of_volume_te_unit</vt:lpstr>
      <vt:lpstr>kind_of_zak</vt:lpstr>
      <vt:lpstr>KNE_NAME_FORM</vt:lpstr>
      <vt:lpstr>kpp</vt:lpstr>
      <vt:lpstr>LINK_RANGE</vt:lpstr>
      <vt:lpstr>List_H</vt:lpstr>
      <vt:lpstr>List_M</vt:lpstr>
      <vt:lpstr>LIST_MR_MO_OKTMO</vt:lpstr>
      <vt:lpstr>LIST_MR_MO_OKTMO_FILTER</vt:lpstr>
      <vt:lpstr>ListForms</vt:lpstr>
      <vt:lpstr>logical</vt:lpstr>
      <vt:lpstr>MONTH</vt:lpstr>
      <vt:lpstr>MONTH_IP_LIST</vt:lpstr>
      <vt:lpstr>nalog</vt:lpstr>
      <vt:lpstr>name_rates_4</vt:lpstr>
      <vt:lpstr>name_rates_4_filter</vt:lpstr>
      <vt:lpstr>name_rates_8</vt:lpstr>
      <vt:lpstr>name_rates_8_filter</vt:lpstr>
      <vt:lpstr>NameTemplatesInListMO</vt:lpstr>
      <vt:lpstr>NameTemplatesInTitle</vt:lpstr>
      <vt:lpstr>NameTemplatesInTitleList</vt:lpstr>
      <vt:lpstr>NTAR_ID</vt:lpstr>
      <vt:lpstr>OFFER_DPR</vt:lpstr>
      <vt:lpstr>OFFER_METHOD</vt:lpstr>
      <vt:lpstr>OFFER_METHOD_FLAG</vt:lpstr>
      <vt:lpstr>OFFER_TARIFF_A_1</vt:lpstr>
      <vt:lpstr>OFFER_TARIFF_A_2</vt:lpstr>
      <vt:lpstr>OFFER_TARIFF_A_3</vt:lpstr>
      <vt:lpstr>OFFER_TARIFF_A_4</vt:lpstr>
      <vt:lpstr>OFFER_TARIFF_A_5</vt:lpstr>
      <vt:lpstr>OFFER_TARIFF_A_COLDVSNA_1</vt:lpstr>
      <vt:lpstr>OFFER_TARIFF_A_COLDVSNA_2</vt:lpstr>
      <vt:lpstr>OFFER_TARIFF_A_COLDVSNA_3</vt:lpstr>
      <vt:lpstr>OFFER_TARIFF_A_COLDVSNA_4</vt:lpstr>
      <vt:lpstr>OFFER_TARIFF_A_COLDVSNA_5</vt:lpstr>
      <vt:lpstr>OFFER_TARIFF_A_HOTVSNA_1</vt:lpstr>
      <vt:lpstr>OFFER_TARIFF_A_HOTVSNA_2</vt:lpstr>
      <vt:lpstr>OFFER_TARIFF_A_HOTVSNA_3</vt:lpstr>
      <vt:lpstr>OFFER_TARIFF_A_HOTVSNA_4</vt:lpstr>
      <vt:lpstr>OFFER_TARIFF_A_HOTVSNA_5</vt:lpstr>
      <vt:lpstr>OFFER_TARIFF_A_VOTV_1</vt:lpstr>
      <vt:lpstr>OFFER_TARIFF_A_VOTV_2</vt:lpstr>
      <vt:lpstr>OFFER_TARIFF_A_VOTV_3</vt:lpstr>
      <vt:lpstr>OFFER_TARIFF_A_VOTV_4</vt:lpstr>
      <vt:lpstr>OFFER_TARIFF_A_VOTV_5</vt:lpstr>
      <vt:lpstr>OFFER_TARIFF_B_1</vt:lpstr>
      <vt:lpstr>OFFER_TARIFF_B_2</vt:lpstr>
      <vt:lpstr>OFFER_TARIFF_B_3</vt:lpstr>
      <vt:lpstr>OFFER_TARIFF_B_4</vt:lpstr>
      <vt:lpstr>OFFER_TARIFF_B_5</vt:lpstr>
      <vt:lpstr>OFFER_TARIFF_B_COLDVSNA_1</vt:lpstr>
      <vt:lpstr>OFFER_TARIFF_B_COLDVSNA_2</vt:lpstr>
      <vt:lpstr>OFFER_TARIFF_B_COLDVSNA_3</vt:lpstr>
      <vt:lpstr>OFFER_TARIFF_B_COLDVSNA_4</vt:lpstr>
      <vt:lpstr>OFFER_TARIFF_B_COLDVSNA_5</vt:lpstr>
      <vt:lpstr>OFFER_TARIFF_B_HOTVSNA_1</vt:lpstr>
      <vt:lpstr>OFFER_TARIFF_B_HOTVSNA_2</vt:lpstr>
      <vt:lpstr>OFFER_TARIFF_B_HOTVSNA_3</vt:lpstr>
      <vt:lpstr>OFFER_TARIFF_B_HOTVSNA_4</vt:lpstr>
      <vt:lpstr>OFFER_TARIFF_B_HOTVSNA_5</vt:lpstr>
      <vt:lpstr>OFFER_TARIFF_B_VOTV_1</vt:lpstr>
      <vt:lpstr>OFFER_TARIFF_B_VOTV_2</vt:lpstr>
      <vt:lpstr>OFFER_TARIFF_B_VOTV_3</vt:lpstr>
      <vt:lpstr>OFFER_TARIFF_B_VOTV_4</vt:lpstr>
      <vt:lpstr>OFFER_TARIFF_B_VOTV_5</vt:lpstr>
      <vt:lpstr>OFFER_TARIFF_C_1</vt:lpstr>
      <vt:lpstr>OFFER_TARIFF_C_2</vt:lpstr>
      <vt:lpstr>OFFER_TARIFF_C_3</vt:lpstr>
      <vt:lpstr>OFFER_TARIFF_C_4</vt:lpstr>
      <vt:lpstr>OFFER_TARIFF_C_5</vt:lpstr>
      <vt:lpstr>OFFER_TARIFF_C_COLDVSNA_1</vt:lpstr>
      <vt:lpstr>OFFER_TARIFF_C_COLDVSNA_2</vt:lpstr>
      <vt:lpstr>OFFER_TARIFF_C_COLDVSNA_3</vt:lpstr>
      <vt:lpstr>OFFER_TARIFF_C_COLDVSNA_4</vt:lpstr>
      <vt:lpstr>OFFER_TARIFF_C_COLDVSNA_5</vt:lpstr>
      <vt:lpstr>OFFER_TARIFF_C_HOTVSNA_1</vt:lpstr>
      <vt:lpstr>OFFER_TARIFF_C_HOTVSNA_2</vt:lpstr>
      <vt:lpstr>OFFER_TARIFF_C_HOTVSNA_3</vt:lpstr>
      <vt:lpstr>OFFER_TARIFF_C_HOTVSNA_4</vt:lpstr>
      <vt:lpstr>OFFER_TARIFF_C_HOTVSNA_5</vt:lpstr>
      <vt:lpstr>OFFER_TARIFF_C_VOTV_1</vt:lpstr>
      <vt:lpstr>OFFER_TARIFF_C_VOTV_2</vt:lpstr>
      <vt:lpstr>OFFER_TARIFF_C_VOTV_3</vt:lpstr>
      <vt:lpstr>OFFER_TARIFF_C_VOTV_4</vt:lpstr>
      <vt:lpstr>OFFER_TARIFF_C_VOTV_5</vt:lpstr>
      <vt:lpstr>OFFER_TARIFF_D_1</vt:lpstr>
      <vt:lpstr>OFFER_TARIFF_D_2</vt:lpstr>
      <vt:lpstr>OFFER_TARIFF_D_3</vt:lpstr>
      <vt:lpstr>OFFER_TARIFF_D_4</vt:lpstr>
      <vt:lpstr>OFFER_TARIFF_D_5</vt:lpstr>
      <vt:lpstr>OFFER_TARIFF_D_COLDVSNA_1</vt:lpstr>
      <vt:lpstr>OFFER_TARIFF_D_COLDVSNA_2</vt:lpstr>
      <vt:lpstr>OFFER_TARIFF_D_COLDVSNA_3</vt:lpstr>
      <vt:lpstr>OFFER_TARIFF_D_COLDVSNA_4</vt:lpstr>
      <vt:lpstr>OFFER_TARIFF_D_COLDVSNA_5</vt:lpstr>
      <vt:lpstr>OFFER_TARIFF_E_COLDVSNA_1</vt:lpstr>
      <vt:lpstr>OFFER_TARIFF_E_COLDVSNA_2</vt:lpstr>
      <vt:lpstr>OFFER_TARIFF_E_COLDVSNA_3</vt:lpstr>
      <vt:lpstr>OFFER_TARIFF_E_COLDVSNA_4</vt:lpstr>
      <vt:lpstr>OFFER_TARIFF_E_COLDVSNA_5</vt:lpstr>
      <vt:lpstr>OFFER_TARIFF_E1_1</vt:lpstr>
      <vt:lpstr>OFFER_TARIFF_E1_2</vt:lpstr>
      <vt:lpstr>OFFER_TARIFF_E1_3</vt:lpstr>
      <vt:lpstr>OFFER_TARIFF_E1_4</vt:lpstr>
      <vt:lpstr>OFFER_TARIFF_E1_5</vt:lpstr>
      <vt:lpstr>OFFER_TARIFF_E2_1</vt:lpstr>
      <vt:lpstr>OFFER_TARIFF_E2_2</vt:lpstr>
      <vt:lpstr>OFFER_TARIFF_E2_3</vt:lpstr>
      <vt:lpstr>OFFER_TARIFF_E2_4</vt:lpstr>
      <vt:lpstr>OFFER_TARIFF_E2_5</vt:lpstr>
      <vt:lpstr>OFFER_TARIFF_F_1</vt:lpstr>
      <vt:lpstr>OFFER_TARIFF_F_2</vt:lpstr>
      <vt:lpstr>OFFER_TARIFF_F_3</vt:lpstr>
      <vt:lpstr>OFFER_TARIFF_F_4</vt:lpstr>
      <vt:lpstr>OFFER_TARIFF_F_5</vt:lpstr>
      <vt:lpstr>OFFER_TARIFF_G_1</vt:lpstr>
      <vt:lpstr>OFFER_TARIFF_G_2</vt:lpstr>
      <vt:lpstr>OFFER_TARIFF_G_3</vt:lpstr>
      <vt:lpstr>OFFER_TARIFF_G_4</vt:lpstr>
      <vt:lpstr>OFFER_TARIFF_G_5</vt:lpstr>
      <vt:lpstr>OFFER_TARIFF_H_1</vt:lpstr>
      <vt:lpstr>org</vt:lpstr>
      <vt:lpstr>Org_Address</vt:lpstr>
      <vt:lpstr>ORG_END_DATE</vt:lpstr>
      <vt:lpstr>ORG_INFO_DATE_OGRN</vt:lpstr>
      <vt:lpstr>ORG_INFO_DATE_PARKING</vt:lpstr>
      <vt:lpstr>ORG_INFO_DATE_UNI_TS</vt:lpstr>
      <vt:lpstr>ORG_INFO_EMAIL</vt:lpstr>
      <vt:lpstr>ORG_INFO_ET</vt:lpstr>
      <vt:lpstr>ORG_INFO_ET_CYAN</vt:lpstr>
      <vt:lpstr>ORG_INFO_FLAG_INVEST</vt:lpstr>
      <vt:lpstr>ORG_INFO_NAME_FORM</vt:lpstr>
      <vt:lpstr>ORG_INFO_P_NOTE_MAIN</vt:lpstr>
      <vt:lpstr>ORG_INFO_RESP_EMAIL</vt:lpstr>
      <vt:lpstr>ORG_INFO_URL</vt:lpstr>
      <vt:lpstr>Org_main</vt:lpstr>
      <vt:lpstr>ORG_START_DATE</vt:lpstr>
      <vt:lpstr>ORG_TERRITORY_FIRST_MO</vt:lpstr>
      <vt:lpstr>ORG_TERRITORY_FLAG_INTERNET</vt:lpstr>
      <vt:lpstr>ORG_TERRITORY_LINK</vt:lpstr>
      <vt:lpstr>ORG_TERRITORY_NAME_COL</vt:lpstr>
      <vt:lpstr>ORG_TERRITORY_POINT_NUMBER_1</vt:lpstr>
      <vt:lpstr>ORG_VD_EM</vt:lpstr>
      <vt:lpstr>ORG_VD_FIRST_ROW</vt:lpstr>
      <vt:lpstr>ORG_VD_FIRST_SYSTEM</vt:lpstr>
      <vt:lpstr>ORG_VD_NAME_FORM</vt:lpstr>
      <vt:lpstr>ORG_VD_SYSTEM</vt:lpstr>
      <vt:lpstr>ORG_VD_TKO_ADD_HL_ACTIVITY_COLUMN_MARKER</vt:lpstr>
      <vt:lpstr>ORG_VD_TKO_ADD_HL_TYPE_OBJECT_COLUMN_MARKER</vt:lpstr>
      <vt:lpstr>ORG_VD_TKO_DEL_HL_ACTIVITY_COLUMN_MARKER</vt:lpstr>
      <vt:lpstr>ORG_VD_TKO_DEL_HL_TYPE_OBJECT_COLUMN_MARKER</vt:lpstr>
      <vt:lpstr>ORG_VD_TKO_VD</vt:lpstr>
      <vt:lpstr>ORG_VD_TKO_VD_ID</vt:lpstr>
      <vt:lpstr>ORG_VD_VD</vt:lpstr>
      <vt:lpstr>ORG_VD_VD_ID</vt:lpstr>
      <vt:lpstr>OTKO_FIN_SRC_LIST</vt:lpstr>
      <vt:lpstr>OTKO_FIN_SRC_VLD_LIST</vt:lpstr>
      <vt:lpstr>OTKO_IP_EVENT_CI_STAGE_LIST</vt:lpstr>
      <vt:lpstr>OTKO_IP_EVENT_GROUP_LIST</vt:lpstr>
      <vt:lpstr>OTKO_IP_EVENT_TYPE_LIST</vt:lpstr>
      <vt:lpstr>otv_lico_name</vt:lpstr>
      <vt:lpstr>P_T_TERMS_LINK</vt:lpstr>
      <vt:lpstr>pCng_P_T_TERMS_1</vt:lpstr>
      <vt:lpstr>pCng_P_T_TERMS_2</vt:lpstr>
      <vt:lpstr>pCng_P_T_TERMS_3</vt:lpstr>
      <vt:lpstr>pCng_P_T_TERMS_4</vt:lpstr>
      <vt:lpstr>pDel_B_STANDARTS</vt:lpstr>
      <vt:lpstr>pDel_CHANGE_INFO</vt:lpstr>
      <vt:lpstr>pDel_Comm</vt:lpstr>
      <vt:lpstr>pDel_DIFFERENTIATION_AREA</vt:lpstr>
      <vt:lpstr>pDel_DIFFERENTIATION_SYSTEM</vt:lpstr>
      <vt:lpstr>pDel_DIFFERENTIATION_VD</vt:lpstr>
      <vt:lpstr>pDel_ED</vt:lpstr>
      <vt:lpstr>pDel_IP_DETAILED_EVENT</vt:lpstr>
      <vt:lpstr>pDel_IP_DETAILED_IST_FIN</vt:lpstr>
      <vt:lpstr>pDel_IP_DETAILED_OBJECT</vt:lpstr>
      <vt:lpstr>pDel_IP_MAIN</vt:lpstr>
      <vt:lpstr>pDel_IP_MAIN_PROPERTY</vt:lpstr>
      <vt:lpstr>pDel_IP_QRE_CLAIM</vt:lpstr>
      <vt:lpstr>pDel_List07</vt:lpstr>
      <vt:lpstr>pDel_LT_AREA</vt:lpstr>
      <vt:lpstr>pDel_LT_MO</vt:lpstr>
      <vt:lpstr>pDel_ORG_INFO</vt:lpstr>
      <vt:lpstr>pDel_ORG_TERRITORY</vt:lpstr>
      <vt:lpstr>pDel_ORG_VD</vt:lpstr>
      <vt:lpstr>pDel_P_PROCEDURE_TC</vt:lpstr>
      <vt:lpstr>pDel_P_T_TERMS</vt:lpstr>
      <vt:lpstr>pDel_Q_LIMIT</vt:lpstr>
      <vt:lpstr>pDel_Q_TP</vt:lpstr>
      <vt:lpstr>pDel_R_B_Purch</vt:lpstr>
      <vt:lpstr>periodEnd</vt:lpstr>
      <vt:lpstr>PeriodIsEmpty</vt:lpstr>
      <vt:lpstr>PeriodIsEmptyList</vt:lpstr>
      <vt:lpstr>periodStart</vt:lpstr>
      <vt:lpstr>pHeader_B_FHD</vt:lpstr>
      <vt:lpstr>pHeader_B_FHD_TKO</vt:lpstr>
      <vt:lpstr>pHeader_B_FHD_TKO_TRANS</vt:lpstr>
      <vt:lpstr>pHeader_B_KNE</vt:lpstr>
      <vt:lpstr>pHeader_B_OTEP</vt:lpstr>
      <vt:lpstr>pHeader_Q_LIMIT</vt:lpstr>
      <vt:lpstr>pHeader_Q_PH</vt:lpstr>
      <vt:lpstr>pHeader_Q_TP</vt:lpstr>
      <vt:lpstr>pHeader_ver_B_FHD</vt:lpstr>
      <vt:lpstr>pHeader_ver_B_FHD_TKO</vt:lpstr>
      <vt:lpstr>pHeader_ver_B_FHD_TKO_TRANS</vt:lpstr>
      <vt:lpstr>pHeader_ver_B_KNE</vt:lpstr>
      <vt:lpstr>pHeader_ver_B_OTEP</vt:lpstr>
      <vt:lpstr>pHeader_ver_P_PROCEDURE_TC</vt:lpstr>
      <vt:lpstr>pHeader_ver_Q_LIMIT</vt:lpstr>
      <vt:lpstr>pIns_B_FHD_1</vt:lpstr>
      <vt:lpstr>pIns_B_FHD_2</vt:lpstr>
      <vt:lpstr>pIns_B_FHD_3</vt:lpstr>
      <vt:lpstr>pIns_B_FHD_4</vt:lpstr>
      <vt:lpstr>pIns_B_FHD_5</vt:lpstr>
      <vt:lpstr>pIns_B_FHD_6</vt:lpstr>
      <vt:lpstr>pIns_B_FHD_DIFFERENTIATION</vt:lpstr>
      <vt:lpstr>pIns_B_FHD_TKO_2</vt:lpstr>
      <vt:lpstr>pIns_B_FHD_TKO_DIFFERENTIATION</vt:lpstr>
      <vt:lpstr>pIns_B_FHD_TKO_TRANS_2</vt:lpstr>
      <vt:lpstr>pIns_B_FHD_TKO_TRANS_DIFFERENTIATION</vt:lpstr>
      <vt:lpstr>pIns_B_FHD20_DIFFERENTIATION</vt:lpstr>
      <vt:lpstr>pIns_B_KNE_DIFFERENTIATION</vt:lpstr>
      <vt:lpstr>pIns_B_OTEP_2</vt:lpstr>
      <vt:lpstr>pIns_B_OTEP_DIFFERENTIATION</vt:lpstr>
      <vt:lpstr>pIns_B_STANDARTS</vt:lpstr>
      <vt:lpstr>pIns_CHANGE_INFO</vt:lpstr>
      <vt:lpstr>pIns_Comm</vt:lpstr>
      <vt:lpstr>pIns_ED</vt:lpstr>
      <vt:lpstr>pIns_IP_DETAILED</vt:lpstr>
      <vt:lpstr>pIns_IP_FIN_PLAN</vt:lpstr>
      <vt:lpstr>pIns_IP_MAIN</vt:lpstr>
      <vt:lpstr>pIns_IP_QRE</vt:lpstr>
      <vt:lpstr>pIns_List07</vt:lpstr>
      <vt:lpstr>pIns_LT_AREA</vt:lpstr>
      <vt:lpstr>pIns_ORG_INFO_1</vt:lpstr>
      <vt:lpstr>pIns_ORG_INFO_2</vt:lpstr>
      <vt:lpstr>pIns_ORG_INFO_3</vt:lpstr>
      <vt:lpstr>pIns_ORG_TERRITORY</vt:lpstr>
      <vt:lpstr>pIns_ORG_VD_1</vt:lpstr>
      <vt:lpstr>pIns_ORG_VD_2</vt:lpstr>
      <vt:lpstr>pIns_ORG_VD_TKO_1</vt:lpstr>
      <vt:lpstr>pIns_P_PROCEDURE_TC_1</vt:lpstr>
      <vt:lpstr>pIns_P_PROCEDURE_TC_2</vt:lpstr>
      <vt:lpstr>pIns_P_PROCEDURE_TC_3</vt:lpstr>
      <vt:lpstr>pIns_P_PROCEDURE_TC_4</vt:lpstr>
      <vt:lpstr>pIns_P_PROCEDURE_TC_5</vt:lpstr>
      <vt:lpstr>pIns_P_T_TERMS_1</vt:lpstr>
      <vt:lpstr>pIns_P_T_TERMS_2</vt:lpstr>
      <vt:lpstr>pIns_P_T_TERMS_3</vt:lpstr>
      <vt:lpstr>pIns_P_T_TERMS_4</vt:lpstr>
      <vt:lpstr>pIns_PT_VTAR_A</vt:lpstr>
      <vt:lpstr>pIns_PT_VTAR_A_COLDVSNA</vt:lpstr>
      <vt:lpstr>pIns_PT_VTAR_A_COLDVSNA_OFFER_1</vt:lpstr>
      <vt:lpstr>pIns_PT_VTAR_A_COLDVSNA_OFFER_2</vt:lpstr>
      <vt:lpstr>pIns_PT_VTAR_A_COLDVSNA_OFFER_3</vt:lpstr>
      <vt:lpstr>pIns_PT_VTAR_A_COLDVSNA_OFFER_4</vt:lpstr>
      <vt:lpstr>pIns_PT_VTAR_A_COLDVSNA_OFFER_5</vt:lpstr>
      <vt:lpstr>pIns_PT_VTAR_A_COLDVSNA_OFFER5</vt:lpstr>
      <vt:lpstr>pIns_PT_VTAR_A_HOTVSNA</vt:lpstr>
      <vt:lpstr>pIns_PT_VTAR_A_HOTVSNA_OFFER_1</vt:lpstr>
      <vt:lpstr>pIns_PT_VTAR_A_HOTVSNA_OFFER_2</vt:lpstr>
      <vt:lpstr>pIns_PT_VTAR_A_HOTVSNA_OFFER_3</vt:lpstr>
      <vt:lpstr>pIns_PT_VTAR_A_HOTVSNA_OFFER_4</vt:lpstr>
      <vt:lpstr>pIns_PT_VTAR_A_HOTVSNA_OFFER_5</vt:lpstr>
      <vt:lpstr>pIns_PT_VTAR_A_OFFER_1</vt:lpstr>
      <vt:lpstr>pIns_PT_VTAR_A_OFFER_2</vt:lpstr>
      <vt:lpstr>pIns_PT_VTAR_A_OFFER_3</vt:lpstr>
      <vt:lpstr>pIns_PT_VTAR_A_OFFER_4</vt:lpstr>
      <vt:lpstr>pIns_PT_VTAR_A_OFFER_5</vt:lpstr>
      <vt:lpstr>pIns_PT_VTAR_A_VOTV</vt:lpstr>
      <vt:lpstr>pIns_PT_VTAR_A_VOTV_OFFER_1</vt:lpstr>
      <vt:lpstr>pIns_PT_VTAR_A_VOTV_OFFER_2</vt:lpstr>
      <vt:lpstr>pIns_PT_VTAR_A_VOTV_OFFER_3</vt:lpstr>
      <vt:lpstr>pIns_PT_VTAR_A_VOTV_OFFER_4</vt:lpstr>
      <vt:lpstr>pIns_PT_VTAR_A_VOTV_OFFER_5</vt:lpstr>
      <vt:lpstr>pIns_PT_VTAR_B</vt:lpstr>
      <vt:lpstr>pIns_PT_VTAR_B_COLDVSNA</vt:lpstr>
      <vt:lpstr>pIns_PT_VTAR_B_COLDVSNA_OFFER_1</vt:lpstr>
      <vt:lpstr>pIns_PT_VTAR_B_COLDVSNA_OFFER_2</vt:lpstr>
      <vt:lpstr>pIns_PT_VTAR_B_COLDVSNA_OFFER_3</vt:lpstr>
      <vt:lpstr>pIns_PT_VTAR_B_COLDVSNA_OFFER_4</vt:lpstr>
      <vt:lpstr>pIns_PT_VTAR_B_COLDVSNA_OFFER_5</vt:lpstr>
      <vt:lpstr>pIns_PT_VTAR_B_HOTVSNA</vt:lpstr>
      <vt:lpstr>pIns_PT_VTAR_B_HOTVSNA_OFFER_1</vt:lpstr>
      <vt:lpstr>pIns_PT_VTAR_B_HOTVSNA_OFFER_2</vt:lpstr>
      <vt:lpstr>pIns_PT_VTAR_B_HOTVSNA_OFFER_3</vt:lpstr>
      <vt:lpstr>pIns_PT_VTAR_B_HOTVSNA_OFFER_4</vt:lpstr>
      <vt:lpstr>pIns_PT_VTAR_B_HOTVSNA_OFFER_5</vt:lpstr>
      <vt:lpstr>pIns_PT_VTAR_B_OFFER_1</vt:lpstr>
      <vt:lpstr>pIns_PT_VTAR_B_OFFER_2</vt:lpstr>
      <vt:lpstr>pIns_PT_VTAR_B_OFFER_3</vt:lpstr>
      <vt:lpstr>pIns_PT_VTAR_B_OFFER_4</vt:lpstr>
      <vt:lpstr>pIns_PT_VTAR_B_OFFER_5</vt:lpstr>
      <vt:lpstr>pIns_PT_VTAR_B_VOTV</vt:lpstr>
      <vt:lpstr>pIns_PT_VTAR_B_VOTV_OFFER_1</vt:lpstr>
      <vt:lpstr>pIns_PT_VTAR_B_VOTV_OFFER_2</vt:lpstr>
      <vt:lpstr>pIns_PT_VTAR_B_VOTV_OFFER_3</vt:lpstr>
      <vt:lpstr>pIns_PT_VTAR_B_VOTV_OFFER_4</vt:lpstr>
      <vt:lpstr>pIns_PT_VTAR_B_VOTV_OFFER_5</vt:lpstr>
      <vt:lpstr>pIns_PT_VTAR_C</vt:lpstr>
      <vt:lpstr>pIns_PT_VTAR_C_COLDVSNA</vt:lpstr>
      <vt:lpstr>pIns_PT_VTAR_C_COLDVSNA_OFFER_1</vt:lpstr>
      <vt:lpstr>pIns_PT_VTAR_C_COLDVSNA_OFFER_2</vt:lpstr>
      <vt:lpstr>pIns_PT_VTAR_C_COLDVSNA_OFFER_3</vt:lpstr>
      <vt:lpstr>pIns_PT_VTAR_C_COLDVSNA_OFFER_4</vt:lpstr>
      <vt:lpstr>pIns_PT_VTAR_C_COLDVSNA_OFFER_5</vt:lpstr>
      <vt:lpstr>pIns_PT_VTAR_C_HOTVSNA</vt:lpstr>
      <vt:lpstr>pIns_PT_VTAR_C_HOTVSNA_OFFER_1</vt:lpstr>
      <vt:lpstr>pIns_PT_VTAR_C_HOTVSNA_OFFER_2</vt:lpstr>
      <vt:lpstr>pIns_PT_VTAR_C_HOTVSNA_OFFER_3</vt:lpstr>
      <vt:lpstr>pIns_PT_VTAR_C_HOTVSNA_OFFER_4</vt:lpstr>
      <vt:lpstr>pIns_PT_VTAR_C_HOTVSNA_OFFER_5</vt:lpstr>
      <vt:lpstr>pIns_PT_VTAR_C_OFFER_1</vt:lpstr>
      <vt:lpstr>pIns_PT_VTAR_C_OFFER_2</vt:lpstr>
      <vt:lpstr>pIns_PT_VTAR_C_OFFER_3</vt:lpstr>
      <vt:lpstr>pIns_PT_VTAR_C_OFFER_4</vt:lpstr>
      <vt:lpstr>pIns_PT_VTAR_C_OFFER_5</vt:lpstr>
      <vt:lpstr>pIns_PT_VTAR_C_VOTV</vt:lpstr>
      <vt:lpstr>pIns_PT_VTAR_C_VOTV_OFFER_1</vt:lpstr>
      <vt:lpstr>pIns_PT_VTAR_C_VOTV_OFFER_2</vt:lpstr>
      <vt:lpstr>pIns_PT_VTAR_C_VOTV_OFFER_3</vt:lpstr>
      <vt:lpstr>pIns_PT_VTAR_C_VOTV_OFFER_4</vt:lpstr>
      <vt:lpstr>pIns_PT_VTAR_C_VOTV_OFFER_5</vt:lpstr>
      <vt:lpstr>pIns_PT_VTAR_D</vt:lpstr>
      <vt:lpstr>pIns_PT_VTAR_D_COLDVSNA</vt:lpstr>
      <vt:lpstr>pIns_PT_VTAR_D_COLDVSNA_OFFER_1</vt:lpstr>
      <vt:lpstr>pIns_PT_VTAR_D_COLDVSNA_OFFER_2</vt:lpstr>
      <vt:lpstr>pIns_PT_VTAR_D_COLDVSNA_OFFER_3</vt:lpstr>
      <vt:lpstr>pIns_PT_VTAR_D_COLDVSNA_OFFER_4</vt:lpstr>
      <vt:lpstr>pIns_PT_VTAR_D_COLDVSNA_OFFER_5</vt:lpstr>
      <vt:lpstr>pIns_PT_VTAR_D_OFFER_1</vt:lpstr>
      <vt:lpstr>pIns_PT_VTAR_D_OFFER_2</vt:lpstr>
      <vt:lpstr>pIns_PT_VTAR_D_OFFER_3</vt:lpstr>
      <vt:lpstr>pIns_PT_VTAR_D_OFFER_4</vt:lpstr>
      <vt:lpstr>pIns_PT_VTAR_D_OFFER_5</vt:lpstr>
      <vt:lpstr>pIns_PT_VTAR_E_COLDVSNA</vt:lpstr>
      <vt:lpstr>pIns_PT_VTAR_E_COLDVSNA_OFFER_1</vt:lpstr>
      <vt:lpstr>pIns_PT_VTAR_E_COLDVSNA_OFFER_2</vt:lpstr>
      <vt:lpstr>pIns_PT_VTAR_E_COLDVSNA_OFFER_3</vt:lpstr>
      <vt:lpstr>pIns_PT_VTAR_E_COLDVSNA_OFFER_4</vt:lpstr>
      <vt:lpstr>pIns_PT_VTAR_E_COLDVSNA_OFFER_5</vt:lpstr>
      <vt:lpstr>pIns_PT_VTAR_E1</vt:lpstr>
      <vt:lpstr>pIns_PT_VTAR_E1_OFFER_1</vt:lpstr>
      <vt:lpstr>pIns_PT_VTAR_E1_OFFER_2</vt:lpstr>
      <vt:lpstr>pIns_PT_VTAR_E1_OFFER_3</vt:lpstr>
      <vt:lpstr>pIns_PT_VTAR_E1_OFFER_4</vt:lpstr>
      <vt:lpstr>pIns_PT_VTAR_E1_OFFER_5</vt:lpstr>
      <vt:lpstr>pIns_PT_VTAR_E2</vt:lpstr>
      <vt:lpstr>pIns_PT_VTAR_E2_OFFER_1</vt:lpstr>
      <vt:lpstr>pIns_PT_VTAR_E2_OFFER_2</vt:lpstr>
      <vt:lpstr>pIns_PT_VTAR_E2_OFFER_3</vt:lpstr>
      <vt:lpstr>pIns_PT_VTAR_E2_OFFER_4</vt:lpstr>
      <vt:lpstr>pIns_PT_VTAR_E2_OFFER_5</vt:lpstr>
      <vt:lpstr>pIns_PT_VTAR_F</vt:lpstr>
      <vt:lpstr>pIns_PT_VTAR_F_OFFER_1</vt:lpstr>
      <vt:lpstr>pIns_PT_VTAR_F_OFFER_2</vt:lpstr>
      <vt:lpstr>pIns_PT_VTAR_F_OFFER_3</vt:lpstr>
      <vt:lpstr>pIns_PT_VTAR_F_OFFER_4</vt:lpstr>
      <vt:lpstr>pIns_PT_VTAR_F_OFFER_5</vt:lpstr>
      <vt:lpstr>pIns_PT_VTAR_G</vt:lpstr>
      <vt:lpstr>pIns_PT_VTAR_G_OFFER_1</vt:lpstr>
      <vt:lpstr>pIns_PT_VTAR_G_OFFER_2</vt:lpstr>
      <vt:lpstr>pIns_PT_VTAR_G_OFFER_3</vt:lpstr>
      <vt:lpstr>pIns_PT_VTAR_G_OFFER_4</vt:lpstr>
      <vt:lpstr>pIns_PT_VTAR_G_OFFER_5</vt:lpstr>
      <vt:lpstr>pIns_PT_VTAR_H</vt:lpstr>
      <vt:lpstr>pIns_PT_VTAR_H_OFFER_1</vt:lpstr>
      <vt:lpstr>pIns_PT_VTAR_H_OFFER_2</vt:lpstr>
      <vt:lpstr>pIns_PT_VTAR_H_OFFER_3</vt:lpstr>
      <vt:lpstr>pIns_PT_VTAR_H_OFFER_4</vt:lpstr>
      <vt:lpstr>pIns_PT_VTAR_H_OFFER_5</vt:lpstr>
      <vt:lpstr>pIns_PT_VTAR_I</vt:lpstr>
      <vt:lpstr>pIns_PT_VTAR_I_1</vt:lpstr>
      <vt:lpstr>pIns_Q_LIMIT_1</vt:lpstr>
      <vt:lpstr>pIns_Q_LIMIT_2</vt:lpstr>
      <vt:lpstr>pIns_Q_LIMIT_3</vt:lpstr>
      <vt:lpstr>pIns_Q_LIMIT_4</vt:lpstr>
      <vt:lpstr>pIns_Q_LIMIT_DIFFERENTIATION</vt:lpstr>
      <vt:lpstr>pIns_Q_PH_DIFFERENTIATION</vt:lpstr>
      <vt:lpstr>pIns_Q_TP_1</vt:lpstr>
      <vt:lpstr>pIns_Q_TP_DIFFERENTIATION</vt:lpstr>
      <vt:lpstr>pIns_R_B_Purch_1</vt:lpstr>
      <vt:lpstr>pIns_ROIV_CASE_case</vt:lpstr>
      <vt:lpstr>pIns_ROIV_CASE_PUC_case</vt:lpstr>
      <vt:lpstr>pIns_ROIV_INFO_phone</vt:lpstr>
      <vt:lpstr>pIns_ROIV_ORG_org</vt:lpstr>
      <vt:lpstr>pIns_ROIV_OTV_org</vt:lpstr>
      <vt:lpstr>pIns_ver_COLDVSNA_TARIFF_A_COLDVSNA</vt:lpstr>
      <vt:lpstr>pIns_ver_COLDVSNA_TARIFF_B_COLDVSNA</vt:lpstr>
      <vt:lpstr>pIns_ver_COLDVSNA_TARIFF_C_COLDVSNA</vt:lpstr>
      <vt:lpstr>pIns_ver_COLDVSNA_TARIFF_D_COLDVSNA</vt:lpstr>
      <vt:lpstr>pIns_ver_COLDVSNA_TARIFF_E_COLDVSNA</vt:lpstr>
      <vt:lpstr>pIns_ver_HEAT_TARIFF_A</vt:lpstr>
      <vt:lpstr>pIns_ver_HEAT_TARIFF_B</vt:lpstr>
      <vt:lpstr>pIns_ver_HEAT_TARIFF_C</vt:lpstr>
      <vt:lpstr>pIns_ver_HEAT_TARIFF_D</vt:lpstr>
      <vt:lpstr>pIns_ver_HEAT_TARIFF_E1</vt:lpstr>
      <vt:lpstr>pIns_ver_HEAT_TARIFF_E2</vt:lpstr>
      <vt:lpstr>pIns_ver_HEAT_TARIFF_F</vt:lpstr>
      <vt:lpstr>pIns_ver_HEAT_TARIFF_G</vt:lpstr>
      <vt:lpstr>pIns_ver_HEAT_TARIFF_H</vt:lpstr>
      <vt:lpstr>pIns_ver_HEAT_TARIFF_I</vt:lpstr>
      <vt:lpstr>pIns_ver_HEAT_TARIFF_I_1</vt:lpstr>
      <vt:lpstr>pIns_ver_HOTVSNA_TARIFF_A_HOTVSNA</vt:lpstr>
      <vt:lpstr>pIns_ver_HOTVSNA_TARIFF_B_HOTVSNA</vt:lpstr>
      <vt:lpstr>pIns_ver_HOTVSNA_TARIFF_C_HOTVSNA</vt:lpstr>
      <vt:lpstr>pIns_ver_VOTV_TARIFF_A_VOTV</vt:lpstr>
      <vt:lpstr>pIns_ver_VOTV_TARIFF_B_VOTV</vt:lpstr>
      <vt:lpstr>pIns_ver_VOTV_TARIFF_C_VOTV</vt:lpstr>
      <vt:lpstr>pNote_LIMIT</vt:lpstr>
      <vt:lpstr>pNote_Q_PH</vt:lpstr>
      <vt:lpstr>pNum_Q_LIMIT</vt:lpstr>
      <vt:lpstr>PROCEDURE_TC_NAME_FORM</vt:lpstr>
      <vt:lpstr>PT_ADD_HL_CS_COLUMN_MARKER</vt:lpstr>
      <vt:lpstr>PT_ADD_HL_IST_TE_COLUMN_MARKER</vt:lpstr>
      <vt:lpstr>PT_ADD_HL_NTAR_COLUMN_MARKER</vt:lpstr>
      <vt:lpstr>PT_ADD_HL_TER_COLUMN_MARKER</vt:lpstr>
      <vt:lpstr>PT_ADD_HL_VTAR_COLUMN_MARKER</vt:lpstr>
      <vt:lpstr>pt_cs_1</vt:lpstr>
      <vt:lpstr>pt_cs_10</vt:lpstr>
      <vt:lpstr>pt_cs_11</vt:lpstr>
      <vt:lpstr>pt_cs_12</vt:lpstr>
      <vt:lpstr>pt_cs_13</vt:lpstr>
      <vt:lpstr>pt_cs_14</vt:lpstr>
      <vt:lpstr>pt_cs_15</vt:lpstr>
      <vt:lpstr>pt_cs_16</vt:lpstr>
      <vt:lpstr>pt_cs_17</vt:lpstr>
      <vt:lpstr>pt_cs_18</vt:lpstr>
      <vt:lpstr>pt_cs_19</vt:lpstr>
      <vt:lpstr>pt_cs_2</vt:lpstr>
      <vt:lpstr>pt_cs_20</vt:lpstr>
      <vt:lpstr>pt_cs_21</vt:lpstr>
      <vt:lpstr>pt_cs_21_1</vt:lpstr>
      <vt:lpstr>pt_cs_3</vt:lpstr>
      <vt:lpstr>pt_cs_4</vt:lpstr>
      <vt:lpstr>pt_cs_5</vt:lpstr>
      <vt:lpstr>pt_cs_6</vt:lpstr>
      <vt:lpstr>pt_cs_7</vt:lpstr>
      <vt:lpstr>pt_cs_8</vt:lpstr>
      <vt:lpstr>pt_cs_9</vt:lpstr>
      <vt:lpstr>PT_DEL_HL_CS_COLUMN_MARKER</vt:lpstr>
      <vt:lpstr>PT_DEL_HL_IST_TE_COLUMN_MARKER</vt:lpstr>
      <vt:lpstr>PT_DEL_HL_NTAR_COLUMN_MARKER</vt:lpstr>
      <vt:lpstr>PT_DEL_HL_TER_COLUMN_MARKER</vt:lpstr>
      <vt:lpstr>PT_DEL_HL_VTAR_COLUMN_MARKER</vt:lpstr>
      <vt:lpstr>PT_DIAMETERS_2_LIST</vt:lpstr>
      <vt:lpstr>PT_DIAMETERS_LIST</vt:lpstr>
      <vt:lpstr>PT_DIFFERENTIATION_CS</vt:lpstr>
      <vt:lpstr>PT_DIFFERENTIATION_CS_ID</vt:lpstr>
      <vt:lpstr>PT_DIFFERENTIATION_IST_TE</vt:lpstr>
      <vt:lpstr>PT_DIFFERENTIATION_IST_TE_ID</vt:lpstr>
      <vt:lpstr>PT_DIFFERENTIATION_NTAR</vt:lpstr>
      <vt:lpstr>PT_DIFFERENTIATION_NTAR_ID</vt:lpstr>
      <vt:lpstr>PT_DIFFERENTIATION_NUM_CS</vt:lpstr>
      <vt:lpstr>PT_DIFFERENTIATION_NUM_IST_TE</vt:lpstr>
      <vt:lpstr>PT_DIFFERENTIATION_NUM_NTAR</vt:lpstr>
      <vt:lpstr>PT_DIFFERENTIATION_NUM_TER</vt:lpstr>
      <vt:lpstr>PT_DIFFERENTIATION_TER</vt:lpstr>
      <vt:lpstr>PT_DIFFERENTIATION_TER_ID</vt:lpstr>
      <vt:lpstr>PT_DIFFERENTIATION_VDET</vt:lpstr>
      <vt:lpstr>PT_DIFFERENTIATION_VTAR</vt:lpstr>
      <vt:lpstr>PT_DIFFERENTIATION_VTAR_ID</vt:lpstr>
      <vt:lpstr>PT_FLAG_CS_COLUMN_MARKER</vt:lpstr>
      <vt:lpstr>PT_FLAG_IST_TE_COLUMN_MARKER</vt:lpstr>
      <vt:lpstr>PT_FLAG_TER_COLUMN_MARKER</vt:lpstr>
      <vt:lpstr>PT_FLAG_VTAR_COLUMN_MARKER</vt:lpstr>
      <vt:lpstr>PT_GROUP_CONSUMER_LIST</vt:lpstr>
      <vt:lpstr>PT_HEAT_PRICE_INDICATORS_LEVEL</vt:lpstr>
      <vt:lpstr>pt_ist_te_1</vt:lpstr>
      <vt:lpstr>pt_ist_te_2</vt:lpstr>
      <vt:lpstr>pt_ist_te_20</vt:lpstr>
      <vt:lpstr>pt_ist_te_21</vt:lpstr>
      <vt:lpstr>pt_ist_te_21_1</vt:lpstr>
      <vt:lpstr>pt_ist_te_3</vt:lpstr>
      <vt:lpstr>pt_ist_te_4</vt:lpstr>
      <vt:lpstr>pt_ist_te_5</vt:lpstr>
      <vt:lpstr>pt_ist_te_6</vt:lpstr>
      <vt:lpstr>pt_ist_te_7</vt:lpstr>
      <vt:lpstr>pt_ist_te_8</vt:lpstr>
      <vt:lpstr>PT_LOAD_LIST</vt:lpstr>
      <vt:lpstr>PT_NETS_LIST</vt:lpstr>
      <vt:lpstr>pt_ntar_1</vt:lpstr>
      <vt:lpstr>pt_ntar_10</vt:lpstr>
      <vt:lpstr>pt_ntar_11</vt:lpstr>
      <vt:lpstr>pt_ntar_12</vt:lpstr>
      <vt:lpstr>pt_ntar_13</vt:lpstr>
      <vt:lpstr>pt_ntar_14</vt:lpstr>
      <vt:lpstr>pt_ntar_15</vt:lpstr>
      <vt:lpstr>pt_ntar_16</vt:lpstr>
      <vt:lpstr>pt_ntar_17</vt:lpstr>
      <vt:lpstr>pt_ntar_18</vt:lpstr>
      <vt:lpstr>pt_ntar_19</vt:lpstr>
      <vt:lpstr>pt_ntar_2</vt:lpstr>
      <vt:lpstr>pt_ntar_20</vt:lpstr>
      <vt:lpstr>pt_ntar_21</vt:lpstr>
      <vt:lpstr>pt_ntar_21_1</vt:lpstr>
      <vt:lpstr>pt_ntar_3</vt:lpstr>
      <vt:lpstr>pt_ntar_4</vt:lpstr>
      <vt:lpstr>pt_ntar_5</vt:lpstr>
      <vt:lpstr>pt_ntar_6</vt:lpstr>
      <vt:lpstr>pt_ntar_7</vt:lpstr>
      <vt:lpstr>pt_ntar_8</vt:lpstr>
      <vt:lpstr>pt_ntar_9</vt:lpstr>
      <vt:lpstr>PT_P_FORM_COLDVSNA_4_NAME_FORM</vt:lpstr>
      <vt:lpstr>PT_P_FORM_COLDVSNA_5_NAME_FORM</vt:lpstr>
      <vt:lpstr>PT_P_FORM_HEAT_21_NAME_FORM</vt:lpstr>
      <vt:lpstr>PT_P_FORM_HEAT_22_NAME_FORM</vt:lpstr>
      <vt:lpstr>PT_P_FORM_HEAT_4_NAME_FORM</vt:lpstr>
      <vt:lpstr>PT_P_FORM_HEAT_5_NAME_FORM</vt:lpstr>
      <vt:lpstr>PT_P_FORM_HEAT_6_NAME_FORM</vt:lpstr>
      <vt:lpstr>PT_P_FORM_HEAT_7_NAME_FORM</vt:lpstr>
      <vt:lpstr>PT_P_FORM_HOTVSNA_4_NAME_FORM</vt:lpstr>
      <vt:lpstr>PT_P_FORM_HOTVSNA_5_NAME_FORM</vt:lpstr>
      <vt:lpstr>PT_P_FORM_VOTV_4_NAME_FORM</vt:lpstr>
      <vt:lpstr>PT_P_FORM_VOTV_5_NAME_FORM</vt:lpstr>
      <vt:lpstr>PT_R_FORM_COLDVSNA_16_NAME_FORM</vt:lpstr>
      <vt:lpstr>PT_R_FORM_COLDVSNA_17_NAME_FORM</vt:lpstr>
      <vt:lpstr>PT_R_FORM_HEAT_21_NAME_FORM</vt:lpstr>
      <vt:lpstr>PT_R_FORM_HEAT_22_NAME_FORM</vt:lpstr>
      <vt:lpstr>PT_R_FORM_HEAT_23_NAME_FORM</vt:lpstr>
      <vt:lpstr>PT_R_FORM_HEAT_24_NAME_FORM</vt:lpstr>
      <vt:lpstr>PT_R_FORM_HOTVSNA_16_NAME_FORM</vt:lpstr>
      <vt:lpstr>PT_R_FORM_HOTVSNA_17_NAME_FORM</vt:lpstr>
      <vt:lpstr>PT_R_FORM_VOTV_16_NAME_FORM</vt:lpstr>
      <vt:lpstr>PT_R_FORM_VOTV_17_NAME_FORM</vt:lpstr>
      <vt:lpstr>PT_SCHEME_LIST</vt:lpstr>
      <vt:lpstr>pt_ter_1</vt:lpstr>
      <vt:lpstr>pt_ter_10</vt:lpstr>
      <vt:lpstr>pt_ter_11</vt:lpstr>
      <vt:lpstr>pt_ter_12</vt:lpstr>
      <vt:lpstr>pt_ter_13</vt:lpstr>
      <vt:lpstr>pt_ter_14</vt:lpstr>
      <vt:lpstr>pt_ter_15</vt:lpstr>
      <vt:lpstr>pt_ter_16</vt:lpstr>
      <vt:lpstr>pt_ter_17</vt:lpstr>
      <vt:lpstr>pt_ter_18</vt:lpstr>
      <vt:lpstr>pt_ter_19</vt:lpstr>
      <vt:lpstr>pt_ter_2</vt:lpstr>
      <vt:lpstr>pt_ter_20</vt:lpstr>
      <vt:lpstr>pt_ter_21</vt:lpstr>
      <vt:lpstr>pt_ter_21_1</vt:lpstr>
      <vt:lpstr>pt_ter_3</vt:lpstr>
      <vt:lpstr>pt_ter_4</vt:lpstr>
      <vt:lpstr>pt_ter_5</vt:lpstr>
      <vt:lpstr>pt_ter_6</vt:lpstr>
      <vt:lpstr>pt_ter_7</vt:lpstr>
      <vt:lpstr>pt_ter_8</vt:lpstr>
      <vt:lpstr>pt_ter_9</vt:lpstr>
      <vt:lpstr>PT_TN_LIST</vt:lpstr>
      <vt:lpstr>PT_VDET_COLUMN_MARKER</vt:lpstr>
      <vt:lpstr>PURCH_NAME_FORM</vt:lpstr>
      <vt:lpstr>Q_LIMIT_CheckC</vt:lpstr>
      <vt:lpstr>Q_LIMIT_diff_1</vt:lpstr>
      <vt:lpstr>Q_LIMIT_p3</vt:lpstr>
      <vt:lpstr>Q_LIMIT_p4</vt:lpstr>
      <vt:lpstr>Q_PH_diff_1</vt:lpstr>
      <vt:lpstr>Q_TP_COUNT_REFUSAL</vt:lpstr>
      <vt:lpstr>Q_TP_diff_1</vt:lpstr>
      <vt:lpstr>QRE_METHOD_LIST</vt:lpstr>
      <vt:lpstr>QUARTER</vt:lpstr>
      <vt:lpstr>R_OFFER_ADD_PERIOD_HL_COLUMN_MARKER</vt:lpstr>
      <vt:lpstr>R_OFFER_CHANGE_HL_COLUMN_MARKER</vt:lpstr>
      <vt:lpstr>R_OFFER_DEL_HL_COLUMN_MARKER</vt:lpstr>
      <vt:lpstr>R_OFFER_FLAG_HL_COLUMN_MARKER</vt:lpstr>
      <vt:lpstr>REESTR_IP_RANGE</vt:lpstr>
      <vt:lpstr>REESTR_LINK_RANGE</vt:lpstr>
      <vt:lpstr>REESTR_VT_RANGE</vt:lpstr>
      <vt:lpstr>REGION</vt:lpstr>
      <vt:lpstr>region_name</vt:lpstr>
      <vt:lpstr>RegulatoryPeriod</vt:lpstr>
      <vt:lpstr>ReportPeriod</vt:lpstr>
      <vt:lpstr>ROIV_CASE_ADD_HL_CASE_COLUMN_MARKER</vt:lpstr>
      <vt:lpstr>ROIV_CASE_DATE</vt:lpstr>
      <vt:lpstr>ROIV_CASE_DEL_HL_CASE_COLUMN_MARKER</vt:lpstr>
      <vt:lpstr>ROIV_CASE_NUM_CASE_COLUMN_MARKER</vt:lpstr>
      <vt:lpstr>ROIV_CASE_PROTOKOL</vt:lpstr>
      <vt:lpstr>ROIV_CASE_PROTOKOL_ET</vt:lpstr>
      <vt:lpstr>ROIV_CASE_PUC_ADD_HL_CASE_COLUMN_MARKER</vt:lpstr>
      <vt:lpstr>ROIV_CASE_PUC_DATE</vt:lpstr>
      <vt:lpstr>ROIV_CASE_PUC_DEL_HL_CASE_COLUMN_MARKER</vt:lpstr>
      <vt:lpstr>ROIV_CASE_PUC_NUM_CASE_COLUMN_MARKER</vt:lpstr>
      <vt:lpstr>ROIV_CASE_PUC_PROTOKOL</vt:lpstr>
      <vt:lpstr>ROIV_CASE_PUC_PROTOKOL_ET</vt:lpstr>
      <vt:lpstr>ROIV_CASE_PUC_RESH</vt:lpstr>
      <vt:lpstr>ROIV_CASE_PUC_RESH_ET</vt:lpstr>
      <vt:lpstr>ROIV_CASE_RESH</vt:lpstr>
      <vt:lpstr>ROIV_CASE_RESH_ET</vt:lpstr>
      <vt:lpstr>ROIV_INFO_COMMENT</vt:lpstr>
      <vt:lpstr>ROIV_INFO_COMMENT_HEAT</vt:lpstr>
      <vt:lpstr>ROIV_INFO_COMMENT_NO_HEAT</vt:lpstr>
      <vt:lpstr>ROIV_INFO_DEL_HL_PHONE_COLUMN_MARKER</vt:lpstr>
      <vt:lpstr>ROIV_INFO_DOKLAD</vt:lpstr>
      <vt:lpstr>ROIV_INFO_LIST</vt:lpstr>
      <vt:lpstr>ROIV_INFO_LIST_HEAT</vt:lpstr>
      <vt:lpstr>ROIV_INFO_LIST_NO_HEAT</vt:lpstr>
      <vt:lpstr>ROIV_INFO_NAME</vt:lpstr>
      <vt:lpstr>ROIV_INFO_NUM_PHONE_COLUMN_MARKER</vt:lpstr>
      <vt:lpstr>ROIV_ORG_DEL_HL_ORG_COLUMN_MARKER</vt:lpstr>
      <vt:lpstr>ROIV_ORG_INN_COLUMN_MARKER</vt:lpstr>
      <vt:lpstr>ROIV_ORG_KPP_COLUMN_MARKER</vt:lpstr>
      <vt:lpstr>ROIV_ORG_NAME_ORG_COLUMN_MARKER</vt:lpstr>
      <vt:lpstr>ROIV_ORG_NUM_ORG_COLUMN_MARKER</vt:lpstr>
      <vt:lpstr>ROIV_ORG_TECH_ORG_ID</vt:lpstr>
      <vt:lpstr>ROIV_ORG_TECH_ORG_ID_COLUMN_MARKER</vt:lpstr>
      <vt:lpstr>ROIV_OTV_ADD_HL_DL_COLUMN_MARKER</vt:lpstr>
      <vt:lpstr>ROIV_OTV_DEL_HL_DL_COLUMN_MARKER</vt:lpstr>
      <vt:lpstr>ROIV_OTV_DEL_HL_ORG_COLUMN_MARKER</vt:lpstr>
      <vt:lpstr>ROIV_OTV_INN_COLUMN_MARKER</vt:lpstr>
      <vt:lpstr>ROIV_OTV_NAME_ORG_COLUMN_MARKER</vt:lpstr>
      <vt:lpstr>ROIV_OTV_NUM_DL_COLUMN_MARKER</vt:lpstr>
      <vt:lpstr>ROIV_OTV_NUM_ORG_COLUMN_MARKER</vt:lpstr>
      <vt:lpstr>ROIV_OTV_TECH_ORG_ID_COLUMN_MARKER</vt:lpstr>
      <vt:lpstr>RST_ORG_ID</vt:lpstr>
      <vt:lpstr>SKI_number</vt:lpstr>
      <vt:lpstr>StartDateList</vt:lpstr>
      <vt:lpstr>tblEnd_1_B_FHD</vt:lpstr>
      <vt:lpstr>tblEnd_1_B_FHD_TKO</vt:lpstr>
      <vt:lpstr>tblEnd_1_B_FHD_TKO_TRANS</vt:lpstr>
      <vt:lpstr>tblEnd_1_B_KNE</vt:lpstr>
      <vt:lpstr>tblEnd_1_B_OTEP</vt:lpstr>
      <vt:lpstr>tblEnd_1_B_STANDARTS</vt:lpstr>
      <vt:lpstr>tblEnd_1_CHANGE_INFO</vt:lpstr>
      <vt:lpstr>tblEnd_1_DIFFERENTIATION</vt:lpstr>
      <vt:lpstr>tblEnd_1_DIFFERENTIATION_TARIFF</vt:lpstr>
      <vt:lpstr>tblEnd_1_DIFFERENTIATION_TKO</vt:lpstr>
      <vt:lpstr>tblEnd_1_ED</vt:lpstr>
      <vt:lpstr>tblEnd_1_IP_DETAILED</vt:lpstr>
      <vt:lpstr>tblEnd_1_IP_FIN_PLAN</vt:lpstr>
      <vt:lpstr>tblEnd_1_IP_MAIN</vt:lpstr>
      <vt:lpstr>tblEnd_1_IP_QRE</vt:lpstr>
      <vt:lpstr>tblEnd_1_OFFER</vt:lpstr>
      <vt:lpstr>tblEnd_1_ORG_INFO</vt:lpstr>
      <vt:lpstr>tblEnd_1_ORG_TERRITORY</vt:lpstr>
      <vt:lpstr>tblEnd_1_ORG_VD</vt:lpstr>
      <vt:lpstr>tblEnd_1_ORG_VD_TKO</vt:lpstr>
      <vt:lpstr>tblEnd_1_P_PROCEDURE_TC</vt:lpstr>
      <vt:lpstr>tblEnd_1_P_T_TERMS</vt:lpstr>
      <vt:lpstr>tblEnd_1_Q_LIMIT</vt:lpstr>
      <vt:lpstr>tblEnd_1_Q_PH</vt:lpstr>
      <vt:lpstr>tblEnd_1_Q_TP</vt:lpstr>
      <vt:lpstr>tblEnd_1_R_B_Purch</vt:lpstr>
      <vt:lpstr>tblEnd_1_R_Offer</vt:lpstr>
      <vt:lpstr>tblEnd_1_ROIV_CASE</vt:lpstr>
      <vt:lpstr>tblEnd_1_ROIV_CASE_PUC</vt:lpstr>
      <vt:lpstr>tblEnd_1_ROIV_INFO</vt:lpstr>
      <vt:lpstr>tblEnd_1_ROIV_ORG</vt:lpstr>
      <vt:lpstr>tblEnd_1_ROIV_OTV</vt:lpstr>
      <vt:lpstr>tblEnd_1_TARIFF_A</vt:lpstr>
      <vt:lpstr>tblEnd_1_TARIFF_A_COLDVSNA</vt:lpstr>
      <vt:lpstr>tblEnd_1_TARIFF_A_HOTVSNA</vt:lpstr>
      <vt:lpstr>tblEnd_1_TARIFF_A_VOTV</vt:lpstr>
      <vt:lpstr>tblEnd_1_TARIFF_B</vt:lpstr>
      <vt:lpstr>tblEnd_1_TARIFF_B_COLDVSNA</vt:lpstr>
      <vt:lpstr>tblEnd_1_TARIFF_B_HOTVSNA</vt:lpstr>
      <vt:lpstr>tblEnd_1_TARIFF_B_VOTV</vt:lpstr>
      <vt:lpstr>tblEnd_1_TARIFF_C</vt:lpstr>
      <vt:lpstr>tblEnd_1_TARIFF_C_COLDVSNA</vt:lpstr>
      <vt:lpstr>tblEnd_1_TARIFF_C_HOTVSNA</vt:lpstr>
      <vt:lpstr>tblEnd_1_TARIFF_C_VOTV</vt:lpstr>
      <vt:lpstr>tblEnd_1_TARIFF_D</vt:lpstr>
      <vt:lpstr>tblEnd_1_TARIFF_D_COLDVSNA</vt:lpstr>
      <vt:lpstr>tblEnd_1_TARIFF_E_COLDVSNA</vt:lpstr>
      <vt:lpstr>tblEnd_1_TARIFF_E1</vt:lpstr>
      <vt:lpstr>tblEnd_1_TARIFF_E2</vt:lpstr>
      <vt:lpstr>tblEnd_1_TARIFF_F</vt:lpstr>
      <vt:lpstr>tblEnd_1_TARIFF_G</vt:lpstr>
      <vt:lpstr>tblEnd_1_TARIFF_H</vt:lpstr>
      <vt:lpstr>tblEnd_1_TARIFF_I</vt:lpstr>
      <vt:lpstr>tblEnd_1_TARIFF_I_1</vt:lpstr>
      <vt:lpstr>tblEnd_1_TERRITORY</vt:lpstr>
      <vt:lpstr>tblStart_1_B_FHD</vt:lpstr>
      <vt:lpstr>tblStart_1_B_FHD_TKO</vt:lpstr>
      <vt:lpstr>tblStart_1_B_FHD_TKO_TRANS</vt:lpstr>
      <vt:lpstr>tblStart_1_B_KNE</vt:lpstr>
      <vt:lpstr>tblStart_1_B_OTEP</vt:lpstr>
      <vt:lpstr>tblStart_1_B_STANDARTS</vt:lpstr>
      <vt:lpstr>tblStart_1_CHANGE_INFO</vt:lpstr>
      <vt:lpstr>tblStart_1_DIFFERENTIATION</vt:lpstr>
      <vt:lpstr>tblStart_1_DIFFERENTIATION_TARIFF</vt:lpstr>
      <vt:lpstr>tblStart_1_DIFFERENTIATION_TKO</vt:lpstr>
      <vt:lpstr>tblStart_1_ED</vt:lpstr>
      <vt:lpstr>tblStart_1_IP_DETAILED</vt:lpstr>
      <vt:lpstr>tblStart_1_IP_FIN_PLAN</vt:lpstr>
      <vt:lpstr>tblStart_1_IP_MAIN</vt:lpstr>
      <vt:lpstr>tblStart_1_IP_QRE</vt:lpstr>
      <vt:lpstr>tblStart_1_OFFER</vt:lpstr>
      <vt:lpstr>tblStart_1_ORG_INFO</vt:lpstr>
      <vt:lpstr>tblStart_1_ORG_TERRITORY</vt:lpstr>
      <vt:lpstr>tblStart_1_ORG_VD</vt:lpstr>
      <vt:lpstr>tblStart_1_ORG_VD_TKO</vt:lpstr>
      <vt:lpstr>tblStart_1_P_PROCEDURE_TC</vt:lpstr>
      <vt:lpstr>tblStart_1_P_T_TERMS</vt:lpstr>
      <vt:lpstr>tblStart_1_Q_LIMIT</vt:lpstr>
      <vt:lpstr>tblStart_1_Q_PH</vt:lpstr>
      <vt:lpstr>tblStart_1_Q_TP</vt:lpstr>
      <vt:lpstr>tblStart_1_R_B_Purch</vt:lpstr>
      <vt:lpstr>tblStart_1_R_Offer</vt:lpstr>
      <vt:lpstr>tblStart_1_ROIV_CASE</vt:lpstr>
      <vt:lpstr>tblStart_1_ROIV_CASE_PUC</vt:lpstr>
      <vt:lpstr>tblStart_1_ROIV_INFO</vt:lpstr>
      <vt:lpstr>tblStart_1_ROIV_ORG</vt:lpstr>
      <vt:lpstr>tblStart_1_ROIV_OTV</vt:lpstr>
      <vt:lpstr>tblStart_1_TARIFF_A</vt:lpstr>
      <vt:lpstr>tblStart_1_TARIFF_A_COLDVSNA</vt:lpstr>
      <vt:lpstr>tblStart_1_TARIFF_A_HOTVSNA</vt:lpstr>
      <vt:lpstr>tblStart_1_TARIFF_A_VOTV</vt:lpstr>
      <vt:lpstr>tblStart_1_TARIFF_B</vt:lpstr>
      <vt:lpstr>tblStart_1_TARIFF_B_COLDVSNA</vt:lpstr>
      <vt:lpstr>tblStart_1_TARIFF_B_HOTVSNA</vt:lpstr>
      <vt:lpstr>tblStart_1_TARIFF_B_VOTV</vt:lpstr>
      <vt:lpstr>tblStart_1_TARIFF_C</vt:lpstr>
      <vt:lpstr>tblStart_1_TARIFF_C_COLDVSNA</vt:lpstr>
      <vt:lpstr>tblStart_1_TARIFF_C_HOTVSNA</vt:lpstr>
      <vt:lpstr>tblStart_1_TARIFF_C_VOTV</vt:lpstr>
      <vt:lpstr>tblStart_1_TARIFF_D</vt:lpstr>
      <vt:lpstr>tblStart_1_TARIFF_D_COLDVSNA</vt:lpstr>
      <vt:lpstr>tblStart_1_TARIFF_E_COLDVSNA</vt:lpstr>
      <vt:lpstr>tblStart_1_TARIFF_E1</vt:lpstr>
      <vt:lpstr>tblStart_1_TARIFF_E2</vt:lpstr>
      <vt:lpstr>tblStart_1_TARIFF_F</vt:lpstr>
      <vt:lpstr>tblStart_1_TARIFF_G</vt:lpstr>
      <vt:lpstr>tblStart_1_TARIFF_H</vt:lpstr>
      <vt:lpstr>tblStart_1_TARIFF_I</vt:lpstr>
      <vt:lpstr>tblStart_1_TARIFF_I_1</vt:lpstr>
      <vt:lpstr>tblStart_1_TERRITORY</vt:lpstr>
      <vt:lpstr>TECH_ORG_ID</vt:lpstr>
      <vt:lpstr>TEMPLATE_DATA_POINT</vt:lpstr>
      <vt:lpstr>TEMPLATE_DATA_POINT_FHD</vt:lpstr>
      <vt:lpstr>TEMPLATE_GROUP</vt:lpstr>
      <vt:lpstr>TEMPLATE_NAME_FORM_LIST</vt:lpstr>
      <vt:lpstr>TEMPLATE_NOTE_POINT</vt:lpstr>
      <vt:lpstr>TEMPLATE_NOTE_POINT_FHD</vt:lpstr>
      <vt:lpstr>TEMPLATE_NUMBER_FORM_LIST</vt:lpstr>
      <vt:lpstr>TEMPLATE_NUMBER_POINT_FHD</vt:lpstr>
      <vt:lpstr>TEMPLATE_ORG_DATA_POINT</vt:lpstr>
      <vt:lpstr>TEMPLATE_SPHERE</vt:lpstr>
      <vt:lpstr>TEMPLATE_SPHERE_LIST</vt:lpstr>
      <vt:lpstr>TEMPLATE_SPHERE_LIST_FOR_NOTE</vt:lpstr>
      <vt:lpstr>TEMPLATE_SPHERE_LIST_FOR_NPA</vt:lpstr>
      <vt:lpstr>TEMPLATE_SPHERE_RUS</vt:lpstr>
      <vt:lpstr>TEMPLATE_SPHERE_RUS_2</vt:lpstr>
      <vt:lpstr>TemplateState</vt:lpstr>
      <vt:lpstr>ter_1</vt:lpstr>
      <vt:lpstr>TER_ID</vt:lpstr>
      <vt:lpstr>TERMS_LINK</vt:lpstr>
      <vt:lpstr>TERMS_NAME_FORM</vt:lpstr>
      <vt:lpstr>TERMS_NUM_CONTRACT_COLUMN_MARKER</vt:lpstr>
      <vt:lpstr>TERMS_P_1</vt:lpstr>
      <vt:lpstr>TERMS_TKO_TRANS_DATA</vt:lpstr>
      <vt:lpstr>TERRITORY_CheckC</vt:lpstr>
      <vt:lpstr>TERRITORY_ID</vt:lpstr>
      <vt:lpstr>TERRITORY_LIST_ID</vt:lpstr>
      <vt:lpstr>TERRITORY_MO_LIST</vt:lpstr>
      <vt:lpstr>TERRITORY_MR_LIST</vt:lpstr>
      <vt:lpstr>TERRITORY_NAME_COL</vt:lpstr>
      <vt:lpstr>TERRITORY_POINT_NUMBER_1</vt:lpstr>
      <vt:lpstr>TITLE_BUHG_FLAG</vt:lpstr>
      <vt:lpstr>TITLE_CONNECTION_FLAG</vt:lpstr>
      <vt:lpstr>TITLE_DATA_TYPE</vt:lpstr>
      <vt:lpstr>TITLE_DATE_BUHG</vt:lpstr>
      <vt:lpstr>TITLE_DATE_CHANGE</vt:lpstr>
      <vt:lpstr>TITLE_DATE_CHANGE_PERIOD</vt:lpstr>
      <vt:lpstr>TITLE_DATE_FIL</vt:lpstr>
      <vt:lpstr>TITLE_DATE_PARKING</vt:lpstr>
      <vt:lpstr>TITLE_DATE_PR</vt:lpstr>
      <vt:lpstr>TITLE_DATE_PR_CHANGE</vt:lpstr>
      <vt:lpstr>TITLE_DIFFERENTIATION_TYPE</vt:lpstr>
      <vt:lpstr>TITLE_FIL_YEAR</vt:lpstr>
      <vt:lpstr>TITLE_FLAG_DIFF_SELLER</vt:lpstr>
      <vt:lpstr>TITLE_FLAG_INTERNET</vt:lpstr>
      <vt:lpstr>TITLE_FLAG_IP</vt:lpstr>
      <vt:lpstr>TITLE_FLAG_IP_DETAILED</vt:lpstr>
      <vt:lpstr>TITLE_FLAG_NO_DIFF_COMPONENT</vt:lpstr>
      <vt:lpstr>TITLE_FLAG_NOT_REG_PRICE</vt:lpstr>
      <vt:lpstr>TITLE_FLAG_OTV_ROIV</vt:lpstr>
      <vt:lpstr>TITLE_FLAG_REG_PRICE_IP</vt:lpstr>
      <vt:lpstr>TITLE_FLAG_TKO_TRANS</vt:lpstr>
      <vt:lpstr>TITLE_FLAG_TOP80_ACTIVITY</vt:lpstr>
      <vt:lpstr>TITLE_HEADER_PR_CHANGE</vt:lpstr>
      <vt:lpstr>TITLE_IP_DETAILED_METHOD_LIST</vt:lpstr>
      <vt:lpstr>TITLE_IST_PUB</vt:lpstr>
      <vt:lpstr>TITLE_IST_PUB_CHANGE</vt:lpstr>
      <vt:lpstr>TITLE_NAME_OR_PR</vt:lpstr>
      <vt:lpstr>TITLE_NAME_OR_PR_CHANGE</vt:lpstr>
      <vt:lpstr>TITLE_NUMBER_PR</vt:lpstr>
      <vt:lpstr>TITLE_NUMBER_PR_CHANGE</vt:lpstr>
      <vt:lpstr>TITLE_PERIOD_END</vt:lpstr>
      <vt:lpstr>TITLE_PERIOD_START</vt:lpstr>
      <vt:lpstr>TITLE_PRICE_INDICATORS_GRAPH</vt:lpstr>
      <vt:lpstr>TITLE_PRICE_INDICATORS_LEVEL</vt:lpstr>
      <vt:lpstr>TITLE_STRUCTURE_INFO_ROIV</vt:lpstr>
      <vt:lpstr>TITLE_TYPE_ORG</vt:lpstr>
      <vt:lpstr>TKO_PT_VED_ID</vt:lpstr>
      <vt:lpstr>TKO_PT_VED_NAME</vt:lpstr>
      <vt:lpstr>TKO_PT_VED_NAME_LIST</vt:lpstr>
      <vt:lpstr>TP_NAME_FORM</vt:lpstr>
      <vt:lpstr>TP_NUMBER_FORM</vt:lpstr>
      <vt:lpstr>TP_P_A</vt:lpstr>
      <vt:lpstr>TP_P_B</vt:lpstr>
      <vt:lpstr>TP_P_G</vt:lpstr>
      <vt:lpstr>TP_P_NOTE_A</vt:lpstr>
      <vt:lpstr>TP_P_NOTE_B</vt:lpstr>
      <vt:lpstr>TP_P_NOTE_G</vt:lpstr>
      <vt:lpstr>TP_P_NOTE_G_1</vt:lpstr>
      <vt:lpstr>TP_P_NOTE_V</vt:lpstr>
      <vt:lpstr>TP_P_NOTE_V_1</vt:lpstr>
      <vt:lpstr>TP_P_V</vt:lpstr>
      <vt:lpstr>TP_P_V_1</vt:lpstr>
      <vt:lpstr>TYPE_TKO_LIST</vt:lpstr>
      <vt:lpstr>UNIT_CONNECT_LIST</vt:lpstr>
      <vt:lpstr>VD_ID_LIST</vt:lpstr>
      <vt:lpstr>VD_LIST</vt:lpstr>
      <vt:lpstr>VD_NAME_LIST</vt:lpstr>
      <vt:lpstr>VDET_END_DATE</vt:lpstr>
      <vt:lpstr>VDET_START_DATE</vt:lpstr>
      <vt:lpstr>version</vt:lpstr>
      <vt:lpstr>VOTV_FIN_SRC_LIST</vt:lpstr>
      <vt:lpstr>VOTV_FIN_SRC_VLD_LIST</vt:lpstr>
      <vt:lpstr>VOTV_IP_EVENT_CI_STAGE_LIST</vt:lpstr>
      <vt:lpstr>VOTV_IP_EVENT_GROUP_LIST</vt:lpstr>
      <vt:lpstr>VOTV_IP_EVENT_SUBGROUP_1_LIST</vt:lpstr>
      <vt:lpstr>VOTV_IP_EVENT_SUBGROUP_3_LIST</vt:lpstr>
      <vt:lpstr>VOTV_IP_EVENT_SUBGROUP_5_LIST</vt:lpstr>
      <vt:lpstr>VOTV_IP_EVENT_TYPE_LIST</vt:lpstr>
      <vt:lpstr>VOTV_PT_VED_ID</vt:lpstr>
      <vt:lpstr>VOTV_PT_VED_NAME</vt:lpstr>
      <vt:lpstr>VOTV_PT_VED_NAME_LIST</vt:lpstr>
      <vt:lpstr>VOTV_TARIFF_A_VOTV_ADD_HL_COLUMN_MARKER</vt:lpstr>
      <vt:lpstr>VOTV_TARIFF_A_VOTV_DEL_HL_DATA_DIFF_COLUMN_MARKER</vt:lpstr>
      <vt:lpstr>VOTV_TARIFF_A_VOTV_DEL_HL_FLAG_DIFF_COLUMN_MARKER</vt:lpstr>
      <vt:lpstr>VOTV_TARIFF_A_VOTV_DEL_HL_GC_COLUMN_MARKER</vt:lpstr>
      <vt:lpstr>VOTV_TARIFF_A_VOTV_DELETE_PERIOD_ROW_MARKER</vt:lpstr>
      <vt:lpstr>VOTV_TARIFF_A_VOTV_FLAG_BLOCK_COLUMN_MARKER</vt:lpstr>
      <vt:lpstr>VOTV_TARIFF_A_VOTV_FLAG_BLOCK_ROW_MARKER</vt:lpstr>
      <vt:lpstr>VOTV_TARIFF_A_VOTV_NUM_CS_COLUMN_MARKER</vt:lpstr>
      <vt:lpstr>VOTV_TARIFF_A_VOTV_NUM_DATA_DIFF_COLUMN_MARKER</vt:lpstr>
      <vt:lpstr>VOTV_TARIFF_A_VOTV_NUM_FLAG_DIFF_COLUMN_MARKER</vt:lpstr>
      <vt:lpstr>VOTV_TARIFF_A_VOTV_NUM_GC_COLUMN_MARKER</vt:lpstr>
      <vt:lpstr>VOTV_TARIFF_A_VOTV_NUM_NTAR_COLUMN_MARKER</vt:lpstr>
      <vt:lpstr>VOTV_TARIFF_A_VOTV_NUM_TER_COLUMN_MARKER</vt:lpstr>
      <vt:lpstr>VOTV_TARIFF_B_VOTV_ADD_HL_COLUMN_MARKER</vt:lpstr>
      <vt:lpstr>VOTV_TARIFF_B_VOTV_DEL_HL_DATA_DIFF_COLUMN_MARKER</vt:lpstr>
      <vt:lpstr>VOTV_TARIFF_B_VOTV_DEL_HL_FLAG_DIFF_COLUMN_MARKER</vt:lpstr>
      <vt:lpstr>VOTV_TARIFF_B_VOTV_DEL_HL_GC_COLUMN_MARKER</vt:lpstr>
      <vt:lpstr>VOTV_TARIFF_B_VOTV_DELETE_PERIOD_ROW_MARKER</vt:lpstr>
      <vt:lpstr>VOTV_TARIFF_B_VOTV_FLAG_BLOCK_COLUMN_MARKER</vt:lpstr>
      <vt:lpstr>VOTV_TARIFF_B_VOTV_FLAG_BLOCK_ROW_MARKER</vt:lpstr>
      <vt:lpstr>VOTV_TARIFF_B_VOTV_NUM_CS_COLUMN_MARKER</vt:lpstr>
      <vt:lpstr>VOTV_TARIFF_B_VOTV_NUM_DATA_DIFF_COLUMN_MARKER</vt:lpstr>
      <vt:lpstr>VOTV_TARIFF_B_VOTV_NUM_FLAG_DIFF_COLUMN_MARKER</vt:lpstr>
      <vt:lpstr>VOTV_TARIFF_B_VOTV_NUM_GC_COLUMN_MARKER</vt:lpstr>
      <vt:lpstr>VOTV_TARIFF_B_VOTV_NUM_NTAR_COLUMN_MARKER</vt:lpstr>
      <vt:lpstr>VOTV_TARIFF_B_VOTV_NUM_TER_COLUMN_MARKER</vt:lpstr>
      <vt:lpstr>VOTV_TARIFF_C_VOTV_ADD_HL_COLUMN_MARKER</vt:lpstr>
      <vt:lpstr>VOTV_TARIFF_C_VOTV_ADD_HL_DIAMETERS_COLUMN_MARKER</vt:lpstr>
      <vt:lpstr>VOTV_TARIFF_C_VOTV_ADD_HL_LEN_COLUMN_MARKER</vt:lpstr>
      <vt:lpstr>VOTV_TARIFF_C_VOTV_ADD_HL_LOAD_COLUMN_MARKER</vt:lpstr>
      <vt:lpstr>VOTV_TARIFF_C_VOTV_ADD_HL_NETS_COLUMN_MARKER</vt:lpstr>
      <vt:lpstr>VOTV_TARIFF_C_VOTV_DEL_HL_DATA_DIFF_COLUMN_MARKER</vt:lpstr>
      <vt:lpstr>VOTV_TARIFF_C_VOTV_DEL_HL_DIAMETERS_COLUMN_MARKER</vt:lpstr>
      <vt:lpstr>VOTV_TARIFF_C_VOTV_DEL_HL_FLAG_DIFF_COLUMN_MARKER</vt:lpstr>
      <vt:lpstr>VOTV_TARIFF_C_VOTV_DEL_HL_GC_COLUMN_MARKER</vt:lpstr>
      <vt:lpstr>VOTV_TARIFF_C_VOTV_DEL_HL_LEN_COLUMN_MARKER</vt:lpstr>
      <vt:lpstr>VOTV_TARIFF_C_VOTV_DEL_HL_LOAD_COLUMN_MARKER</vt:lpstr>
      <vt:lpstr>VOTV_TARIFF_C_VOTV_DEL_HL_NETS_COLUMN_MARKER</vt:lpstr>
      <vt:lpstr>VOTV_TARIFF_C_VOTV_DELETE_PERIOD_ROW_MARKER</vt:lpstr>
      <vt:lpstr>VOTV_TARIFF_C_VOTV_FLAG_BLOCK_COLUMN_MARKER</vt:lpstr>
      <vt:lpstr>VOTV_TARIFF_C_VOTV_FLAG_BLOCK_ROW_MARKER</vt:lpstr>
      <vt:lpstr>VOTV_TARIFF_C_VOTV_NUM_CS_COLUMN_MARKER</vt:lpstr>
      <vt:lpstr>VOTV_TARIFF_C_VOTV_NUM_DATA_DIFF_COLUMN_MARKER</vt:lpstr>
      <vt:lpstr>VOTV_TARIFF_C_VOTV_NUM_DIAMETERS_COLUMN_MARKER</vt:lpstr>
      <vt:lpstr>VOTV_TARIFF_C_VOTV_NUM_FLAG_DIFF_COLUMN_MARKER</vt:lpstr>
      <vt:lpstr>VOTV_TARIFF_C_VOTV_NUM_GC_COLUMN_MARKER</vt:lpstr>
      <vt:lpstr>VOTV_TARIFF_C_VOTV_NUM_LEN_COLUMN_MARKER</vt:lpstr>
      <vt:lpstr>VOTV_TARIFF_C_VOTV_NUM_LOAD_COLUMN_MARKER</vt:lpstr>
      <vt:lpstr>VOTV_TARIFF_C_VOTV_NUM_NETS_COLUMN_MARKER</vt:lpstr>
      <vt:lpstr>VOTV_TARIFF_C_VOTV_NUM_NTAR_COLUMN_MARKER</vt:lpstr>
      <vt:lpstr>VOTV_TARIFF_C_VOTV_NUM_TER_COLUMN_MARKER</vt:lpstr>
      <vt:lpstr>VSNA_FIN_SRC_LIST</vt:lpstr>
      <vt:lpstr>VSNA_FIN_SRC_VLD_LIST</vt:lpstr>
      <vt:lpstr>VSNA_IP_EVENT_CI_STAGE_LIST</vt:lpstr>
      <vt:lpstr>VSNA_IP_EVENT_GROUP_LIST</vt:lpstr>
      <vt:lpstr>VSNA_IP_EVENT_SUBGROUP_1_LIST</vt:lpstr>
      <vt:lpstr>VSNA_IP_EVENT_SUBGROUP_3_LIST</vt:lpstr>
      <vt:lpstr>VSNA_IP_EVENT_SUBGROUP_5_LIST</vt:lpstr>
      <vt:lpstr>VSNA_IP_EVENT_TYPE_LIST</vt:lpstr>
      <vt:lpstr>VTAR_ID</vt:lpstr>
      <vt:lpstr>Y_N_DIFFERENTIATION_AREA</vt:lpstr>
      <vt:lpstr>Y_N_DIFFERENTIATION_SYSTEM</vt:lpstr>
      <vt:lpstr>YEAR_IP_LIST</vt:lpstr>
      <vt:lpstr>year_list</vt:lpstr>
      <vt:lpstr>year_list1</vt:lpstr>
    </vt:vector>
  </TitlesOfParts>
  <Company>ФАС России</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Информация, подлежащая раскрытию организациями сферы теплоснабжения (цены и тарифы)</dc:title>
  <dc:subject>Информация, подлежащая раскрытию организациями сферы теплоснабжения (цены и тарифы)</dc:subject>
  <dc:creator>--</dc:creator>
  <cp:lastModifiedBy>Гордеев Илья</cp:lastModifiedBy>
  <cp:lastPrinted>2024-07-01T07:46:12Z</cp:lastPrinted>
  <dcterms:created xsi:type="dcterms:W3CDTF">2004-05-21T07:18:45Z</dcterms:created>
  <dcterms:modified xsi:type="dcterms:W3CDTF">2025-07-24T13:14:36Z</dcterms:modified>
</cp:coreProperties>
</file>